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960" yWindow="960" windowWidth="24640" windowHeight="15100" tabRatio="500"/>
  </bookViews>
  <sheets>
    <sheet name="2013-2015 Police Killings" sheetId="1" r:id="rId1"/>
    <sheet name="2015 Police Violence Report"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63" i="2" l="1"/>
  <c r="G63" i="2"/>
  <c r="J63" i="2"/>
  <c r="E63" i="2"/>
  <c r="I62" i="2"/>
  <c r="I34" i="2"/>
  <c r="F35" i="2"/>
  <c r="F62" i="2"/>
  <c r="G62" i="2"/>
  <c r="J62" i="2"/>
  <c r="E62" i="2"/>
  <c r="G61" i="2"/>
  <c r="J61" i="2"/>
  <c r="E61" i="2"/>
  <c r="I60" i="2"/>
  <c r="G60" i="2"/>
  <c r="J60" i="2"/>
  <c r="E60" i="2"/>
  <c r="I59" i="2"/>
  <c r="G59" i="2"/>
  <c r="J59" i="2"/>
  <c r="E59" i="2"/>
  <c r="I58" i="2"/>
  <c r="G58" i="2"/>
  <c r="J58" i="2"/>
  <c r="E58" i="2"/>
  <c r="I57" i="2"/>
  <c r="G57" i="2"/>
  <c r="J57" i="2"/>
  <c r="E57" i="2"/>
  <c r="I56" i="2"/>
  <c r="G56" i="2"/>
  <c r="J56" i="2"/>
  <c r="E56" i="2"/>
  <c r="I55" i="2"/>
  <c r="G55" i="2"/>
  <c r="J55" i="2"/>
  <c r="E55" i="2"/>
  <c r="I54" i="2"/>
  <c r="G54" i="2"/>
  <c r="J54" i="2"/>
  <c r="E54" i="2"/>
  <c r="I53" i="2"/>
  <c r="G53" i="2"/>
  <c r="J53" i="2"/>
  <c r="E53" i="2"/>
  <c r="I52" i="2"/>
  <c r="G52" i="2"/>
  <c r="J52" i="2"/>
  <c r="E52" i="2"/>
  <c r="I51" i="2"/>
  <c r="G51" i="2"/>
  <c r="J51" i="2"/>
  <c r="E51" i="2"/>
  <c r="I50" i="2"/>
  <c r="G50" i="2"/>
  <c r="J50" i="2"/>
  <c r="E50" i="2"/>
  <c r="I49" i="2"/>
  <c r="G49" i="2"/>
  <c r="J49" i="2"/>
  <c r="E49" i="2"/>
  <c r="I48" i="2"/>
  <c r="G48" i="2"/>
  <c r="J48" i="2"/>
  <c r="E48" i="2"/>
  <c r="I47" i="2"/>
  <c r="G47" i="2"/>
  <c r="J47" i="2"/>
  <c r="E47" i="2"/>
  <c r="I46" i="2"/>
  <c r="G46" i="2"/>
  <c r="J46" i="2"/>
  <c r="E46" i="2"/>
  <c r="I45" i="2"/>
  <c r="G45" i="2"/>
  <c r="J45" i="2"/>
  <c r="E45" i="2"/>
  <c r="I44" i="2"/>
  <c r="G44" i="2"/>
  <c r="J44" i="2"/>
  <c r="E44" i="2"/>
  <c r="I43" i="2"/>
  <c r="G43" i="2"/>
  <c r="J43" i="2"/>
  <c r="E43" i="2"/>
  <c r="I42" i="2"/>
  <c r="G42" i="2"/>
  <c r="J42" i="2"/>
  <c r="E42" i="2"/>
  <c r="I41" i="2"/>
  <c r="G41" i="2"/>
  <c r="J41" i="2"/>
  <c r="E41" i="2"/>
  <c r="I40" i="2"/>
  <c r="G40" i="2"/>
  <c r="J40" i="2"/>
  <c r="E40" i="2"/>
  <c r="I39" i="2"/>
  <c r="G39" i="2"/>
  <c r="J39" i="2"/>
  <c r="E39" i="2"/>
  <c r="I38" i="2"/>
  <c r="G38" i="2"/>
  <c r="J38" i="2"/>
  <c r="E38" i="2"/>
  <c r="I37" i="2"/>
  <c r="G37" i="2"/>
  <c r="J37" i="2"/>
  <c r="E37" i="2"/>
  <c r="I36" i="2"/>
  <c r="G36" i="2"/>
  <c r="J36" i="2"/>
  <c r="E36" i="2"/>
  <c r="I35" i="2"/>
  <c r="G35" i="2"/>
  <c r="J35" i="2"/>
  <c r="E35" i="2"/>
  <c r="G34" i="2"/>
  <c r="J34" i="2"/>
  <c r="E34" i="2"/>
  <c r="I33" i="2"/>
  <c r="G33" i="2"/>
  <c r="J33" i="2"/>
  <c r="E33" i="2"/>
  <c r="I32" i="2"/>
  <c r="G32" i="2"/>
  <c r="J32" i="2"/>
  <c r="E32" i="2"/>
  <c r="I31" i="2"/>
  <c r="G31" i="2"/>
  <c r="J31" i="2"/>
  <c r="E31" i="2"/>
  <c r="I30" i="2"/>
  <c r="G30" i="2"/>
  <c r="J30" i="2"/>
  <c r="E30" i="2"/>
  <c r="I29" i="2"/>
  <c r="G29" i="2"/>
  <c r="J29" i="2"/>
  <c r="E29" i="2"/>
  <c r="I28" i="2"/>
  <c r="G28" i="2"/>
  <c r="J28" i="2"/>
  <c r="E28" i="2"/>
  <c r="I27" i="2"/>
  <c r="G27" i="2"/>
  <c r="J27" i="2"/>
  <c r="E27" i="2"/>
  <c r="I26" i="2"/>
  <c r="G26" i="2"/>
  <c r="J26" i="2"/>
  <c r="E26" i="2"/>
  <c r="I25" i="2"/>
  <c r="G25" i="2"/>
  <c r="J25" i="2"/>
  <c r="E25" i="2"/>
  <c r="I24" i="2"/>
  <c r="G24" i="2"/>
  <c r="J24" i="2"/>
  <c r="E24" i="2"/>
  <c r="I23" i="2"/>
  <c r="G23" i="2"/>
  <c r="J23" i="2"/>
  <c r="E23" i="2"/>
  <c r="I22" i="2"/>
  <c r="G22" i="2"/>
  <c r="J22" i="2"/>
  <c r="E22" i="2"/>
  <c r="I21" i="2"/>
  <c r="G21" i="2"/>
  <c r="J21" i="2"/>
  <c r="E21" i="2"/>
  <c r="I20" i="2"/>
  <c r="G20" i="2"/>
  <c r="J20" i="2"/>
  <c r="E20" i="2"/>
  <c r="I19" i="2"/>
  <c r="G19" i="2"/>
  <c r="J19" i="2"/>
  <c r="E19" i="2"/>
  <c r="I18" i="2"/>
  <c r="G18" i="2"/>
  <c r="J18" i="2"/>
  <c r="E18" i="2"/>
  <c r="I17" i="2"/>
  <c r="G17" i="2"/>
  <c r="J17" i="2"/>
  <c r="E17" i="2"/>
  <c r="I16" i="2"/>
  <c r="G16" i="2"/>
  <c r="J16" i="2"/>
  <c r="E16" i="2"/>
  <c r="I15" i="2"/>
  <c r="G15" i="2"/>
  <c r="J15" i="2"/>
  <c r="E15" i="2"/>
  <c r="I14" i="2"/>
  <c r="G14" i="2"/>
  <c r="J14" i="2"/>
  <c r="E14" i="2"/>
  <c r="I13" i="2"/>
  <c r="G13" i="2"/>
  <c r="J13" i="2"/>
  <c r="E13" i="2"/>
  <c r="I12" i="2"/>
  <c r="G12" i="2"/>
  <c r="J12" i="2"/>
  <c r="E12" i="2"/>
  <c r="I11" i="2"/>
  <c r="G11" i="2"/>
  <c r="J11" i="2"/>
  <c r="E11" i="2"/>
  <c r="I10" i="2"/>
  <c r="G10" i="2"/>
  <c r="J10" i="2"/>
  <c r="E10" i="2"/>
  <c r="I9" i="2"/>
  <c r="G9" i="2"/>
  <c r="J9" i="2"/>
  <c r="E9" i="2"/>
  <c r="I8" i="2"/>
  <c r="G8" i="2"/>
  <c r="J8" i="2"/>
  <c r="E8" i="2"/>
  <c r="I7" i="2"/>
  <c r="G7" i="2"/>
  <c r="J7" i="2"/>
  <c r="E7" i="2"/>
  <c r="I6" i="2"/>
  <c r="G6" i="2"/>
  <c r="J6" i="2"/>
  <c r="E6" i="2"/>
  <c r="I5" i="2"/>
  <c r="G5" i="2"/>
  <c r="J5" i="2"/>
  <c r="E5" i="2"/>
  <c r="I4" i="2"/>
  <c r="G4" i="2"/>
  <c r="J4" i="2"/>
  <c r="E4" i="2"/>
  <c r="I3" i="2"/>
  <c r="G3" i="2"/>
  <c r="J3" i="2"/>
  <c r="E3" i="2"/>
  <c r="I2" i="2"/>
  <c r="G2" i="2"/>
  <c r="J2" i="2"/>
  <c r="E2" i="2"/>
  <c r="E1036" i="1"/>
  <c r="Q269" i="1"/>
  <c r="Q253" i="1"/>
  <c r="Q245" i="1"/>
  <c r="Q240" i="1"/>
  <c r="Q374" i="1"/>
  <c r="E374" i="1"/>
  <c r="Q516" i="1"/>
  <c r="Q509" i="1"/>
  <c r="Q524" i="1"/>
  <c r="Q562" i="1"/>
  <c r="Q564" i="1"/>
  <c r="Q555" i="1"/>
  <c r="Q496" i="1"/>
  <c r="Q569" i="1"/>
  <c r="Q535" i="1"/>
  <c r="Q479" i="1"/>
  <c r="Q563" i="1"/>
  <c r="Q514" i="1"/>
  <c r="Q536" i="1"/>
  <c r="Q472" i="1"/>
  <c r="Q543" i="1"/>
  <c r="Q469" i="1"/>
  <c r="Q547" i="1"/>
  <c r="Q567" i="1"/>
  <c r="Q453" i="1"/>
  <c r="E3466" i="1"/>
  <c r="E3460" i="1"/>
  <c r="Q3456" i="1"/>
  <c r="Q3436" i="1"/>
  <c r="E3436" i="1"/>
  <c r="Q3404" i="1"/>
  <c r="Q3371" i="1"/>
  <c r="Q3364" i="1"/>
  <c r="Q3347" i="1"/>
  <c r="Q3335" i="1"/>
  <c r="Q3309" i="1"/>
  <c r="Q3281" i="1"/>
  <c r="Q3278" i="1"/>
  <c r="Q3275" i="1"/>
  <c r="Q3256" i="1"/>
  <c r="Q3229" i="1"/>
  <c r="Q3193" i="1"/>
  <c r="Q3090" i="1"/>
  <c r="Q3077" i="1"/>
  <c r="Q3036" i="1"/>
  <c r="Q3005" i="1"/>
  <c r="Q2895" i="1"/>
  <c r="Q2885" i="1"/>
  <c r="Q2876" i="1"/>
  <c r="Q2870" i="1"/>
  <c r="Q2868" i="1"/>
  <c r="Q2869" i="1"/>
  <c r="Q2863" i="1"/>
  <c r="Q2849" i="1"/>
  <c r="Q2835" i="1"/>
  <c r="Q2812" i="1"/>
  <c r="Q2807" i="1"/>
  <c r="Q2803" i="1"/>
  <c r="Q2790" i="1"/>
  <c r="Q2787" i="1"/>
  <c r="Q2783" i="1"/>
  <c r="Q2777" i="1"/>
  <c r="Q2734" i="1"/>
  <c r="Q2736" i="1"/>
  <c r="Q2716" i="1"/>
  <c r="Q2712" i="1"/>
  <c r="Q2707" i="1"/>
  <c r="Q2693" i="1"/>
  <c r="Q2670" i="1"/>
  <c r="Q2643" i="1"/>
  <c r="Q2647" i="1"/>
  <c r="Q2638" i="1"/>
  <c r="Q2639" i="1"/>
  <c r="Q2637" i="1"/>
  <c r="Q2618" i="1"/>
  <c r="Q2610" i="1"/>
  <c r="Q2607" i="1"/>
  <c r="Q2596" i="1"/>
  <c r="Q2586" i="1"/>
  <c r="Q2566" i="1"/>
  <c r="Q2567" i="1"/>
  <c r="Q2546" i="1"/>
  <c r="Q2544" i="1"/>
  <c r="Q2509" i="1"/>
  <c r="Q2476" i="1"/>
  <c r="Q2464" i="1"/>
  <c r="Q2450" i="1"/>
  <c r="Q2423" i="1"/>
  <c r="E2421" i="1"/>
  <c r="Q2398" i="1"/>
  <c r="Q2389" i="1"/>
  <c r="Q2385" i="1"/>
  <c r="Q2358" i="1"/>
  <c r="Q2357" i="1"/>
  <c r="Q2355" i="1"/>
  <c r="Q2354" i="1"/>
  <c r="Q2341" i="1"/>
  <c r="Q2327" i="1"/>
  <c r="Q2323" i="1"/>
  <c r="Q2318" i="1"/>
  <c r="Q2294" i="1"/>
  <c r="E2294" i="1"/>
  <c r="Q2289" i="1"/>
  <c r="Q2271" i="1"/>
  <c r="Q2263" i="1"/>
  <c r="Q2246" i="1"/>
  <c r="E2243" i="1"/>
  <c r="E2240" i="1"/>
  <c r="Q2235" i="1"/>
  <c r="Q2231" i="1"/>
  <c r="Q2232" i="1"/>
  <c r="Q2227" i="1"/>
  <c r="E2220" i="1"/>
  <c r="Q2218" i="1"/>
  <c r="Q2216" i="1"/>
  <c r="Q2214" i="1"/>
  <c r="Q2213" i="1"/>
  <c r="Q2212" i="1"/>
  <c r="Q2187" i="1"/>
  <c r="E2187" i="1"/>
  <c r="Q2183" i="1"/>
  <c r="Q2181" i="1"/>
  <c r="Q2179" i="1"/>
  <c r="Q2154" i="1"/>
  <c r="Q2148" i="1"/>
  <c r="Q2139" i="1"/>
  <c r="Q2133" i="1"/>
  <c r="Q2135" i="1"/>
  <c r="Q2124" i="1"/>
  <c r="Q2116" i="1"/>
  <c r="E2113" i="1"/>
  <c r="Q2112" i="1"/>
  <c r="Q2108" i="1"/>
  <c r="Q2107" i="1"/>
  <c r="Q2098" i="1"/>
  <c r="E2100" i="1"/>
  <c r="E2077" i="1"/>
  <c r="Q2076" i="1"/>
  <c r="Q2074" i="1"/>
  <c r="Q2073" i="1"/>
  <c r="Q2070" i="1"/>
  <c r="Q2066" i="1"/>
  <c r="Q2059" i="1"/>
  <c r="Q2055" i="1"/>
  <c r="Q2053" i="1"/>
  <c r="Q2049" i="1"/>
  <c r="Q2043" i="1"/>
  <c r="E2043" i="1"/>
  <c r="Q2038" i="1"/>
  <c r="Q2032" i="1"/>
  <c r="Q2024" i="1"/>
  <c r="Q1991" i="1"/>
  <c r="Q1977" i="1"/>
  <c r="Q1980" i="1"/>
  <c r="E1974" i="1"/>
  <c r="Q1971" i="1"/>
  <c r="Q1958" i="1"/>
  <c r="Q1951" i="1"/>
  <c r="Q1944" i="1"/>
  <c r="Q1938" i="1"/>
  <c r="Q1933" i="1"/>
  <c r="Q1934" i="1"/>
  <c r="Q1924" i="1"/>
  <c r="Q1930" i="1"/>
  <c r="Q1917" i="1"/>
  <c r="Q1915" i="1"/>
  <c r="Q1912" i="1"/>
  <c r="Q1907" i="1"/>
  <c r="Q1903" i="1"/>
  <c r="E1903" i="1"/>
  <c r="Q1902" i="1"/>
  <c r="E1894" i="1"/>
  <c r="Q1881" i="1"/>
  <c r="Q1875" i="1"/>
  <c r="Q1869" i="1"/>
  <c r="Q1855" i="1"/>
  <c r="Q1857" i="1"/>
  <c r="Q1851" i="1"/>
  <c r="Q1849" i="1"/>
  <c r="Q1850" i="1"/>
  <c r="Q1842" i="1"/>
  <c r="Q1845" i="1"/>
  <c r="Q1841" i="1"/>
  <c r="Q1831" i="1"/>
  <c r="Q1833" i="1"/>
  <c r="Q1829" i="1"/>
  <c r="Q1822" i="1"/>
  <c r="Q1804" i="1"/>
  <c r="Q1795" i="1"/>
  <c r="Q1787" i="1"/>
  <c r="Q1777" i="1"/>
  <c r="Q1775" i="1"/>
  <c r="Q1763" i="1"/>
  <c r="Q1762" i="1"/>
  <c r="Q1747" i="1"/>
  <c r="Q1743" i="1"/>
  <c r="Q1736" i="1"/>
  <c r="Q1734" i="1"/>
  <c r="Q1724" i="1"/>
  <c r="Q1721" i="1"/>
  <c r="Q1710" i="1"/>
  <c r="Q1697" i="1"/>
  <c r="Q1696" i="1"/>
  <c r="Q1693" i="1"/>
  <c r="Q1688" i="1"/>
  <c r="Q1687" i="1"/>
  <c r="Q1681" i="1"/>
  <c r="Q1677" i="1"/>
  <c r="Q1665" i="1"/>
  <c r="Q1668" i="1"/>
  <c r="Q1656" i="1"/>
  <c r="Q1645" i="1"/>
  <c r="E1643" i="1"/>
  <c r="Q1635" i="1"/>
  <c r="Q1637" i="1"/>
  <c r="Q1636" i="1"/>
  <c r="Q1612" i="1"/>
  <c r="Q1609" i="1"/>
  <c r="Q1613" i="1"/>
  <c r="Q1608" i="1"/>
  <c r="E1608" i="1"/>
  <c r="E1604" i="1"/>
  <c r="Q1605" i="1"/>
  <c r="Q1596" i="1"/>
  <c r="Q1593" i="1"/>
  <c r="E1593" i="1"/>
  <c r="Q1582" i="1"/>
  <c r="Q1578" i="1"/>
  <c r="Q1573" i="1"/>
  <c r="Q1543" i="1"/>
  <c r="Q1542" i="1"/>
  <c r="Q1541" i="1"/>
  <c r="E1541" i="1"/>
  <c r="Q1536" i="1"/>
  <c r="Q1531" i="1"/>
  <c r="Q1524" i="1"/>
  <c r="Q1521" i="1"/>
  <c r="Q1499" i="1"/>
  <c r="Q1500" i="1"/>
  <c r="E1500" i="1"/>
  <c r="Q1493" i="1"/>
  <c r="Q1483" i="1"/>
  <c r="Q1480" i="1"/>
  <c r="Q1481" i="1"/>
  <c r="Q1482" i="1"/>
  <c r="Q1470" i="1"/>
  <c r="Q1471" i="1"/>
  <c r="Q1449" i="1"/>
  <c r="Q1444" i="1"/>
  <c r="E1441" i="1"/>
  <c r="Q1436" i="1"/>
  <c r="Q1425" i="1"/>
  <c r="Q1428" i="1"/>
  <c r="E1428" i="1"/>
  <c r="Q1427" i="1"/>
  <c r="E1427" i="1"/>
  <c r="Q1430" i="1"/>
  <c r="Q1387" i="1"/>
  <c r="Q1378" i="1"/>
  <c r="Q1377" i="1"/>
  <c r="Q1368" i="1"/>
  <c r="Q1362" i="1"/>
  <c r="Q1350" i="1"/>
  <c r="Q1349" i="1"/>
  <c r="Q1341" i="1"/>
  <c r="Q1340" i="1"/>
  <c r="Q1338" i="1"/>
  <c r="E1338" i="1"/>
  <c r="Q1339" i="1"/>
  <c r="Q1335" i="1"/>
  <c r="Q1334" i="1"/>
  <c r="Q1319" i="1"/>
  <c r="E1319" i="1"/>
  <c r="Q1317" i="1"/>
  <c r="Q1310" i="1"/>
  <c r="Q1304" i="1"/>
  <c r="Q1293" i="1"/>
  <c r="E1290" i="1"/>
  <c r="Q1287" i="1"/>
  <c r="Q1274" i="1"/>
  <c r="Q1279" i="1"/>
  <c r="Q1269" i="1"/>
  <c r="Q1265" i="1"/>
  <c r="Q1250" i="1"/>
  <c r="Q1247" i="1"/>
  <c r="E1247" i="1"/>
  <c r="Q1245" i="1"/>
  <c r="Q1241" i="1"/>
  <c r="Q1240" i="1"/>
  <c r="E1240" i="1"/>
  <c r="Q1237" i="1"/>
  <c r="Q1231" i="1"/>
  <c r="Q1230" i="1"/>
  <c r="Q1228" i="1"/>
  <c r="Q1225" i="1"/>
  <c r="Q1222" i="1"/>
  <c r="Q1219" i="1"/>
  <c r="Q1215" i="1"/>
  <c r="Q1210" i="1"/>
  <c r="E1210" i="1"/>
  <c r="E1209" i="1"/>
  <c r="Q1211" i="1"/>
  <c r="Q1208" i="1"/>
  <c r="Q1200" i="1"/>
  <c r="Q1204" i="1"/>
  <c r="E1203" i="1"/>
  <c r="Q1206" i="1"/>
  <c r="Q1201" i="1"/>
  <c r="Q1205" i="1"/>
  <c r="Q1197" i="1"/>
  <c r="Q1195" i="1"/>
  <c r="Q1192" i="1"/>
  <c r="Q1190" i="1"/>
  <c r="Q1188" i="1"/>
  <c r="Q1183" i="1"/>
  <c r="Q1181" i="1"/>
  <c r="Q1182" i="1"/>
  <c r="Q1174" i="1"/>
  <c r="Q1173" i="1"/>
  <c r="E1173" i="1"/>
  <c r="Q1175" i="1"/>
  <c r="E1175" i="1"/>
  <c r="Q1172" i="1"/>
  <c r="Q1169" i="1"/>
  <c r="E1169" i="1"/>
  <c r="Q1165" i="1"/>
  <c r="Q1164" i="1"/>
  <c r="Q1162" i="1"/>
  <c r="Q1160" i="1"/>
  <c r="Q1155" i="1"/>
  <c r="E1155" i="1"/>
  <c r="Q1158" i="1"/>
  <c r="E1158" i="1"/>
  <c r="Q1153" i="1"/>
  <c r="E1153" i="1"/>
  <c r="Q1141" i="1"/>
  <c r="Q1137" i="1"/>
  <c r="Q1138" i="1"/>
  <c r="Q1131" i="1"/>
  <c r="Q1128" i="1"/>
  <c r="Q1113" i="1"/>
  <c r="Q1104" i="1"/>
  <c r="Q1100" i="1"/>
  <c r="Q1085" i="1"/>
  <c r="Q1066" i="1"/>
  <c r="Q1063" i="1"/>
  <c r="Q1049" i="1"/>
  <c r="A1046" i="1"/>
  <c r="Q1045" i="1"/>
  <c r="Q1039" i="1"/>
  <c r="Q1040" i="1"/>
  <c r="Q1036" i="1"/>
  <c r="Q1037" i="1"/>
  <c r="Q1033" i="1"/>
  <c r="Q1031" i="1"/>
  <c r="Q1024" i="1"/>
  <c r="Q1022" i="1"/>
  <c r="Q997" i="1"/>
  <c r="Q983" i="1"/>
  <c r="Q955" i="1"/>
  <c r="Q935" i="1"/>
  <c r="Q928" i="1"/>
  <c r="Q880" i="1"/>
  <c r="Q867" i="1"/>
  <c r="A867" i="1"/>
  <c r="Q859" i="1"/>
  <c r="Q857" i="1"/>
  <c r="Q851" i="1"/>
  <c r="Q849" i="1"/>
  <c r="E849" i="1"/>
  <c r="Q846" i="1"/>
  <c r="Q848" i="1"/>
  <c r="Q845" i="1"/>
  <c r="Q847" i="1"/>
  <c r="Q843" i="1"/>
  <c r="Q844" i="1"/>
  <c r="E844" i="1"/>
  <c r="Q839" i="1"/>
  <c r="Q840" i="1"/>
  <c r="Q841" i="1"/>
  <c r="Q842" i="1"/>
  <c r="Q837" i="1"/>
  <c r="E837" i="1"/>
  <c r="Q832" i="1"/>
  <c r="Q834" i="1"/>
  <c r="Q836" i="1"/>
  <c r="Q835" i="1"/>
  <c r="Q833" i="1"/>
  <c r="Q830" i="1"/>
  <c r="Q831" i="1"/>
  <c r="Q826" i="1"/>
  <c r="E826" i="1"/>
  <c r="Q827" i="1"/>
  <c r="Q828" i="1"/>
  <c r="Q829" i="1"/>
  <c r="Q825" i="1"/>
  <c r="Q824" i="1"/>
  <c r="Q823" i="1"/>
  <c r="Q822" i="1"/>
  <c r="Q821" i="1"/>
  <c r="Q820" i="1"/>
  <c r="Q819" i="1"/>
  <c r="Q818" i="1"/>
  <c r="Q817" i="1"/>
  <c r="Q816" i="1"/>
  <c r="Q815" i="1"/>
  <c r="Q814" i="1"/>
  <c r="E814" i="1"/>
  <c r="Q811" i="1"/>
  <c r="Q812" i="1"/>
  <c r="Q808" i="1"/>
  <c r="Q809" i="1"/>
  <c r="Q807" i="1"/>
  <c r="Q803" i="1"/>
  <c r="Q805" i="1"/>
  <c r="Q806" i="1"/>
  <c r="Q804" i="1"/>
  <c r="E804" i="1"/>
  <c r="Q810" i="1"/>
  <c r="Q801" i="1"/>
  <c r="Q799" i="1"/>
  <c r="Q802" i="1"/>
  <c r="Q797" i="1"/>
  <c r="Q798" i="1"/>
  <c r="Q793" i="1"/>
  <c r="Q789" i="1"/>
  <c r="Q786" i="1"/>
  <c r="Q785" i="1"/>
  <c r="Q783" i="1"/>
  <c r="Q782" i="1"/>
  <c r="E784" i="1"/>
  <c r="Q777" i="1"/>
  <c r="Q772" i="1"/>
  <c r="E772" i="1"/>
  <c r="Q769" i="1"/>
  <c r="Q771" i="1"/>
  <c r="E771" i="1"/>
  <c r="Q773" i="1"/>
  <c r="Q768" i="1"/>
  <c r="Q770" i="1"/>
  <c r="Q774" i="1"/>
  <c r="Q766" i="1"/>
  <c r="E766" i="1"/>
  <c r="Q763" i="1"/>
  <c r="Q767" i="1"/>
  <c r="Q761" i="1"/>
  <c r="Q762" i="1"/>
  <c r="E762" i="1"/>
  <c r="Q759" i="1"/>
  <c r="E759" i="1"/>
  <c r="E758" i="1"/>
  <c r="Q760" i="1"/>
  <c r="Q756" i="1"/>
  <c r="Q752" i="1"/>
  <c r="E752" i="1"/>
  <c r="Q754" i="1"/>
  <c r="E754" i="1"/>
  <c r="Q753" i="1"/>
  <c r="Q751" i="1"/>
  <c r="Q746" i="1"/>
  <c r="Q747" i="1"/>
  <c r="Q750" i="1"/>
  <c r="Q749" i="1"/>
  <c r="E749" i="1"/>
  <c r="Q748" i="1"/>
  <c r="Q745" i="1"/>
  <c r="E745" i="1"/>
  <c r="Q744" i="1"/>
  <c r="E744" i="1"/>
  <c r="Q743" i="1"/>
  <c r="Q741" i="1"/>
  <c r="Q739" i="1"/>
  <c r="Q740" i="1"/>
  <c r="Q742" i="1"/>
  <c r="Q737" i="1"/>
  <c r="Q735" i="1"/>
  <c r="Q732" i="1"/>
  <c r="Q734" i="1"/>
  <c r="Q730" i="1"/>
  <c r="Q731" i="1"/>
  <c r="Q729" i="1"/>
  <c r="Q727" i="1"/>
  <c r="Q724" i="1"/>
  <c r="Q726" i="1"/>
  <c r="Q725" i="1"/>
  <c r="Q728" i="1"/>
  <c r="Q722" i="1"/>
  <c r="Q723" i="1"/>
  <c r="Q721" i="1"/>
  <c r="Q720" i="1"/>
  <c r="Q718" i="1"/>
  <c r="Q715" i="1"/>
  <c r="Q719" i="1"/>
  <c r="Q716" i="1"/>
  <c r="Q717" i="1"/>
  <c r="Q711" i="1"/>
  <c r="Q712" i="1"/>
  <c r="Q714" i="1"/>
  <c r="Q713" i="1"/>
  <c r="Q710" i="1"/>
  <c r="Q708" i="1"/>
  <c r="Q707" i="1"/>
  <c r="Q706" i="1"/>
  <c r="Q705" i="1"/>
  <c r="Q704" i="1"/>
  <c r="Q701" i="1"/>
  <c r="Q702" i="1"/>
  <c r="Q703" i="1"/>
  <c r="Q699" i="1"/>
  <c r="Q700" i="1"/>
  <c r="Q697" i="1"/>
  <c r="Q698" i="1"/>
  <c r="Q694" i="1"/>
  <c r="Q695" i="1"/>
  <c r="Q696" i="1"/>
  <c r="Q693" i="1"/>
  <c r="Q689" i="1"/>
  <c r="Q685" i="1"/>
  <c r="Q687" i="1"/>
  <c r="Q688" i="1"/>
  <c r="Q691" i="1"/>
  <c r="Q686" i="1"/>
  <c r="Q690" i="1"/>
  <c r="Q692" i="1"/>
  <c r="Q684" i="1"/>
  <c r="Q683" i="1"/>
  <c r="Q682" i="1"/>
  <c r="Q681" i="1"/>
  <c r="Q680" i="1"/>
  <c r="Q679" i="1"/>
  <c r="Q678" i="1"/>
  <c r="Q677" i="1"/>
  <c r="Q676" i="1"/>
  <c r="Q672" i="1"/>
  <c r="Q674" i="1"/>
  <c r="Q673" i="1"/>
  <c r="Q675" i="1"/>
  <c r="Q666" i="1"/>
  <c r="Q671" i="1"/>
  <c r="Q668" i="1"/>
  <c r="Q669" i="1"/>
  <c r="Q670" i="1"/>
  <c r="Q667" i="1"/>
  <c r="Q663" i="1"/>
  <c r="A663" i="1"/>
  <c r="Q664" i="1"/>
  <c r="Q662" i="1"/>
  <c r="Q659" i="1"/>
  <c r="Q658" i="1"/>
  <c r="Q655" i="1"/>
  <c r="A655" i="1"/>
  <c r="Q656" i="1"/>
  <c r="A656" i="1"/>
  <c r="Q654" i="1"/>
  <c r="A654" i="1"/>
  <c r="Q653" i="1"/>
  <c r="A653" i="1"/>
  <c r="Q651" i="1"/>
  <c r="Q649" i="1"/>
  <c r="Q650" i="1"/>
  <c r="Q647" i="1"/>
  <c r="A647" i="1"/>
  <c r="Q646" i="1"/>
  <c r="Q648" i="1"/>
  <c r="A648" i="1"/>
  <c r="Q644" i="1"/>
  <c r="A644" i="1"/>
  <c r="Q645" i="1"/>
  <c r="Q643" i="1"/>
  <c r="Q641" i="1"/>
  <c r="Q638" i="1"/>
  <c r="Q637" i="1"/>
  <c r="A637" i="1"/>
  <c r="Q639" i="1"/>
  <c r="A639" i="1"/>
  <c r="Q640" i="1"/>
  <c r="A640" i="1"/>
  <c r="Q635" i="1"/>
  <c r="Q636" i="1"/>
  <c r="Q631" i="1"/>
  <c r="A631" i="1"/>
  <c r="Q634" i="1"/>
  <c r="Q630" i="1"/>
  <c r="Q633" i="1"/>
  <c r="A633" i="1"/>
  <c r="Q632" i="1"/>
  <c r="A632" i="1"/>
  <c r="Q626" i="1"/>
  <c r="A626" i="1"/>
  <c r="Q629" i="1"/>
  <c r="A629" i="1"/>
  <c r="Q625" i="1"/>
  <c r="Q628" i="1"/>
  <c r="Q627" i="1"/>
  <c r="E627" i="1"/>
  <c r="A627" i="1"/>
  <c r="Q624" i="1"/>
  <c r="E624" i="1"/>
  <c r="Q623" i="1"/>
  <c r="Q622" i="1"/>
  <c r="E622" i="1"/>
  <c r="Q621" i="1"/>
  <c r="E621" i="1"/>
  <c r="Q620" i="1"/>
  <c r="E620" i="1"/>
  <c r="Q619" i="1"/>
  <c r="E619" i="1"/>
  <c r="Q617" i="1"/>
  <c r="E617" i="1"/>
  <c r="Q618" i="1"/>
  <c r="E618" i="1"/>
  <c r="Q612" i="1"/>
  <c r="E612" i="1"/>
  <c r="Q615" i="1"/>
  <c r="E615" i="1"/>
  <c r="Q616" i="1"/>
  <c r="E616" i="1"/>
  <c r="Q613" i="1"/>
  <c r="E613" i="1"/>
  <c r="Q614" i="1"/>
  <c r="E614" i="1"/>
  <c r="Q611" i="1"/>
  <c r="E611" i="1"/>
  <c r="Q610" i="1"/>
  <c r="E610" i="1"/>
  <c r="Q609" i="1"/>
  <c r="E609" i="1"/>
  <c r="Q608" i="1"/>
  <c r="E608" i="1"/>
  <c r="Q606" i="1"/>
  <c r="Q605" i="1"/>
  <c r="Q607" i="1"/>
  <c r="Q603" i="1"/>
  <c r="Q604" i="1"/>
  <c r="Q602" i="1"/>
  <c r="Q601" i="1"/>
  <c r="Q598" i="1"/>
  <c r="Q599" i="1"/>
  <c r="Q600" i="1"/>
  <c r="E600" i="1"/>
  <c r="Q597" i="1"/>
  <c r="E597" i="1"/>
  <c r="Q596" i="1"/>
  <c r="Q595" i="1"/>
  <c r="Q594" i="1"/>
  <c r="E594" i="1"/>
  <c r="Q592" i="1"/>
  <c r="E592" i="1"/>
  <c r="Q593" i="1"/>
  <c r="E593" i="1"/>
  <c r="Q589" i="1"/>
  <c r="E589" i="1"/>
  <c r="Q590" i="1"/>
  <c r="E590" i="1"/>
  <c r="Q588" i="1"/>
  <c r="Q591" i="1"/>
  <c r="E591" i="1"/>
  <c r="Q587" i="1"/>
  <c r="E587" i="1"/>
  <c r="Q586" i="1"/>
  <c r="E586" i="1"/>
  <c r="Q585" i="1"/>
  <c r="Q584" i="1"/>
  <c r="Q583" i="1"/>
  <c r="E583" i="1"/>
  <c r="Q581" i="1"/>
  <c r="Q582" i="1"/>
  <c r="Q580" i="1"/>
  <c r="E580" i="1"/>
  <c r="Q579" i="1"/>
  <c r="Q578" i="1"/>
  <c r="Q577" i="1"/>
  <c r="Q576" i="1"/>
  <c r="E576" i="1"/>
  <c r="Q575" i="1"/>
  <c r="Q574" i="1"/>
  <c r="E574" i="1"/>
  <c r="Q573" i="1"/>
  <c r="E573" i="1"/>
  <c r="Q571" i="1"/>
  <c r="Q572" i="1"/>
  <c r="E572" i="1"/>
  <c r="E567" i="1"/>
  <c r="Q568" i="1"/>
  <c r="E568" i="1"/>
  <c r="Q566" i="1"/>
  <c r="Q570" i="1"/>
  <c r="E570" i="1"/>
  <c r="E564" i="1"/>
  <c r="Q560" i="1"/>
  <c r="Q557" i="1"/>
  <c r="Q558" i="1"/>
  <c r="E558" i="1"/>
  <c r="Q561" i="1"/>
  <c r="E561" i="1"/>
  <c r="Q559" i="1"/>
  <c r="Q556" i="1"/>
  <c r="Q554" i="1"/>
  <c r="E554" i="1"/>
  <c r="Q552" i="1"/>
  <c r="E552" i="1"/>
  <c r="Q553" i="1"/>
  <c r="Q550" i="1"/>
  <c r="E550" i="1"/>
  <c r="Q551" i="1"/>
  <c r="E551" i="1"/>
  <c r="Q549" i="1"/>
  <c r="Q545" i="1"/>
  <c r="Q546" i="1"/>
  <c r="Q548" i="1"/>
  <c r="Q539" i="1"/>
  <c r="E539" i="1"/>
  <c r="E543" i="1"/>
  <c r="Q541" i="1"/>
  <c r="Q544" i="1"/>
  <c r="Q540" i="1"/>
  <c r="Q538" i="1"/>
  <c r="Q542" i="1"/>
  <c r="Q537" i="1"/>
  <c r="E537" i="1"/>
  <c r="E536" i="1"/>
  <c r="Q534" i="1"/>
  <c r="E534" i="1"/>
  <c r="Q529" i="1"/>
  <c r="Q533" i="1"/>
  <c r="Q532" i="1"/>
  <c r="Q531" i="1"/>
  <c r="Q528" i="1"/>
  <c r="Q527" i="1"/>
  <c r="Q526" i="1"/>
  <c r="E524" i="1"/>
  <c r="Q525" i="1"/>
  <c r="Q518" i="1"/>
  <c r="E518" i="1"/>
  <c r="Q519" i="1"/>
  <c r="E519" i="1"/>
  <c r="Q521" i="1"/>
  <c r="Q520" i="1"/>
  <c r="Q522" i="1"/>
  <c r="Q523" i="1"/>
  <c r="E523" i="1"/>
  <c r="Q515" i="1"/>
  <c r="E515" i="1"/>
  <c r="Q517" i="1"/>
  <c r="Q512" i="1"/>
  <c r="Q511" i="1"/>
  <c r="E509" i="1"/>
  <c r="Q510" i="1"/>
  <c r="Q506" i="1"/>
  <c r="Q507" i="1"/>
  <c r="Q508" i="1"/>
  <c r="E508" i="1"/>
  <c r="Q503" i="1"/>
  <c r="E503" i="1"/>
  <c r="Q504" i="1"/>
  <c r="Q505" i="1"/>
  <c r="Q501" i="1"/>
  <c r="Q499" i="1"/>
  <c r="Q500" i="1"/>
  <c r="Q498" i="1"/>
  <c r="Q497" i="1"/>
  <c r="Q492" i="1"/>
  <c r="Q493" i="1"/>
  <c r="Q495" i="1"/>
  <c r="Q494" i="1"/>
  <c r="Q491" i="1"/>
  <c r="Q487" i="1"/>
  <c r="Q489" i="1"/>
  <c r="Q490" i="1"/>
  <c r="Q488" i="1"/>
  <c r="E486" i="1"/>
  <c r="Q485" i="1"/>
  <c r="E485" i="1"/>
  <c r="Q483" i="1"/>
  <c r="Q484" i="1"/>
  <c r="Q482" i="1"/>
  <c r="E479" i="1"/>
  <c r="Q481" i="1"/>
  <c r="Q478" i="1"/>
  <c r="Q477" i="1"/>
  <c r="Q480" i="1"/>
  <c r="E480" i="1"/>
  <c r="Q474" i="1"/>
  <c r="Q471" i="1"/>
  <c r="Q476" i="1"/>
  <c r="Q475" i="1"/>
  <c r="E475" i="1"/>
  <c r="Q473" i="1"/>
  <c r="Q470" i="1"/>
  <c r="E470" i="1"/>
  <c r="Q466" i="1"/>
  <c r="Q468" i="1"/>
  <c r="Q465" i="1"/>
  <c r="Q467" i="1"/>
  <c r="Q464" i="1"/>
  <c r="E464" i="1"/>
  <c r="Q463" i="1"/>
  <c r="Q462" i="1"/>
  <c r="Q460" i="1"/>
  <c r="E460" i="1"/>
  <c r="Q461" i="1"/>
  <c r="E461" i="1"/>
  <c r="Q458" i="1"/>
  <c r="E458" i="1"/>
  <c r="Q457" i="1"/>
  <c r="Q459" i="1"/>
  <c r="Q455" i="1"/>
  <c r="Q456" i="1"/>
  <c r="Q452" i="1"/>
  <c r="E452" i="1"/>
  <c r="E453" i="1"/>
  <c r="Q451" i="1"/>
  <c r="Q448" i="1"/>
  <c r="E448" i="1"/>
  <c r="Q447" i="1"/>
  <c r="Q449" i="1"/>
  <c r="E449" i="1"/>
  <c r="Q450" i="1"/>
  <c r="E450" i="1"/>
  <c r="Q339" i="1"/>
  <c r="Q323" i="1"/>
  <c r="Q317" i="1"/>
  <c r="Q297" i="1"/>
  <c r="Q298" i="1"/>
  <c r="Q299" i="1"/>
  <c r="Q295" i="1"/>
  <c r="Q296" i="1"/>
  <c r="Q293" i="1"/>
  <c r="Q292" i="1"/>
  <c r="Q290" i="1"/>
  <c r="Q287" i="1"/>
</calcChain>
</file>

<file path=xl/sharedStrings.xml><?xml version="1.0" encoding="utf-8"?>
<sst xmlns="http://schemas.openxmlformats.org/spreadsheetml/2006/main" count="55765" uniqueCount="21311">
  <si>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</si>
  <si>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</si>
  <si>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</si>
  <si>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</si>
  <si>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</si>
  <si>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</si>
  <si>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</si>
  <si>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</si>
  <si>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</si>
  <si>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</si>
  <si>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</si>
  <si>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</si>
  <si>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</si>
  <si>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</si>
  <si>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</si>
  <si>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</si>
  <si>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</si>
  <si>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</si>
  <si>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</si>
  <si>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</si>
  <si>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</si>
  <si>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</si>
  <si>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</si>
  <si>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</si>
  <si>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</si>
  <si>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</si>
  <si>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</si>
  <si>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</si>
  <si>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</si>
  <si>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</si>
  <si>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Unknown race</t>
  </si>
  <si>
    <t>159 Carver Rd</t>
  </si>
  <si>
    <t>SC</t>
  </si>
  <si>
    <t>Greenville</t>
  </si>
  <si>
    <t>Greenville County Sheriff's Office</t>
  </si>
  <si>
    <t>Unclear</t>
  </si>
  <si>
    <t>Richard Love</t>
  </si>
  <si>
    <t>White</t>
  </si>
  <si>
    <t>http://www.killedbypolice.net/victims/150912.jpg</t>
  </si>
  <si>
    <t>1750 Boston Post Rd</t>
  </si>
  <si>
    <t>Old Saybrook</t>
  </si>
  <si>
    <t>CT</t>
  </si>
  <si>
    <t>Middlesex</t>
  </si>
  <si>
    <t>Connecticut State Police</t>
  </si>
  <si>
    <t>IL</t>
  </si>
  <si>
    <t>CA</t>
  </si>
  <si>
    <t>MA</t>
  </si>
  <si>
    <t>Gary Boitano</t>
  </si>
  <si>
    <t>Hispanic</t>
  </si>
  <si>
    <t>http://www.killedbypolice.net/victims/150910.jpg</t>
  </si>
  <si>
    <t>6400 Cardinal Ln</t>
  </si>
  <si>
    <t>Columbia</t>
  </si>
  <si>
    <t>MD</t>
  </si>
  <si>
    <t>Howard</t>
  </si>
  <si>
    <t>Howard County Police Department</t>
  </si>
  <si>
    <t>Travis LaQuay</t>
  </si>
  <si>
    <t>http://www.killedbypolice.net/victims/150911.jpg</t>
  </si>
  <si>
    <t>MI</t>
  </si>
  <si>
    <t>Montcalm</t>
  </si>
  <si>
    <t>http://www.mlive.com/news/grand-rapids/index.ssf/2015/10/deputy_shot_with_cross-bow_as.html</t>
  </si>
  <si>
    <t>Amado Lago</t>
  </si>
  <si>
    <t>West Palm Beach</t>
  </si>
  <si>
    <t>FL</t>
  </si>
  <si>
    <t>Palm Beach County Sheriff's Office</t>
  </si>
  <si>
    <t>Donald Miller II</t>
  </si>
  <si>
    <t>Monterey</t>
  </si>
  <si>
    <t>Monterey Police Department</t>
  </si>
  <si>
    <t>Omar Ali</t>
  </si>
  <si>
    <t>http://www.killedbypolice.net/victims/150908.jpg</t>
  </si>
  <si>
    <t>OH</t>
  </si>
  <si>
    <t>http://www.cleveland.com/akron/index.ssf/2015/10/akron_hookah_bar_owner_shot_du.html</t>
  </si>
  <si>
    <t>James Dunaway</t>
  </si>
  <si>
    <t>Hurst</t>
  </si>
  <si>
    <t>TX</t>
  </si>
  <si>
    <t>Tarrant</t>
  </si>
  <si>
    <t>Hurst Police Department</t>
  </si>
  <si>
    <t>http://www.wfaa.com/story/news/local/tarrant-county/2015/10/05/suspect-killed-in-hurst-officer-involved-shooting/73425460/</t>
  </si>
  <si>
    <t>Rodney Jencsik</t>
  </si>
  <si>
    <t>http://www.killedbypolice.net/victims/150907.jpg</t>
  </si>
  <si>
    <t>Freddie Ave</t>
  </si>
  <si>
    <t>Woodbridge Township</t>
  </si>
  <si>
    <t>NJ</t>
  </si>
  <si>
    <t>Woodbridge Police Department</t>
  </si>
  <si>
    <t>http://www.mycentraljersey.com/story/news/local/middlesex-county/2015/10/06/man-shot-dead-police-woodbridge-standoff/73442052/</t>
  </si>
  <si>
    <t>Jeffery McCallum</t>
  </si>
  <si>
    <t>Black</t>
  </si>
  <si>
    <t>http://www.killedbypolice.net/victims/150904.jpg</t>
  </si>
  <si>
    <t>Chicago</t>
  </si>
  <si>
    <t>Cook</t>
  </si>
  <si>
    <t>Chicago Police Department</t>
  </si>
  <si>
    <t>Eric Edgell</t>
  </si>
  <si>
    <t>http://www.killedbypolice.net/victims/150905.jpg</t>
  </si>
  <si>
    <t>2nd St</t>
  </si>
  <si>
    <t>Muscle Shoals</t>
  </si>
  <si>
    <t>AL</t>
  </si>
  <si>
    <t>Colbert</t>
  </si>
  <si>
    <t>Muscle Shoals Police Department, Sheffield Police Department</t>
  </si>
  <si>
    <t>Sepulveda Blvd and Victory Blvd</t>
  </si>
  <si>
    <t>Los Angeles</t>
  </si>
  <si>
    <t>Los Angeles Police Department</t>
  </si>
  <si>
    <t>No</t>
  </si>
  <si>
    <t>Christopher Kimble</t>
  </si>
  <si>
    <t>http://www.killedbypolice.net/victims/150902.jpg</t>
  </si>
  <si>
    <t>Emily St and Superior Ave</t>
  </si>
  <si>
    <t>East Cleveland</t>
  </si>
  <si>
    <t>Cuyahoga</t>
  </si>
  <si>
    <t>East Cleveland Police Department</t>
  </si>
  <si>
    <t>Struck by vehicle</t>
  </si>
  <si>
    <t>http://www.newsnet5.com/news/local-news/oh-cuyahoga/witnesspolice-cruiser-hit-kills-man</t>
  </si>
  <si>
    <t>200 S Linden Ave</t>
  </si>
  <si>
    <t>Rialto</t>
  </si>
  <si>
    <t>San Bernadino</t>
  </si>
  <si>
    <t>Rialto Police Department</t>
  </si>
  <si>
    <t>http://www.pe.com/articles/officers-782334-domestic-involved.html</t>
  </si>
  <si>
    <t>Phyllis Jepsen</t>
  </si>
  <si>
    <t>Female</t>
  </si>
  <si>
    <t>18000 SW Shaw St</t>
  </si>
  <si>
    <t>Aloha</t>
  </si>
  <si>
    <t>OR</t>
  </si>
  <si>
    <t>Washington</t>
  </si>
  <si>
    <t>Washington County Sheriff's Office</t>
  </si>
  <si>
    <t>David Diaz</t>
  </si>
  <si>
    <t>http://www.killedbypolice.net/victims/150901.jpg</t>
  </si>
  <si>
    <t>Sierra Vista</t>
  </si>
  <si>
    <t>AZ</t>
  </si>
  <si>
    <t>Cochise</t>
  </si>
  <si>
    <t>Matthew Dobbins</t>
  </si>
  <si>
    <t>14800 Xit Trail</t>
  </si>
  <si>
    <t>Amarillo</t>
  </si>
  <si>
    <t>Randall</t>
  </si>
  <si>
    <t>Randall County Sheriff's Office</t>
  </si>
  <si>
    <t>http://amarillo.com/news/latest-news/2015-10-02/home-invasion-leads-officer-involved-shooting</t>
  </si>
  <si>
    <t>Robert Sullivan Christen</t>
  </si>
  <si>
    <t>http://www.killedbypolice.net/victims/150897.jpg</t>
  </si>
  <si>
    <t>Mora</t>
  </si>
  <si>
    <t>MN</t>
  </si>
  <si>
    <t>Kanabec</t>
  </si>
  <si>
    <t>Kanabec County Sheriff's Office</t>
  </si>
  <si>
    <t>Wesley Manning</t>
  </si>
  <si>
    <t>http://www.killedbypolice.net/victims/150896.jpg</t>
  </si>
  <si>
    <t>Patrick Stephen Lundstrom</t>
  </si>
  <si>
    <t>Native American</t>
  </si>
  <si>
    <t>http://www.killedbypolice.net/victims/150895.jpg</t>
  </si>
  <si>
    <t>20 Signal Dr</t>
  </si>
  <si>
    <t>Rapid City</t>
  </si>
  <si>
    <t>SD</t>
  </si>
  <si>
    <t>Pennington</t>
  </si>
  <si>
    <t>Rapid City Police Department</t>
  </si>
  <si>
    <t>Brandon Johnson</t>
  </si>
  <si>
    <t>http://www.killedbypolice.net/victims/150892.jpg</t>
  </si>
  <si>
    <t>W Virginia Turnpike</t>
  </si>
  <si>
    <t>Beckley</t>
  </si>
  <si>
    <t>WV</t>
  </si>
  <si>
    <t>Raleigh</t>
  </si>
  <si>
    <t>West Virginia State Police</t>
  </si>
  <si>
    <t>Walter Roches</t>
  </si>
  <si>
    <t>http://www.killedbypolice.net/victims/150891.jpg</t>
  </si>
  <si>
    <t>Alberto Hernandez</t>
  </si>
  <si>
    <t>San Diego</t>
  </si>
  <si>
    <t>San Diego Police Department</t>
  </si>
  <si>
    <t>Junior Prosper</t>
  </si>
  <si>
    <t>http://www.killedbypolice.net/victims/150888.jpg</t>
  </si>
  <si>
    <t>North Miami</t>
  </si>
  <si>
    <t>Miami-Dade</t>
  </si>
  <si>
    <t>Miami-Dade Police Department</t>
  </si>
  <si>
    <t>Victor Oswaldo Coronado-Martinez</t>
  </si>
  <si>
    <t>http://www.killedbypolice.net/victims/150890.jpg</t>
  </si>
  <si>
    <t>Ponder</t>
  </si>
  <si>
    <t>Denton</t>
  </si>
  <si>
    <t>Ponder Police Department</t>
  </si>
  <si>
    <t>Norma Angelica Guzman</t>
  </si>
  <si>
    <t>http://www.killedbypolice.net/victims/150886.jpg</t>
  </si>
  <si>
    <t>2100 S San Pedro St</t>
  </si>
  <si>
    <t>Christopher Shell</t>
  </si>
  <si>
    <t>Rossville</t>
  </si>
  <si>
    <t>GA</t>
  </si>
  <si>
    <t>Walker</t>
  </si>
  <si>
    <t>Walker County Sheriff's Office</t>
  </si>
  <si>
    <t>Jeffrey Blood</t>
  </si>
  <si>
    <t>http://www.killedbypolice.net/victims/150881.jpg</t>
  </si>
  <si>
    <t>Wilhoit</t>
  </si>
  <si>
    <t>Yavapai</t>
  </si>
  <si>
    <t>Yavapai County Sheriff's Office</t>
  </si>
  <si>
    <t>Kylie Lindsey</t>
  </si>
  <si>
    <t>http://www.killedbypolice.net/victims/150884.jpg</t>
  </si>
  <si>
    <t>Isabella Chinchilla</t>
  </si>
  <si>
    <t xml:space="preserve"> 16 </t>
  </si>
  <si>
    <t>http://www.killedbypolice.net/victims/150885.jpg</t>
  </si>
  <si>
    <t>James Anderson</t>
  </si>
  <si>
    <t>906 N Central Park Ave</t>
  </si>
  <si>
    <t>Anthony McKinney</t>
  </si>
  <si>
    <t>http://www.killedbypolice.net/victims/150882.jpg</t>
  </si>
  <si>
    <t>Baton Rouge</t>
  </si>
  <si>
    <t>East Baton Rouge Sheriff's Office</t>
  </si>
  <si>
    <t>Alejandro Lerma</t>
  </si>
  <si>
    <t>http://www.killedbypolice.net/victims/150883.jpg</t>
  </si>
  <si>
    <t>W Jefferson Ave</t>
  </si>
  <si>
    <t>Lovington</t>
  </si>
  <si>
    <t>NM</t>
  </si>
  <si>
    <t>Lovington Police Department</t>
  </si>
  <si>
    <t>Freddy Centeno</t>
  </si>
  <si>
    <t>http://www.killedbypolice.net/victims/2772.jpg</t>
  </si>
  <si>
    <t>S Orange Ave and E El Monte Way</t>
  </si>
  <si>
    <t>Fresno</t>
  </si>
  <si>
    <t>Fresno Police Department</t>
  </si>
  <si>
    <t>William Lemmon</t>
  </si>
  <si>
    <t>http://www.killedbypolice.net/victims/150879.jpg</t>
  </si>
  <si>
    <t>Akron</t>
  </si>
  <si>
    <t>Akron Police Department</t>
  </si>
  <si>
    <t>Patrick O'Grady</t>
  </si>
  <si>
    <t>http://www.killedbypolice.net/victims/150877.jpg</t>
  </si>
  <si>
    <t>Fountain</t>
  </si>
  <si>
    <t>CO</t>
  </si>
  <si>
    <t>Fountain Police Department</t>
  </si>
  <si>
    <t>Ernesto Medina López</t>
  </si>
  <si>
    <t>http://www.killedbypolice.net/victims/150875.jpg</t>
  </si>
  <si>
    <t>Miami</t>
  </si>
  <si>
    <t>Ronny Bowling</t>
  </si>
  <si>
    <t>S Emerson Ave and E Southport Rd</t>
  </si>
  <si>
    <t>Indianapolis</t>
  </si>
  <si>
    <t>IN</t>
  </si>
  <si>
    <t>Indianapolis Metropolitan Police Department</t>
  </si>
  <si>
    <t>Philip Quinn</t>
  </si>
  <si>
    <t>http://www.killedbypolice.net/victims/150876.jpg</t>
  </si>
  <si>
    <t>St Paul</t>
  </si>
  <si>
    <t>Jeremy McDole</t>
  </si>
  <si>
    <t>http://www.killedbypolice.net/victims/150872.jpg</t>
  </si>
  <si>
    <t>Wilmington</t>
  </si>
  <si>
    <t>DE</t>
  </si>
  <si>
    <t>Wilmington Police Department</t>
  </si>
  <si>
    <t>Keith Harrison McLeod</t>
  </si>
  <si>
    <t>http://www.killedbypolice.net/victims/150873.jpg</t>
  </si>
  <si>
    <t>47 Main St</t>
  </si>
  <si>
    <t>Reisterstown</t>
  </si>
  <si>
    <t>Baltimore County Police Department</t>
  </si>
  <si>
    <t>Joseph Khammash</t>
  </si>
  <si>
    <t>http://www.killedbypolice.net/victims/150874.jpg</t>
  </si>
  <si>
    <t>1300 Eldorado Pkwy</t>
  </si>
  <si>
    <t>McKinney</t>
  </si>
  <si>
    <t>McKinney Police Department</t>
  </si>
  <si>
    <t>Robert Richard Berger</t>
  </si>
  <si>
    <t>http://www.killedbypolice.net/victims/150871.jpg</t>
  </si>
  <si>
    <t>Salt Lake City</t>
  </si>
  <si>
    <t>UT</t>
  </si>
  <si>
    <t>Salt Lake City Police Department</t>
  </si>
  <si>
    <t>Kenneth Ray Pinter Jr.</t>
  </si>
  <si>
    <t>Troutdale</t>
  </si>
  <si>
    <t>VA</t>
  </si>
  <si>
    <t>Grayson County Sheriff's Office</t>
  </si>
  <si>
    <t>Dante Osborne</t>
  </si>
  <si>
    <t>http://www.killedbypolice.net/victims/150867.jpg</t>
  </si>
  <si>
    <t>San Leandro</t>
  </si>
  <si>
    <t>Alameda County Sheriff's Office</t>
  </si>
  <si>
    <t>Tim Kyle Torngren</t>
  </si>
  <si>
    <t>6700 Odessa Way</t>
  </si>
  <si>
    <t>Anderson</t>
  </si>
  <si>
    <t>Shasta County Sheriff's Office</t>
  </si>
  <si>
    <t>Dominic Fuller</t>
  </si>
  <si>
    <t>http://www.killedbypolice.net/victims/150866.jpg</t>
  </si>
  <si>
    <t>Auburndale</t>
  </si>
  <si>
    <t>Polk County Sheriff's Office</t>
  </si>
  <si>
    <t>Timothy Wagner</t>
  </si>
  <si>
    <t>http://www.killedbypolice.net/victims/150865.jpg</t>
  </si>
  <si>
    <t>Barberville</t>
  </si>
  <si>
    <t>Volusia County Sheriff's Office</t>
  </si>
  <si>
    <t>Joel Dixon Smith</t>
  </si>
  <si>
    <t>http://www.killedbypolice.net/victims/150868.jpg</t>
  </si>
  <si>
    <t>148 W John Sims Pkwy</t>
  </si>
  <si>
    <t>Niceville</t>
  </si>
  <si>
    <t>Okaloosa County Sheriff's Office</t>
  </si>
  <si>
    <t>Donaven Kyle Anderson</t>
  </si>
  <si>
    <t>North Las Vegas</t>
  </si>
  <si>
    <t>NV</t>
  </si>
  <si>
    <t>North Las Vegas Police Department</t>
  </si>
  <si>
    <t>Tina Money</t>
  </si>
  <si>
    <t>http://www.killedbypolice.net/victims/150863.jpg</t>
  </si>
  <si>
    <t>2040 California Ave</t>
  </si>
  <si>
    <t>Sand City</t>
  </si>
  <si>
    <t>Sand City Police Department</t>
  </si>
  <si>
    <t>William Spaits</t>
  </si>
  <si>
    <t>http://www.killedbypolice.net/victims/150862.jpg</t>
  </si>
  <si>
    <t>Garrett Steven McKinney</t>
  </si>
  <si>
    <t>http://www.killedbypolice.net/victims/150864.jpg</t>
  </si>
  <si>
    <t>Paris</t>
  </si>
  <si>
    <t>Texas Department of Public Safety</t>
  </si>
  <si>
    <t>Gerardo Ramirez</t>
  </si>
  <si>
    <t>http://www.killedbypolice.net/victims/150861.jpg</t>
  </si>
  <si>
    <t>10830 Stone Canyon Rd</t>
  </si>
  <si>
    <t>Dallas</t>
  </si>
  <si>
    <t>Dallas Police Department</t>
  </si>
  <si>
    <t>Jerrald Wright</t>
  </si>
  <si>
    <t>http://www.killedbypolice.net/victims/150857.jpg</t>
  </si>
  <si>
    <t>Shelbyville</t>
  </si>
  <si>
    <t>Kimberly Bedford</t>
  </si>
  <si>
    <t>Benton Harbor</t>
  </si>
  <si>
    <t>Benton Charter Township Police Department</t>
  </si>
  <si>
    <t>Michael Thomas Pierce</t>
  </si>
  <si>
    <t>http://www.killedbypolice.net/victims/150858.jpg</t>
  </si>
  <si>
    <t>1700 Park Rd</t>
  </si>
  <si>
    <t>Harrisonburg</t>
  </si>
  <si>
    <t>Harrisonburg Police Department</t>
  </si>
  <si>
    <t>Lucien Rolland</t>
  </si>
  <si>
    <t>http://www.killedbypolice.net/victims/150855.jpg</t>
  </si>
  <si>
    <t>Cecil D. Lacy</t>
  </si>
  <si>
    <t>http://www.killedbypolice.net/victims/150856.jpg</t>
  </si>
  <si>
    <t>Marysville</t>
  </si>
  <si>
    <t>WA</t>
  </si>
  <si>
    <t>Tulalip Tribal Police Department, Snohomish County Sheriff's Office</t>
  </si>
  <si>
    <t>Death in custody</t>
  </si>
  <si>
    <t>Scott Beech</t>
  </si>
  <si>
    <t>http://www.killedbypolice.net/victims/150854.jpg</t>
  </si>
  <si>
    <t>Nicholas Alan Johnson</t>
  </si>
  <si>
    <t>http://www.killedbypolice.net/victims/150853.jpg</t>
  </si>
  <si>
    <t>San Bernardino</t>
  </si>
  <si>
    <t>San Bernardino County Sheriff's Department</t>
  </si>
  <si>
    <t>Lawrence R. Price</t>
  </si>
  <si>
    <t>http://www.killedbypolice.net/victims/150851.jpg</t>
  </si>
  <si>
    <t>Dug Hill Rd</t>
  </si>
  <si>
    <t>Brodhead</t>
  </si>
  <si>
    <t>KY</t>
  </si>
  <si>
    <t>Gregory Herrell</t>
  </si>
  <si>
    <t>http://www.killedbypolice.net/victims/150852.jpg</t>
  </si>
  <si>
    <t>Cumberland Furnace</t>
  </si>
  <si>
    <t>TN</t>
  </si>
  <si>
    <t>Dickson County Sheriff's Office</t>
  </si>
  <si>
    <t>Carlos Wilhelm</t>
  </si>
  <si>
    <t>Mark R. Gary</t>
  </si>
  <si>
    <t>http://www.killedbypolice.net/victims/150848.jpg</t>
  </si>
  <si>
    <t>Shock Rd and Dale Rd</t>
  </si>
  <si>
    <t>Beaverton</t>
  </si>
  <si>
    <t>Tristan Vent</t>
  </si>
  <si>
    <t>http://www.killedbypolice.net/victims/150844.jpg</t>
  </si>
  <si>
    <t>Davis Rd and Wilbur St</t>
  </si>
  <si>
    <t>Fairbanks</t>
  </si>
  <si>
    <t>AK</t>
  </si>
  <si>
    <t>Fairbanks Police Department, Alaska State Troopers</t>
  </si>
  <si>
    <t>Anthony Flores Camacho</t>
  </si>
  <si>
    <t>http://www.killedbypolice.net/victims/150847.jpg</t>
  </si>
  <si>
    <t>N Cactus Ave and W Rosewood St</t>
  </si>
  <si>
    <t>Jorge Suarez-Ruiz</t>
  </si>
  <si>
    <t>16020 SW 42nd Terrace</t>
  </si>
  <si>
    <t>Bobby R. Anderson</t>
  </si>
  <si>
    <t>http://www.killedbypolice.net/victims/150845.jpg</t>
  </si>
  <si>
    <t>Alexandria</t>
  </si>
  <si>
    <t>Rory Lynn Gunderman</t>
  </si>
  <si>
    <t>http://www.killedbypolice.net/victims/150846.jpg</t>
  </si>
  <si>
    <t>Canam Hwy and Rochford Rd</t>
  </si>
  <si>
    <t>Lead</t>
  </si>
  <si>
    <t>Lawrence County Sheriff's Office</t>
  </si>
  <si>
    <t>David Todd Powell Jr.</t>
  </si>
  <si>
    <t>http://www.killedbypolice.net/victims/150839.jpg</t>
  </si>
  <si>
    <t>700 Armory Rd</t>
  </si>
  <si>
    <t>Barstow</t>
  </si>
  <si>
    <t>Barstow Police Department</t>
  </si>
  <si>
    <t>Florencio Chaidez</t>
  </si>
  <si>
    <t>Parthenia St and Cedros Ave</t>
  </si>
  <si>
    <t>Phillip Pfleghardt</t>
  </si>
  <si>
    <t>Broomfield</t>
  </si>
  <si>
    <t>Broomfield Police Department</t>
  </si>
  <si>
    <t>Tyrone Bass</t>
  </si>
  <si>
    <t>http://www.killedbypolice.net/victims/150840.jpg</t>
  </si>
  <si>
    <t>Chalmette</t>
  </si>
  <si>
    <t>William Chau</t>
  </si>
  <si>
    <t>El Monte</t>
  </si>
  <si>
    <t>El Monte Police Department</t>
  </si>
  <si>
    <t>Vincent E. Scott</t>
  </si>
  <si>
    <t>http://www.killedbypolice.net/victims/150837.jpg</t>
  </si>
  <si>
    <t>KS</t>
  </si>
  <si>
    <t>Carl Devince King</t>
  </si>
  <si>
    <t>http://www.killedbypolice.net/victims/150836.jpg</t>
  </si>
  <si>
    <t>NC</t>
  </si>
  <si>
    <t>Martin Francis Hammen</t>
  </si>
  <si>
    <t>1000 Hwy 22</t>
  </si>
  <si>
    <t>Wellman</t>
  </si>
  <si>
    <t>IA</t>
  </si>
  <si>
    <t>Joseph Thomas Johnson-Shanks</t>
  </si>
  <si>
    <t>http://www.killedbypolice.net/victims/150835.jpg</t>
  </si>
  <si>
    <t>I-24</t>
  </si>
  <si>
    <t>Eddyville</t>
  </si>
  <si>
    <t>Jeffrey Eugene Brooks</t>
  </si>
  <si>
    <t>http://www.killedbypolice.net/victims/150834.jpg</t>
  </si>
  <si>
    <t>Clute</t>
  </si>
  <si>
    <t>Smith County Sheriff's Office, tactical team</t>
  </si>
  <si>
    <t>Vehicle</t>
  </si>
  <si>
    <t>Derek Davis</t>
  </si>
  <si>
    <t>http://www.killedbypolice.net/victims/150831.jpg</t>
  </si>
  <si>
    <t>Sylacauga</t>
  </si>
  <si>
    <t>Talladega County Sheriff's Office</t>
  </si>
  <si>
    <t>Jack Allen Stevens</t>
  </si>
  <si>
    <t>http://www.killedbypolice.net/victims/150832.jpg</t>
  </si>
  <si>
    <t>8105 Ball Camp Pike</t>
  </si>
  <si>
    <t>Knoxville</t>
  </si>
  <si>
    <t>Jordn Miller</t>
  </si>
  <si>
    <t>http://www.killedbypolice.net/victims/150830.jpg</t>
  </si>
  <si>
    <t>Springfield Township Police Department</t>
  </si>
  <si>
    <t>Taser</t>
  </si>
  <si>
    <t>Clifford Butler Jr.</t>
  </si>
  <si>
    <t>18533 Old US Hwy 81</t>
  </si>
  <si>
    <t>Pond Creek</t>
  </si>
  <si>
    <t>OK</t>
  </si>
  <si>
    <t>73766</t>
  </si>
  <si>
    <t>Grant</t>
  </si>
  <si>
    <t>Grant County Sheriff's Office</t>
  </si>
  <si>
    <t>Clifford Butler, Jr., of McAlester, was fatally shot after police say he pulled a gun and shot an officer at least once after authorities tried to subdue him.</t>
  </si>
  <si>
    <t>Pending investigation</t>
  </si>
  <si>
    <t>No Known Charges</t>
  </si>
  <si>
    <t>http://www.tulsaworld.com/homepagelatest/mcalester-man-dead-after-police-return-fire-outside-of-grant/article_54e6568b-2712-5129-a37e-a35e117bb0e6.html</t>
  </si>
  <si>
    <t>Chester</t>
  </si>
  <si>
    <t>PA</t>
  </si>
  <si>
    <t>Federal Bureau of Investigation</t>
  </si>
  <si>
    <t>Austin Wilburly Reid</t>
  </si>
  <si>
    <t>http://www.killedbypolice.net/victims/150827.jpg</t>
  </si>
  <si>
    <t>Lodi</t>
  </si>
  <si>
    <t>Lodi Police Department</t>
  </si>
  <si>
    <t>Eddie Tapia</t>
  </si>
  <si>
    <t>http://www.killedbypolice.net/victims/150828.jpg</t>
  </si>
  <si>
    <t>9243 Lakewood Blvd</t>
  </si>
  <si>
    <t>Downey</t>
  </si>
  <si>
    <t>Los Angeles County Sheriff's Department</t>
  </si>
  <si>
    <t>Fontana</t>
  </si>
  <si>
    <t>Fontana Police Department</t>
  </si>
  <si>
    <t>Brandon Foy</t>
  </si>
  <si>
    <t>http://www.killedbypolice.net/victims/150826.jpg</t>
  </si>
  <si>
    <t>46254</t>
  </si>
  <si>
    <t>Marion</t>
  </si>
  <si>
    <t>Tian Ma</t>
  </si>
  <si>
    <t>Potsdam</t>
  </si>
  <si>
    <t>NY</t>
  </si>
  <si>
    <t>Potsdam Police Department</t>
  </si>
  <si>
    <t>Vincent Perdue</t>
  </si>
  <si>
    <t>http://www.killedbypolice.net/victims/150823.jpg</t>
  </si>
  <si>
    <t>North Pole</t>
  </si>
  <si>
    <t>Alaska State Troopers and Fairbanks Police Department</t>
  </si>
  <si>
    <t>Tyrone L. Holman</t>
  </si>
  <si>
    <t>Kansas City</t>
  </si>
  <si>
    <t>MO</t>
  </si>
  <si>
    <t>64130</t>
  </si>
  <si>
    <t>Jackson</t>
  </si>
  <si>
    <t>Kansas City Police Department</t>
  </si>
  <si>
    <t>Dustin M. Kuik</t>
  </si>
  <si>
    <t>http://www.killedbypolice.net/victims/150821.jpg</t>
  </si>
  <si>
    <t>Green Bay</t>
  </si>
  <si>
    <t>WI</t>
  </si>
  <si>
    <t>Ashwaubenon Department of Public Safety</t>
  </si>
  <si>
    <t>Casimero Carlos Casillas</t>
  </si>
  <si>
    <t>http://www.killedbypolice.net/victims/150819.jpg</t>
  </si>
  <si>
    <t>Clovis Ave and E Lansing Way</t>
  </si>
  <si>
    <t>Wayne Wheeler</t>
  </si>
  <si>
    <t>Detroit</t>
  </si>
  <si>
    <t>Lathrup Village Police Department</t>
  </si>
  <si>
    <t>William Verrett</t>
  </si>
  <si>
    <t>http://www.killedbypolice.net/victims/150818.jpg</t>
  </si>
  <si>
    <t>1209 E Park St</t>
  </si>
  <si>
    <t>Hobbs</t>
  </si>
  <si>
    <t>Hobbs Police Department</t>
  </si>
  <si>
    <t>Gunner Wayne Page</t>
  </si>
  <si>
    <t>http://www.killedbypolice.net/victims/2753.jpg</t>
  </si>
  <si>
    <t>Carlos Yero</t>
  </si>
  <si>
    <t>http://www.killedbypolice.net/victims/150813.jpg</t>
  </si>
  <si>
    <t>2482 SW 3rd St</t>
  </si>
  <si>
    <t>Miami Police Department</t>
  </si>
  <si>
    <t>Mohamed Ibrahim</t>
  </si>
  <si>
    <t>http://www.killedbypolice.net/victims/150815.jpg</t>
  </si>
  <si>
    <t>Shreveport</t>
  </si>
  <si>
    <t>Shreveport Police Department</t>
  </si>
  <si>
    <t>Patrick D. Ennis</t>
  </si>
  <si>
    <t>http://www.killedbypolice.net/victims/150817.jpg</t>
  </si>
  <si>
    <t>NE</t>
  </si>
  <si>
    <t>Ben A. C de Baca</t>
  </si>
  <si>
    <t>http://www.killedbypolice.net/victims/150816.jpg</t>
  </si>
  <si>
    <t>460 Nm Highway 528</t>
  </si>
  <si>
    <t>Bernalillo</t>
  </si>
  <si>
    <t>Richard Cosentino</t>
  </si>
  <si>
    <t>http://www.killedbypolice.net/victims/150814.jpg</t>
  </si>
  <si>
    <t>243 Smith St</t>
  </si>
  <si>
    <t>Providence</t>
  </si>
  <si>
    <t>RI</t>
  </si>
  <si>
    <t>Providence Police Department</t>
  </si>
  <si>
    <t>India Kager</t>
  </si>
  <si>
    <t>http://www.killedbypolice.net/victims/150811.jpg</t>
  </si>
  <si>
    <t>Lynnhaven Pkwy and Salem Rd</t>
  </si>
  <si>
    <t>Virginia Beach</t>
  </si>
  <si>
    <t>23456</t>
  </si>
  <si>
    <t>Virginia Beach Police Department</t>
  </si>
  <si>
    <t>Angelo Delano Perry</t>
  </si>
  <si>
    <t>http://www.killedbypolice.net/victims/150812.jpg</t>
  </si>
  <si>
    <t>Luis Guillen Wenceslao</t>
  </si>
  <si>
    <t>http://www.killedbypolice.net/victims/150809.jpg</t>
  </si>
  <si>
    <t>400 E Philadelphia St</t>
  </si>
  <si>
    <t>Ontario</t>
  </si>
  <si>
    <t>Ontario Police Department</t>
  </si>
  <si>
    <t>Manuel Ornelas</t>
  </si>
  <si>
    <t>http://www.killedbypolice.net/victims/150810.jpg</t>
  </si>
  <si>
    <t>Long Beach</t>
  </si>
  <si>
    <t>Long Beach Police Department</t>
  </si>
  <si>
    <t>Lavante Biggs</t>
  </si>
  <si>
    <t>http://www.killedbypolice.net/victims/150808.jpg</t>
  </si>
  <si>
    <t>Durham</t>
  </si>
  <si>
    <t>27703</t>
  </si>
  <si>
    <t>Durham Police Department</t>
  </si>
  <si>
    <t>Richard Keith Kelley</t>
  </si>
  <si>
    <t>http://www.killedbypolice.net/victims/150804.jpg</t>
  </si>
  <si>
    <t>Hoopa Tribal Police</t>
  </si>
  <si>
    <t>Jose Ramon Damiani</t>
  </si>
  <si>
    <t>http://www.killedbypolice.net/victims/150803.jpg</t>
  </si>
  <si>
    <t>French Lick</t>
  </si>
  <si>
    <t>West Baden Police Department, Indiana State Police</t>
  </si>
  <si>
    <t>Harrison Lambert</t>
  </si>
  <si>
    <t>http://www.killedbypolice.net/victims/150806.jpg</t>
  </si>
  <si>
    <t>Merrimack</t>
  </si>
  <si>
    <t>NH</t>
  </si>
  <si>
    <t>Merrimack Police Department</t>
  </si>
  <si>
    <t>Lucas Markus</t>
  </si>
  <si>
    <t>http://www.killedbypolice.net/victims/150807.jpg</t>
  </si>
  <si>
    <t>Girardville</t>
  </si>
  <si>
    <t>Pennsylvania State Police</t>
  </si>
  <si>
    <t>Curtis James Meyer</t>
  </si>
  <si>
    <t>http://www.killedbypolice.net/victims/150802.jpg</t>
  </si>
  <si>
    <t>Mitchell</t>
  </si>
  <si>
    <t>Mitchell Police Division</t>
  </si>
  <si>
    <t>Sully Lanier</t>
  </si>
  <si>
    <t>http://www.killedbypolice.net/victims/150805.jpg</t>
  </si>
  <si>
    <t>100 Couch Ct</t>
  </si>
  <si>
    <t>Springtown</t>
  </si>
  <si>
    <t>Parker County Sheriff's Department</t>
  </si>
  <si>
    <t>Arthur Edward Bates</t>
  </si>
  <si>
    <t>Prescott</t>
  </si>
  <si>
    <t>Tyree Crawford</t>
  </si>
  <si>
    <t>https://www.rlsmedia.com/sites/default/files/styles/hd/public/field/image/image_6333.jpg?itok=WohtQH7s</t>
  </si>
  <si>
    <t>Hawthorne Ave and Demarest St</t>
  </si>
  <si>
    <t>Newark</t>
  </si>
  <si>
    <t>07112</t>
  </si>
  <si>
    <t>Essex</t>
  </si>
  <si>
    <t>Newark Police Department</t>
  </si>
  <si>
    <t>http://www.nj.com/essex/index.ssf/2015/09/carjacking_leads_to_death_of_juvenile_suspect_poli.html</t>
  </si>
  <si>
    <t>Michael Todd Evans</t>
  </si>
  <si>
    <t>http://www.killedbypolice.net/victims/150799.jpg</t>
  </si>
  <si>
    <t>1804 W Feather Ave</t>
  </si>
  <si>
    <t>Artesia</t>
  </si>
  <si>
    <t>Carlsbad Police Department, Lake Arthur Police Department</t>
  </si>
  <si>
    <t>Charles Robert Shaw</t>
  </si>
  <si>
    <t>Twinsburg</t>
  </si>
  <si>
    <t>Twinsburg Police Department</t>
  </si>
  <si>
    <t>Devin Brian Dial</t>
  </si>
  <si>
    <t>http://www.killedbypolice.net/victims/150794.jpg</t>
  </si>
  <si>
    <t>Cedric Maurice Williams</t>
  </si>
  <si>
    <t>http://www.killedbypolice.net/victims/150796.jpg</t>
  </si>
  <si>
    <t>Bluefield</t>
  </si>
  <si>
    <t>24701</t>
  </si>
  <si>
    <t>Bluefield Police Department</t>
  </si>
  <si>
    <t>James Carney III</t>
  </si>
  <si>
    <t>Cincinnati</t>
  </si>
  <si>
    <t>Hamilton</t>
  </si>
  <si>
    <t>Cincinnati Police Department</t>
  </si>
  <si>
    <t>Justified</t>
  </si>
  <si>
    <t>William Rippley</t>
  </si>
  <si>
    <t>Loveland</t>
  </si>
  <si>
    <t>Larimer</t>
  </si>
  <si>
    <t>Loveland Police Department</t>
  </si>
  <si>
    <t>Yes</t>
  </si>
  <si>
    <t>Nicholas Dyksma</t>
  </si>
  <si>
    <t>27 GA-208</t>
  </si>
  <si>
    <t>Harris</t>
  </si>
  <si>
    <t>Harris County Sheriff's Office</t>
  </si>
  <si>
    <t>David Leon</t>
  </si>
  <si>
    <t>Tucson</t>
  </si>
  <si>
    <t>Pima</t>
  </si>
  <si>
    <t>Tucson Police Department</t>
  </si>
  <si>
    <t>Shawn Hall</t>
  </si>
  <si>
    <t>Cushing</t>
  </si>
  <si>
    <t>Payne</t>
  </si>
  <si>
    <t>Cushing Police Department</t>
  </si>
  <si>
    <t>James Brown III</t>
  </si>
  <si>
    <t>Losee Rd and E Sharp Cir</t>
  </si>
  <si>
    <t>Clark</t>
  </si>
  <si>
    <t>Las Vegas Metropolitan Police Department</t>
  </si>
  <si>
    <t>Rafael Cruz Jr.</t>
  </si>
  <si>
    <t>Roger Albrecht</t>
  </si>
  <si>
    <t>6500 Spring Branch St</t>
  </si>
  <si>
    <t>San Antonio</t>
  </si>
  <si>
    <t>Bexar</t>
  </si>
  <si>
    <t>San Antonio Police Department</t>
  </si>
  <si>
    <t>Felix Kumi</t>
  </si>
  <si>
    <t>Beekman Ave and Tecumseh Ave</t>
  </si>
  <si>
    <t>Mount Vernon</t>
  </si>
  <si>
    <t>Westchester</t>
  </si>
  <si>
    <t>New York Police Department</t>
  </si>
  <si>
    <t>Gilbert Flores</t>
  </si>
  <si>
    <t>24400 Walnut Pass</t>
  </si>
  <si>
    <t>Bexar County Sheriff's Office</t>
  </si>
  <si>
    <t>Robert Hober</t>
  </si>
  <si>
    <t>5644 Mission Center Rd</t>
  </si>
  <si>
    <t>William Evans</t>
  </si>
  <si>
    <t>Spanish Fork</t>
  </si>
  <si>
    <t>Utah</t>
  </si>
  <si>
    <t>Spanish Fork Police Department</t>
  </si>
  <si>
    <t>Suicidal</t>
  </si>
  <si>
    <t>Devin Dial</t>
  </si>
  <si>
    <t>1775 W Loop 281</t>
  </si>
  <si>
    <t>Longview</t>
  </si>
  <si>
    <t>Gregg</t>
  </si>
  <si>
    <t>Longview Police Department</t>
  </si>
  <si>
    <t>Bertrand Davis</t>
  </si>
  <si>
    <t>Wendell Hall</t>
  </si>
  <si>
    <t>Wyandotte</t>
  </si>
  <si>
    <t>Manuel Soriano</t>
  </si>
  <si>
    <t>Yonas Alehegne</t>
  </si>
  <si>
    <t>Oakland</t>
  </si>
  <si>
    <t>Alameda</t>
  </si>
  <si>
    <t>Oakland Police Department</t>
  </si>
  <si>
    <t>Michael Tyree</t>
  </si>
  <si>
    <t>150 W Hedding St</t>
  </si>
  <si>
    <t>San Jose</t>
  </si>
  <si>
    <t>Santa Clara</t>
  </si>
  <si>
    <t>yes</t>
  </si>
  <si>
    <t>Kyle Lambrose</t>
  </si>
  <si>
    <t>West Jordan</t>
  </si>
  <si>
    <t>Salt Lake</t>
  </si>
  <si>
    <t>West Jordan Police Department</t>
  </si>
  <si>
    <t>Suicide</t>
  </si>
  <si>
    <t>Brent Pickard</t>
  </si>
  <si>
    <t>Hixson</t>
  </si>
  <si>
    <t>Hamilton County Sheriff's Office</t>
  </si>
  <si>
    <t>Steven Dodd</t>
  </si>
  <si>
    <t>Indian Lake Blvd and Vietnam Veterans Blvd</t>
  </si>
  <si>
    <t>Hendersonville</t>
  </si>
  <si>
    <t>Sumner</t>
  </si>
  <si>
    <t>Hendersonville Police Department</t>
  </si>
  <si>
    <t>Curtis Smith</t>
  </si>
  <si>
    <t>201 W Market St</t>
  </si>
  <si>
    <t>West 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</si>
  <si>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</si>
  <si>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</si>
  <si>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Marvin Maestas</t>
  </si>
  <si>
    <t>Santa Fe</t>
  </si>
  <si>
    <t>Marvin Arroliga</t>
  </si>
  <si>
    <t>Shane Randolph</t>
  </si>
  <si>
    <t>W McDowell Rd and N 35th Ave</t>
  </si>
  <si>
    <t>Phoenix</t>
  </si>
  <si>
    <t>Maricopa</t>
  </si>
  <si>
    <t>Phoenix Police Department</t>
  </si>
  <si>
    <t>Todd Tomlinson</t>
  </si>
  <si>
    <t>11008 Smoken Gun Lane</t>
  </si>
  <si>
    <t>Thonotosassa</t>
  </si>
  <si>
    <t>Hillsborough</t>
  </si>
  <si>
    <t>Hillsborough County Sheriff's Office</t>
  </si>
  <si>
    <t>Julian Hoffman</t>
  </si>
  <si>
    <t>47 Cherrywood Cir</t>
  </si>
  <si>
    <t>Brick</t>
  </si>
  <si>
    <t>Ocean</t>
  </si>
  <si>
    <t>Brick Township Police Department</t>
  </si>
  <si>
    <t>Bobby Norris</t>
  </si>
  <si>
    <t>Archdale</t>
  </si>
  <si>
    <t>Guilford</t>
  </si>
  <si>
    <t>Archdale Police Department</t>
  </si>
  <si>
    <t>Richard Compo</t>
  </si>
  <si>
    <t>9400 Old Plank Rd</t>
  </si>
  <si>
    <t>Jacksonville</t>
  </si>
  <si>
    <t>Duval</t>
  </si>
  <si>
    <t>Jacksonville Sheriff's Office</t>
  </si>
  <si>
    <t>William Snider</t>
  </si>
  <si>
    <t>Las Vegas</t>
  </si>
  <si>
    <t>Christopher Tompkins</t>
  </si>
  <si>
    <t>County Road 1825</t>
  </si>
  <si>
    <t>Arab</t>
  </si>
  <si>
    <t>Marshall</t>
  </si>
  <si>
    <t>Arab Police Department</t>
  </si>
  <si>
    <t>Thaddeus Faison</t>
  </si>
  <si>
    <t>5th Ave &amp; 112th St</t>
  </si>
  <si>
    <t>Troy</t>
  </si>
  <si>
    <t>Rensselaer</t>
  </si>
  <si>
    <t>Troy Police Department</t>
  </si>
  <si>
    <t>David Schott Coleman</t>
  </si>
  <si>
    <t>County Road 293</t>
  </si>
  <si>
    <t>New Albany</t>
  </si>
  <si>
    <t>MS</t>
  </si>
  <si>
    <t>Union</t>
  </si>
  <si>
    <t>New Albany Police Department</t>
  </si>
  <si>
    <t>Gunshot or Taser?</t>
  </si>
  <si>
    <t>Adam Schneider</t>
  </si>
  <si>
    <t>Cohasset</t>
  </si>
  <si>
    <t>Itasca</t>
  </si>
  <si>
    <t>Kenneth Morgan</t>
  </si>
  <si>
    <t>King George</t>
  </si>
  <si>
    <t>King George County Sheriff's Office</t>
  </si>
  <si>
    <t>Jason Alderman</t>
  </si>
  <si>
    <t>Bakersfield</t>
  </si>
  <si>
    <t>Kern</t>
  </si>
  <si>
    <t>Bakersfield Police Department</t>
  </si>
  <si>
    <t>Nicholas Garner</t>
  </si>
  <si>
    <t>Wichita</t>
  </si>
  <si>
    <t>Sedgwick</t>
  </si>
  <si>
    <t>Wichita Police Department</t>
  </si>
  <si>
    <t>N 101st St &amp; E Bayview Dr</t>
  </si>
  <si>
    <t>Scottsdale</t>
  </si>
  <si>
    <t>Scottsdale Police Department, Phoenix Police Department</t>
  </si>
  <si>
    <t>Alan Rushton</t>
  </si>
  <si>
    <t>Wake Forest</t>
  </si>
  <si>
    <t>Wake</t>
  </si>
  <si>
    <t>Wake Forest Police Department</t>
  </si>
  <si>
    <t>Charles Hall</t>
  </si>
  <si>
    <t>North East</t>
  </si>
  <si>
    <t>Cecil</t>
  </si>
  <si>
    <t>Maryland State Police</t>
  </si>
  <si>
    <t>Timmy Walling</t>
  </si>
  <si>
    <t>Grapeview</t>
  </si>
  <si>
    <t>Mason</t>
  </si>
  <si>
    <t>Mason County Sheriff's Office</t>
  </si>
  <si>
    <t>Raul Herrera III</t>
  </si>
  <si>
    <t>Tyler Gerken</t>
  </si>
  <si>
    <t>Fair Ave</t>
  </si>
  <si>
    <t>Beverly</t>
  </si>
  <si>
    <t>Jeffory Tevis</t>
  </si>
  <si>
    <t>Tuscaloosa</t>
  </si>
  <si>
    <t>Tuscaloosa Police Department</t>
  </si>
  <si>
    <t>Mansur Ball-Bey</t>
  </si>
  <si>
    <t>1243 Walton Ave</t>
  </si>
  <si>
    <t>St. Louis</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</si>
  <si>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</si>
  <si>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Deviere Ransom</t>
  </si>
  <si>
    <t>Jason Hale</t>
  </si>
  <si>
    <t>Hunters</t>
  </si>
  <si>
    <t>Stevens</t>
  </si>
  <si>
    <t>Stevens County Sheriff's Office</t>
  </si>
  <si>
    <t>Wade Baker</t>
  </si>
  <si>
    <t>2501 Stamey Cove Rd</t>
  </si>
  <si>
    <t>Waynesville</t>
  </si>
  <si>
    <t>Haywood</t>
  </si>
  <si>
    <t>Maggie Valley Police Department, Haywood County Sheriff's Office, and Waynesville Police Department</t>
  </si>
  <si>
    <t>Frederick Roy</t>
  </si>
  <si>
    <t>4204 Hoffman St</t>
  </si>
  <si>
    <t>Houston</t>
  </si>
  <si>
    <t>Houston Police Department</t>
  </si>
  <si>
    <t>http://www.chron.com/houston/article/Officer-involved-shooting-in-Northeast-Houston-6449062.php</t>
  </si>
  <si>
    <t>Richard Jacquez</t>
  </si>
  <si>
    <t>San Jose Police Department</t>
  </si>
  <si>
    <t>Matthew Castillo</t>
  </si>
  <si>
    <t>Jonathan Velarde</t>
  </si>
  <si>
    <t>711-045 Center Rd</t>
  </si>
  <si>
    <t>Susanville</t>
  </si>
  <si>
    <t>Lassen</t>
  </si>
  <si>
    <t>California Department of Corrections and Rehabilitation</t>
  </si>
  <si>
    <t>Steven Norton</t>
  </si>
  <si>
    <t>1100 Linda Joy Dr</t>
  </si>
  <si>
    <t>Kerrville</t>
  </si>
  <si>
    <t>Kerr</t>
  </si>
  <si>
    <t>Kerrville Police Department</t>
  </si>
  <si>
    <t>Oscar Ruiz</t>
  </si>
  <si>
    <t>Irwindale</t>
  </si>
  <si>
    <t>John Unsworth</t>
  </si>
  <si>
    <t>Hanover</t>
  </si>
  <si>
    <t>Jefferson County IN Sheriff's Office</t>
  </si>
  <si>
    <t>Benjamin Ashley</t>
  </si>
  <si>
    <t>4467 US-395</t>
  </si>
  <si>
    <t>Inyokern</t>
  </si>
  <si>
    <t>Kern County Sheriff's Office</t>
  </si>
  <si>
    <t>Jonathon Pope</t>
  </si>
  <si>
    <t>4136 Montez Dr</t>
  </si>
  <si>
    <t>Carson City</t>
  </si>
  <si>
    <t>Carson City Sheriff's Office</t>
  </si>
  <si>
    <t>Garland Tyree</t>
  </si>
  <si>
    <t>15 Destiny Ct</t>
  </si>
  <si>
    <t>New York</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</si>
  <si>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</si>
  <si>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</si>
  <si>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</si>
  <si>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District Heights</t>
  </si>
  <si>
    <t>Prince George's County Police Department</t>
  </si>
  <si>
    <t>Hector Gonzalez</t>
  </si>
  <si>
    <t>711 River Rd</t>
  </si>
  <si>
    <t>Boerne</t>
  </si>
  <si>
    <t>Kendall</t>
  </si>
  <si>
    <t>Boerne Police Department</t>
  </si>
  <si>
    <t>Christopher Anderson</t>
  </si>
  <si>
    <t>US-44 and US-6</t>
  </si>
  <si>
    <t>Bolton</t>
  </si>
  <si>
    <t>Tolland</t>
  </si>
  <si>
    <t>Connecticut State Police and Manchester Police Department</t>
  </si>
  <si>
    <t>Allen Baker III</t>
  </si>
  <si>
    <t>Sunnyvale</t>
  </si>
  <si>
    <t>Sunnyvale Police Department</t>
  </si>
  <si>
    <t>Nathaniel Wilks</t>
  </si>
  <si>
    <t>Reginald Marshall</t>
  </si>
  <si>
    <t>Toledo</t>
  </si>
  <si>
    <t>Lucas</t>
  </si>
  <si>
    <t>Toledo Police Department</t>
  </si>
  <si>
    <t>Redel Jones</t>
  </si>
  <si>
    <t>Marlton Avenue and Santo Tomas Drive</t>
  </si>
  <si>
    <t>The woman allegedly robbed a pharmacy at knifepoint and was killed nearby when officers attempted to detain her. Police said a Taser was delployed during the incident.</t>
  </si>
  <si>
    <t>Anthony Vallejo</t>
  </si>
  <si>
    <t>Hemet</t>
  </si>
  <si>
    <t>Riverside</t>
  </si>
  <si>
    <t>Riverside County Sheriff's Department</t>
  </si>
  <si>
    <t>William Smith</t>
  </si>
  <si>
    <t>Lea</t>
  </si>
  <si>
    <t>Casey Alarcon</t>
  </si>
  <si>
    <t>1000 Ruth Ave</t>
  </si>
  <si>
    <t>Sandpoint</t>
  </si>
  <si>
    <t>ID</t>
  </si>
  <si>
    <t>Bonner</t>
  </si>
  <si>
    <t>Bonner County Sheriff's Office and Sandpoint Police Department</t>
  </si>
  <si>
    <t>Roger Shull Jr</t>
  </si>
  <si>
    <t>3838 Andrews Hwy</t>
  </si>
  <si>
    <t>Odessa</t>
  </si>
  <si>
    <t>Ector</t>
  </si>
  <si>
    <t>Randall Hughes</t>
  </si>
  <si>
    <t>3801 N 19th St</t>
  </si>
  <si>
    <t>Waco</t>
  </si>
  <si>
    <t>McLennan</t>
  </si>
  <si>
    <t>Waco Police Department</t>
  </si>
  <si>
    <t>Andre Green</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</si>
  <si>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</si>
  <si>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</si>
  <si>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Richard Young</t>
  </si>
  <si>
    <t>Gilbert</t>
  </si>
  <si>
    <t>Gilbert Police Department</t>
  </si>
  <si>
    <t>Edrian Rivera</t>
  </si>
  <si>
    <t>San Antonio Ave and Packing Pl</t>
  </si>
  <si>
    <t>Robert Quinn</t>
  </si>
  <si>
    <t>Pittston</t>
  </si>
  <si>
    <t>Luzerne</t>
  </si>
  <si>
    <t>Pittston Police Department</t>
  </si>
  <si>
    <t>Eric Tompkins</t>
  </si>
  <si>
    <t>1000 Bailey St SE</t>
  </si>
  <si>
    <t>Ardmore</t>
  </si>
  <si>
    <t>Carter</t>
  </si>
  <si>
    <t>Ardmore Police Department</t>
  </si>
  <si>
    <t>Shamir Palmer</t>
  </si>
  <si>
    <t>Schultz Lake Rd</t>
  </si>
  <si>
    <t>Summerville</t>
  </si>
  <si>
    <t>Dorchester</t>
  </si>
  <si>
    <t>Dorchester County Sheriff's Office</t>
  </si>
  <si>
    <t>Tsombe Clark</t>
  </si>
  <si>
    <t>426 E Arlington Blvd</t>
  </si>
  <si>
    <t>Pitt</t>
  </si>
  <si>
    <t>Greenville Police Department</t>
  </si>
  <si>
    <t>http://wnct.com/2015/08/08/officer-involved-shooting-at-buffalo-wild-wings/</t>
  </si>
  <si>
    <t>Roderick Burr</t>
  </si>
  <si>
    <t>Brookshire</t>
  </si>
  <si>
    <t>Waller</t>
  </si>
  <si>
    <t>Brookshire Police Department</t>
  </si>
  <si>
    <t>Jeffery Wilkes</t>
  </si>
  <si>
    <t>Gastonia</t>
  </si>
  <si>
    <t>Gaston</t>
  </si>
  <si>
    <t>Gaston County Police Department</t>
  </si>
  <si>
    <t>Kevin McDaniel</t>
  </si>
  <si>
    <t>Spokane</t>
  </si>
  <si>
    <t>Spokane Police Department</t>
  </si>
  <si>
    <t>Derrick Hunt</t>
  </si>
  <si>
    <t>3200 E Artesia Blvd</t>
  </si>
  <si>
    <t>Christian Taylor</t>
  </si>
  <si>
    <t>Arlington</t>
  </si>
  <si>
    <t>Arlington Police Department</t>
  </si>
  <si>
    <t>Abel Correa</t>
  </si>
  <si>
    <t>6900 Berkshire Pl</t>
  </si>
  <si>
    <t>Matthew Russo</t>
  </si>
  <si>
    <t>38 Kelsey St</t>
  </si>
  <si>
    <t>Hartford</t>
  </si>
  <si>
    <t>Hartford Police Department</t>
  </si>
  <si>
    <t>Aaron Marchese</t>
  </si>
  <si>
    <t>Mark Keckhafer</t>
  </si>
  <si>
    <t>Superior</t>
  </si>
  <si>
    <t>MT</t>
  </si>
  <si>
    <t>Mineral</t>
  </si>
  <si>
    <t>Charles Bertram</t>
  </si>
  <si>
    <t>El Paso</t>
  </si>
  <si>
    <t>El Paso Police Department</t>
  </si>
  <si>
    <t>http://www.elpasotimes.com/news/ci_28636541/el-paso-police-id-man-killed-officer-involved</t>
  </si>
  <si>
    <t>Troy Robinson</t>
  </si>
  <si>
    <t>DeKalb</t>
  </si>
  <si>
    <t>DeKalb County Police Department</t>
  </si>
  <si>
    <t>Gustavo Ponce-Galon</t>
  </si>
  <si>
    <t>159 Seneca Trail</t>
  </si>
  <si>
    <t>Elsmere</t>
  </si>
  <si>
    <t>Kenton</t>
  </si>
  <si>
    <t>Elsmere Police Department</t>
  </si>
  <si>
    <t>Raymond Hodge</t>
  </si>
  <si>
    <t>Kahului</t>
  </si>
  <si>
    <t>HI</t>
  </si>
  <si>
    <t>Maui</t>
  </si>
  <si>
    <t>Maui Police Department</t>
  </si>
  <si>
    <t>Keshawn Hargrove</t>
  </si>
  <si>
    <t>Richmond</t>
  </si>
  <si>
    <t>Richmond Police Department</t>
  </si>
  <si>
    <t>Vincente Montano</t>
  </si>
  <si>
    <t>901 Bell Rd</t>
  </si>
  <si>
    <t>Antioch</t>
  </si>
  <si>
    <t>Davidson</t>
  </si>
  <si>
    <t>Metropolitan Nashville Police Department</t>
  </si>
  <si>
    <t>Jason Galaviz</t>
  </si>
  <si>
    <t>Tacoma</t>
  </si>
  <si>
    <t>Pierce</t>
  </si>
  <si>
    <t>Tacoma Police Department</t>
  </si>
  <si>
    <t>John Dieringer</t>
  </si>
  <si>
    <t>Greenfield</t>
  </si>
  <si>
    <t>Milwaukee</t>
  </si>
  <si>
    <t>Greenfield Police Department</t>
  </si>
  <si>
    <t>Tyler Dattilo</t>
  </si>
  <si>
    <t>Louisville</t>
  </si>
  <si>
    <t>Louisville Metro Police Department</t>
  </si>
  <si>
    <t>Daniel Avila</t>
  </si>
  <si>
    <t>Oceanside</t>
  </si>
  <si>
    <t>Antonio Clements</t>
  </si>
  <si>
    <t>Darius Graves</t>
  </si>
  <si>
    <t>Rantoul</t>
  </si>
  <si>
    <t>Champaign</t>
  </si>
  <si>
    <t>Champaign Police Department</t>
  </si>
  <si>
    <t>Joshua Malave</t>
  </si>
  <si>
    <t>2703 Horseshoe Pike</t>
  </si>
  <si>
    <t>Palmyra</t>
  </si>
  <si>
    <t>Lebanon</t>
  </si>
  <si>
    <t>South Londonderry Police Department</t>
  </si>
  <si>
    <t>Shawn Ruble</t>
  </si>
  <si>
    <t>Muncie</t>
  </si>
  <si>
    <t>Delaware</t>
  </si>
  <si>
    <t>Muncie Police Department</t>
  </si>
  <si>
    <t>Franklin Short</t>
  </si>
  <si>
    <t>Powhatan</t>
  </si>
  <si>
    <t>Virgil Reynolds</t>
  </si>
  <si>
    <t>Armando Serrano Jr</t>
  </si>
  <si>
    <t>N Stone Ave and W Prince Rd</t>
  </si>
  <si>
    <t>David Cook</t>
  </si>
  <si>
    <t>Nitro</t>
  </si>
  <si>
    <t>Kanawha</t>
  </si>
  <si>
    <t>Nitro Police Department</t>
  </si>
  <si>
    <t>Joseph Hutcheson</t>
  </si>
  <si>
    <t>111 W Commerce St.</t>
  </si>
  <si>
    <t>Dallas County Sheriff's Office</t>
  </si>
  <si>
    <t>Rafael Molina Jr.</t>
  </si>
  <si>
    <t>Interstate 25 and Avenida Cesar Chavez</t>
  </si>
  <si>
    <t>Albuquerque</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</si>
  <si>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</si>
  <si>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Phillip Vallejo</t>
  </si>
  <si>
    <t>515 Houston St</t>
  </si>
  <si>
    <t>Fort Worth</t>
  </si>
  <si>
    <t>Fort Worth Police Department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</si>
  <si>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</si>
  <si>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Jeremy Hatch</t>
  </si>
  <si>
    <t>3000 North Main</t>
  </si>
  <si>
    <t>Roswell</t>
  </si>
  <si>
    <t>Chavez</t>
  </si>
  <si>
    <t>Roswell Police Department</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</si>
  <si>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</si>
  <si>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Mark Perkins</t>
  </si>
  <si>
    <t>Monument Peak Dr</t>
  </si>
  <si>
    <t>Gardnerville</t>
  </si>
  <si>
    <t>Douglas</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</si>
  <si>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</si>
  <si>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</si>
  <si>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Filimoni Raiyawa</t>
  </si>
  <si>
    <t>Pacific Islander</t>
  </si>
  <si>
    <t>http://www.killedbypolice.net/victims/150675.jpg</t>
  </si>
  <si>
    <t>Lombard St and Pierce St</t>
  </si>
  <si>
    <t>San Francisco</t>
  </si>
  <si>
    <t>San Francisco Police Department</t>
  </si>
  <si>
    <t>Raiyawa allegedly fought with and injured two officers before becoming unresponsive. He had been pursued after fleeing a fight over a traffic collision.</t>
  </si>
  <si>
    <t>Wilmer Delgado-Soba</t>
  </si>
  <si>
    <t>3 May St</t>
  </si>
  <si>
    <t>Worcester</t>
  </si>
  <si>
    <t>Worcester Police Department</t>
  </si>
  <si>
    <t>Police were called to the scene of a car on its side with Kailing acting eradically, he allegedly charged them with a metal pipe, and a state trooper tried to stop him with a Taser. When the Taser was ineffective the trooper opened fire and killed Kailing.</t>
  </si>
  <si>
    <t>Ryan Daniel Vrenon</t>
  </si>
  <si>
    <t>Interstate 5 and Mott Airport Rd</t>
  </si>
  <si>
    <t>Mt. Shasta</t>
  </si>
  <si>
    <t>Siskiyou</t>
  </si>
  <si>
    <t>California Highway Patrol</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</si>
  <si>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</si>
  <si>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Lawrence Blackburn</t>
  </si>
  <si>
    <t>http://katc.images.worldnow.com/images/8422058_G.jpg</t>
  </si>
  <si>
    <t>4100 W Brookstown Dr</t>
  </si>
  <si>
    <t>East Baton Rouge Parish</t>
  </si>
  <si>
    <t>Buckley was allegedly drinking and acting suicidal when his wife called police for help. The 45-year-old was fatally shot by responding officers after pointing a BB gun at officers.</t>
  </si>
  <si>
    <t>Drug or alcohol use</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</si>
  <si>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</si>
  <si>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</si>
  <si>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</si>
  <si>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</si>
  <si>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Michael Malone</t>
  </si>
  <si>
    <t>755 N Valley Dr</t>
  </si>
  <si>
    <t>Las Cruces</t>
  </si>
  <si>
    <t>Dona Ana</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</si>
  <si>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</si>
  <si>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</si>
  <si>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Timothy Johnson</t>
  </si>
  <si>
    <t>601 AR-18</t>
  </si>
  <si>
    <t>Manila</t>
  </si>
  <si>
    <t>AR</t>
  </si>
  <si>
    <t>Mississippi</t>
  </si>
  <si>
    <t>Manila Police Department</t>
  </si>
  <si>
    <t>Johnson was allegedly brandishing a knife when officers arrived in response to a disturbance call. Authorities said Johnson advanced at the officer and refused commands to drop the weapon</t>
  </si>
  <si>
    <t>Allan White</t>
  </si>
  <si>
    <t>1400 Oak Tree Ln SE</t>
  </si>
  <si>
    <t>Cleveland</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</si>
  <si>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</si>
  <si>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</si>
  <si>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</si>
  <si>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</si>
  <si>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</si>
  <si>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</si>
  <si>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</si>
  <si>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</si>
  <si>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</si>
  <si>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Samuel Forgy</t>
  </si>
  <si>
    <t>1841 19th St</t>
  </si>
  <si>
    <t>Boulder</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</si>
  <si>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</si>
  <si>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</si>
  <si>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Jean Paul Falgout</t>
  </si>
  <si>
    <t>E Woodlawn Ranch Rd</t>
  </si>
  <si>
    <t>Houma</t>
  </si>
  <si>
    <t>Terrebonne</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</si>
  <si>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</si>
  <si>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</si>
  <si>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Timothy Milliken</t>
  </si>
  <si>
    <t>100 E Selwood Ln</t>
  </si>
  <si>
    <t>Lexington</t>
  </si>
  <si>
    <t>Lexington County Sheriff's Department</t>
  </si>
  <si>
    <t>Deputies were responding to a report that Milliken was attacking a family member. Authorities said the deputies feared for the family member's life and fired at the man.</t>
  </si>
  <si>
    <t>Unreported</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</si>
  <si>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</si>
  <si>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</si>
  <si>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</si>
  <si>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</si>
  <si>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</si>
  <si>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Zachary Hammond</t>
  </si>
  <si>
    <t>1003 By Pass 123</t>
  </si>
  <si>
    <t>Seneca</t>
  </si>
  <si>
    <t>Oconee</t>
  </si>
  <si>
    <t>Seneca Police Department</t>
  </si>
  <si>
    <t>Hammond was allegedly attempting to flee the scene of a drug sting. Authorities said Hammond drove his vehicle at officers, but an attorney for the family has said Hammond was struck in the back, and that he vehicle was not moving when he was shot. Officer Anthony Moon, who responded to the scene of the shooting but was not present during it, resigned from the department during an internal investigation on August 7. The Justice Department opened a civil rights investigation into Hammond's death on August 12.</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</si>
  <si>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</si>
  <si>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</si>
  <si>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</si>
  <si>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</si>
  <si>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</si>
  <si>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</si>
  <si>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</si>
  <si>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</si>
  <si>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</si>
  <si>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</si>
  <si>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Roger Braswell</t>
  </si>
  <si>
    <t>998 Yates Spring Rd</t>
  </si>
  <si>
    <t>Brinson</t>
  </si>
  <si>
    <t>Decatur</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</si>
  <si>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</si>
  <si>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</si>
  <si>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</si>
  <si>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</si>
  <si>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t>
  </si>
  <si>
    <t>New Orleans Parish</t>
  </si>
  <si>
    <t>New Orleans Police Department</t>
  </si>
  <si>
    <t>Witnesses said Olmstead was shot dead by police when he got out of his truck and charged towards officers after smashing into vehicles and buildings. One observer said he was carrying a gun but police did not immediately confirm this.</t>
  </si>
  <si>
    <t>Lee Gerston</t>
  </si>
  <si>
    <t>Mill St</t>
  </si>
  <si>
    <t>Pinnacle</t>
  </si>
  <si>
    <t>Stokes</t>
  </si>
  <si>
    <t>Stokes County Sheriff's Department</t>
  </si>
  <si>
    <t>After crashing his car near a closed bridge, Esty-Lennon was fatally shot by officers after allegedly lunging at them with a knife.</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</si>
  <si>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</si>
  <si>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</si>
  <si>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</si>
  <si>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</si>
  <si>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Dontae Martin</t>
  </si>
  <si>
    <t>318 Springbrook Blvd</t>
  </si>
  <si>
    <t>Dayton</t>
  </si>
  <si>
    <t>Montgomery</t>
  </si>
  <si>
    <t>Martin struck a parked vehicle while driving. When deputies arrived on the scene, authorities said, he got out of his vehicle displaying a handgun.</t>
  </si>
  <si>
    <t>Robin George Welsh</t>
  </si>
  <si>
    <t>Windover Drive and Kirkman Road</t>
  </si>
  <si>
    <t>Orlando</t>
  </si>
  <si>
    <t>Orange</t>
  </si>
  <si>
    <t>Orlando Police Department</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</si>
  <si>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</si>
  <si>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</si>
  <si>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</si>
  <si>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</si>
  <si>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</si>
  <si>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</si>
  <si>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Derek Wolfsteller</t>
  </si>
  <si>
    <t>14420 N 28th Pl</t>
  </si>
  <si>
    <t>Plymouth</t>
  </si>
  <si>
    <t>Hennepin</t>
  </si>
  <si>
    <t>Plymouth Police Department</t>
  </si>
  <si>
    <t>Officers reported that they pursued Booth because he'd stolen a car, and when he fled on foot, he started shooting at officers. An officer returned fire, killing Booth. Booth had struggled with drug use in the past.</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</si>
  <si>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</si>
  <si>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</si>
  <si>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</si>
  <si>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</si>
  <si>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</si>
  <si>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</si>
  <si>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Robbie Edison</t>
  </si>
  <si>
    <t>Anderson Dairy Rd</t>
  </si>
  <si>
    <t>WY</t>
  </si>
  <si>
    <t>Converse</t>
  </si>
  <si>
    <t>Converse County Sheriff's Office</t>
  </si>
  <si>
    <t>Authorities said Edison, who was wanted in South Dakota, was fatally shot by a deputy during a confrontation after he was discovered with a stolen vehicle under a bridge on a rural road.</t>
  </si>
  <si>
    <t>Michael Sabbie</t>
  </si>
  <si>
    <t>105 N Front St</t>
  </si>
  <si>
    <t>Texarkana</t>
  </si>
  <si>
    <t>Miller</t>
  </si>
  <si>
    <t>Texarkana Police Department</t>
  </si>
  <si>
    <t>Pepper spray</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</si>
  <si>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</si>
  <si>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</si>
  <si>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</si>
  <si>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</si>
  <si>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</si>
  <si>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</si>
  <si>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</si>
  <si>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</si>
  <si>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</si>
  <si>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</si>
  <si>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</si>
  <si>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Samuel Primeno-Nunez</t>
  </si>
  <si>
    <t>1000 12th St</t>
  </si>
  <si>
    <t>Monroe</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</si>
  <si>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</si>
  <si>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</si>
  <si>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</si>
  <si>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James T. Bush</t>
  </si>
  <si>
    <t>Interstate 94 and Beaconsfield Road</t>
  </si>
  <si>
    <t>St. Clair Shores</t>
  </si>
  <si>
    <t>Macomb</t>
  </si>
  <si>
    <t>St. Clair Shores Police Department</t>
  </si>
  <si>
    <t>Wolfsteller was allegedly causing a disturbance inside an Arby's restaurant when police arrived. Authorities said Wolfsteller and an officer scuffled, and that at some point the officer removed her weapon and shot the man, reportedly in the head.</t>
  </si>
  <si>
    <t>Darren Wilson</t>
  </si>
  <si>
    <t>538 Spring Place Rd NE</t>
  </si>
  <si>
    <t>NE White</t>
  </si>
  <si>
    <t>Bartow</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</si>
  <si>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</si>
  <si>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</si>
  <si>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Joseph Fuller</t>
  </si>
  <si>
    <t>1300 NE 50th Ct</t>
  </si>
  <si>
    <t>Oakland Park</t>
  </si>
  <si>
    <t>Broward</t>
  </si>
  <si>
    <t>Fuller allegedly refused to get out of his vehicle and reached for a firearm between his legs, according to police. He had been spotted earlier in the day and fled from a deputy. Fuller was wanted for parole violation and traffic violations, according to police.</t>
  </si>
  <si>
    <t>Jerrod Tyre</t>
  </si>
  <si>
    <t>114 Briar Branch Dr</t>
  </si>
  <si>
    <t>Jesup</t>
  </si>
  <si>
    <t>Wayne</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</si>
  <si>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</si>
  <si>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</si>
  <si>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Billy Ray Davis</t>
  </si>
  <si>
    <t>2700 Broadway Street</t>
  </si>
  <si>
    <t>Davis allegedly threatened an officer at a convenience store. He was bleeding from the head. The officer reportedly called for backup and police eventually detained the man. Paramedics soon came out to the store to take the man to the hospital. "During the point of being transported to the hospital, he becomes unconscious," Silva said. "At St. Joseph's Hospital, he was pronounced deceased."</t>
  </si>
  <si>
    <t>Heriberto Godinez Jr.</t>
  </si>
  <si>
    <t>3000 West Pershing Road</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</si>
  <si>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</si>
  <si>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</si>
  <si>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</si>
  <si>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Troy Francis</t>
  </si>
  <si>
    <t>4700 Baffin Ave</t>
  </si>
  <si>
    <t>Fremont</t>
  </si>
  <si>
    <t>Fremont Police Department</t>
  </si>
  <si>
    <t>Stephen Brown</t>
  </si>
  <si>
    <t>1600 S Choctaw Rd</t>
  </si>
  <si>
    <t>Choctaw</t>
  </si>
  <si>
    <t>Midwest City Police Department</t>
  </si>
  <si>
    <t>An off-duty officer checking on his in-laws said he arrived to see the front door kicked open. The officer said when he entered he saw Brown carrying a firearm, and the officer shot and killed him.</t>
  </si>
  <si>
    <t>Joshua LeBoeuf</t>
  </si>
  <si>
    <t>1800 County Line Rd</t>
  </si>
  <si>
    <t>Winnie</t>
  </si>
  <si>
    <t>Chambers</t>
  </si>
  <si>
    <t>Chambers County Sheriff's Office</t>
  </si>
  <si>
    <t>Deputies were attempting to arrest LeBoeuf for violating a protective order when he allegedly got free, ran to his truck and retrieved a firearm. Authorities say LeBoeuf fired shots at the officers before they returned fire.</t>
  </si>
  <si>
    <t>Samuel Dubose</t>
  </si>
  <si>
    <t>http://media4.s-nbcnews.com/j/newscms/2015_31/1147206/dubose_attny_7_ec25ac755379c9eee2448d08cee21186.nbcnews-fp-360-360.jpg</t>
  </si>
  <si>
    <t>Rice St and Valencia St</t>
  </si>
  <si>
    <t>University of Cincinnati Police Department</t>
  </si>
  <si>
    <t xml:space="preserve">DuBose was killed by a single shot to the head during a traffic stop. With a long criminal record of relatively minor offenses, DuBose had no valid license and had alcohol in his vehicle, but was unarmed and compliant. The county prosecutor initially refused to release the body cam video. When it was released the officer was indicted for murder in late July, unusual and unusually rapid. The announcement came with a closure of the UC campus and an insertion of state troopers to quell unrest. </t>
  </si>
  <si>
    <t>Charged</t>
  </si>
  <si>
    <t>Charged with a crime</t>
  </si>
  <si>
    <t>Estevan Andrade Gomez</t>
  </si>
  <si>
    <t>909 W Visalia Rd</t>
  </si>
  <si>
    <t>Farmersville</t>
  </si>
  <si>
    <t>Tulare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</si>
  <si>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</si>
  <si>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</si>
  <si>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</si>
  <si>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</si>
  <si>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</si>
  <si>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David Wheat Jr</t>
  </si>
  <si>
    <t>1225 W Prospect Rd</t>
  </si>
  <si>
    <t>Fort Collins</t>
  </si>
  <si>
    <t>Fort Collins Police Department</t>
  </si>
  <si>
    <t>Wheat was allegedly assaulting a woman and making suicidal threats. He was shot 11 times after brandishing a knife, according to police, who also said the woman had been stabbed but sustained non-life threatening injuries.</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</si>
  <si>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</si>
  <si>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</si>
  <si>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</si>
  <si>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</si>
  <si>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</si>
  <si>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</si>
  <si>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Troy Goode</t>
  </si>
  <si>
    <t>3400 Goodman Rd</t>
  </si>
  <si>
    <t>Olive Branch</t>
  </si>
  <si>
    <t>DeSoto</t>
  </si>
  <si>
    <t>Southaven Police Department</t>
  </si>
  <si>
    <t>Shatley was drunk and officers were called to his home by neighbors. When Shatley tried to flee in his car, dragging an officer, the other officers shot him to death. Officers had been called to his residence 89 times since 2010.</t>
  </si>
  <si>
    <t>Albert Davis</t>
  </si>
  <si>
    <t>http://www.killedbypolice.net/victims/150630.jpg</t>
  </si>
  <si>
    <t>1637 Watauga Ave</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</si>
  <si>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</si>
  <si>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Darrius Stewart</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</si>
  <si>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</si>
  <si>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</si>
  <si>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</si>
  <si>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</si>
  <si>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</si>
  <si>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</si>
  <si>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</si>
  <si>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</si>
  <si>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</si>
  <si>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</si>
  <si>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</si>
  <si>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</si>
  <si>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</si>
  <si>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</si>
  <si>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</si>
  <si>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</si>
  <si>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</si>
  <si>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Seattle</t>
  </si>
  <si>
    <t>King</t>
  </si>
  <si>
    <t>Seattle Police Department</t>
  </si>
  <si>
    <t>Smith had rammed a police crusier and was eventually located in a residential neighborhood, according to police. Dashboard camera footage shows Smith lunging at an officer before he was shot. A knife was recovered at the scene.</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</si>
  <si>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</si>
  <si>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</si>
  <si>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</si>
  <si>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</si>
  <si>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</si>
  <si>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Anthony Smith</t>
  </si>
  <si>
    <t>25001 Sunnymead Blvd</t>
  </si>
  <si>
    <t>Moreno Valley</t>
  </si>
  <si>
    <t>Moreno Valley Police Department</t>
  </si>
  <si>
    <t>Graham, who was wanted by police as a person of interest in the disappearance of his six-month-old daughter, was fatally shot by deputies who tracked a car he stole in a nearby town.</t>
  </si>
  <si>
    <t>Edward Foster</t>
  </si>
  <si>
    <t>SW 328th St &amp; Redland Rd</t>
  </si>
  <si>
    <t>Homestead</t>
  </si>
  <si>
    <t>Homesptead Police Department</t>
  </si>
  <si>
    <t>Police said officers were responding to a call about a man with a gun near a construction site when they encountered Foster. According to authorities, 'a gun was brandished' and the officer opened fire.</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</si>
  <si>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</si>
  <si>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</si>
  <si>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</si>
  <si>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</si>
  <si>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</si>
  <si>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Saige Hack</t>
  </si>
  <si>
    <t>200 Stinson Ave</t>
  </si>
  <si>
    <t>Cheyenne</t>
  </si>
  <si>
    <t>Laramie</t>
  </si>
  <si>
    <t>Cheyenne Police Department</t>
  </si>
  <si>
    <t>Hack apparently barricaded himself with a firearm when officers responded to a call about a domestic disturbance. Authorities said Hack fired from the home at officers.</t>
  </si>
  <si>
    <t>Pierre Gabriel Koellner</t>
  </si>
  <si>
    <t>US-84</t>
  </si>
  <si>
    <t>Opp</t>
  </si>
  <si>
    <t>Covington</t>
  </si>
  <si>
    <t>Opp Police Department</t>
  </si>
  <si>
    <t>Koellner reportedly fled from officers after a highway crash involving two vehicles. He pulled a firearm and fired at officers, according to police. He was then shot, and died days later in hospital.</t>
  </si>
  <si>
    <t>Patrick Pippin</t>
  </si>
  <si>
    <t>Interstate 35 and Hwy 69</t>
  </si>
  <si>
    <t>After a car chase, the armed suspect left his vehicle and gunfire ensued.</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</si>
  <si>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</si>
  <si>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</si>
  <si>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</si>
  <si>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</si>
  <si>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</si>
  <si>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</si>
  <si>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Bush, who riding a motorcycle, collided with a police car that was making a U-turn. Bush was taken to hospital but later died. St Clair Shores police chief Todd Woodcox called the incident a "tragic accident."</t>
  </si>
  <si>
    <t>Chacarion Avant</t>
  </si>
  <si>
    <t>2300 Taylor St</t>
  </si>
  <si>
    <t>Mascotte</t>
  </si>
  <si>
    <t>Lake</t>
  </si>
  <si>
    <t>Lake County Sheriff's Office</t>
  </si>
  <si>
    <t>Avant and another man participated in an attempted armed home robbery when police arrived. A deputy fatally shot Avant after he exited the house and pointed an assault rifle at deputies.</t>
  </si>
  <si>
    <t>Charles Crandall</t>
  </si>
  <si>
    <t>Phalanx Mills Herner Rd</t>
  </si>
  <si>
    <t>Southington</t>
  </si>
  <si>
    <t>Trumbull</t>
  </si>
  <si>
    <t>Trumbull County Sheriff's Office</t>
  </si>
  <si>
    <t>Police were called to Crandall's home on reports that he had shot at his neighbor, when they arrived they knocked on the door, and Crandall shot at them. Police returned fire, and Crandall was killed.</t>
  </si>
  <si>
    <t>Sandra Bland</t>
  </si>
  <si>
    <t>http://www.gannett-cdn.com/-mm-/7b3076882ddfdcd7d9948ca1aff4dcdba61d8df5/c=0-47-641-409&amp;r=x633&amp;c=1200x630/local/-/media/2015/07/17/USATODAY/USATODAY/635727141030450897-Sandra-Bland-071715.jpg</t>
  </si>
  <si>
    <t>701 Calvit St</t>
  </si>
  <si>
    <t>Hempstead</t>
  </si>
  <si>
    <t>Waller County Sheriff's Office</t>
  </si>
  <si>
    <t>Rafael Suazo</t>
  </si>
  <si>
    <t>54 Jefferson St</t>
  </si>
  <si>
    <t>Lynn</t>
  </si>
  <si>
    <t>Lynn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</si>
  <si>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</si>
  <si>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Bruce Stafford</t>
  </si>
  <si>
    <t>375 1st Ave E</t>
  </si>
  <si>
    <t>Henderson</t>
  </si>
  <si>
    <t>Henderson County Sheriff's Office</t>
  </si>
  <si>
    <t>Deputies opened fire on Gerston when he emerged wielding weapons from a house where he had staged a standoff for more than two hours, according to authorities. He allegedly fled there after robbing a nearby salon and stabbing another man.</t>
  </si>
  <si>
    <t>Matthew Graham</t>
  </si>
  <si>
    <t>Katherine St</t>
  </si>
  <si>
    <t>Dunsmuir</t>
  </si>
  <si>
    <t>Siskiyou County Sheriff's Office, Shasta County Sheriff's Office</t>
  </si>
  <si>
    <t>Deputies responding to calls that Maine was threatening family members found the 31-year-old perched atop a truck with a shotgun pointed toward his head. A deputy fatally fired at Maine after he re-positioned the gun.</t>
  </si>
  <si>
    <t>Nyal Brown</t>
  </si>
  <si>
    <t>3505 Sullivant Ave</t>
  </si>
  <si>
    <t>Columbus</t>
  </si>
  <si>
    <t>Franklin</t>
  </si>
  <si>
    <t>Franklin County Sheriff's Office</t>
  </si>
  <si>
    <t>A deputy racing to help with an arrest struck Brown's car on the driver side as the 77-year-old pulled out of the parking lot of a Columbus bank.</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</si>
  <si>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</si>
  <si>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</si>
  <si>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</si>
  <si>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</si>
  <si>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</si>
  <si>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Paul Castaway</t>
  </si>
  <si>
    <t>4501 W Kentucky Ave</t>
  </si>
  <si>
    <t>Denver</t>
  </si>
  <si>
    <t>Denver Police Department</t>
  </si>
  <si>
    <t>Castaway, who had battled schizophrenia for several years, was fatally shot by police after allegedly running at officers with a knife. Castaway's family disputed the official account, and several anti-police brutality rallies were held in the wake of the shooting.</t>
  </si>
  <si>
    <t>Frederick Farmer</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</si>
  <si>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</si>
  <si>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</si>
  <si>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</si>
  <si>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</si>
  <si>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</si>
  <si>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</si>
  <si>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</si>
  <si>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</si>
  <si>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</si>
  <si>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David Lepine</t>
  </si>
  <si>
    <t>9400 Claxton Dr</t>
  </si>
  <si>
    <t>Austin</t>
  </si>
  <si>
    <t>Travis</t>
  </si>
  <si>
    <t>Austin Police Department</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</si>
  <si>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</si>
  <si>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</si>
  <si>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</si>
  <si>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</si>
  <si>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</si>
  <si>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</si>
  <si>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</si>
  <si>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</si>
  <si>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</si>
  <si>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</si>
  <si>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</si>
  <si>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</si>
  <si>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Billy Maine</t>
  </si>
  <si>
    <t>1600 9th Ave</t>
  </si>
  <si>
    <t>Olivehurst</t>
  </si>
  <si>
    <t>Yuba</t>
  </si>
  <si>
    <t>Yuba County Sheriff's Department</t>
  </si>
  <si>
    <t>Anthony Ware</t>
  </si>
  <si>
    <t>226 49th Ave E</t>
  </si>
  <si>
    <t>A 911 caller told police that Ware, who was wanted by police, was armed with a handgun. Ware fled from police into a wooded area before being pepper-sprayed and subdued. He later collapsed and was pronounced dead at a nearby hospital.</t>
  </si>
  <si>
    <t>Freddie Blue</t>
  </si>
  <si>
    <t>Brown Bridge Rd and Charleston Pl</t>
  </si>
  <si>
    <t>Newton</t>
  </si>
  <si>
    <t>Newton County Sheriff's Office</t>
  </si>
  <si>
    <t>Police attempting to get Blue and three companions out of a car during a confrontation shot and killed the 20-year-old after an officer observed one of the passengers pointing a gun out of the car window.</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</si>
  <si>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</si>
  <si>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</si>
  <si>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</si>
  <si>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</si>
  <si>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</si>
  <si>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</si>
  <si>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</si>
  <si>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</si>
  <si>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</si>
  <si>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</si>
  <si>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Neil Peter White</t>
  </si>
  <si>
    <t>800 S Sycamore Ave</t>
  </si>
  <si>
    <t>Officers responding to reports of vandalism fatally shot a 38-year-old man who was breaking storefront windows with a skateboard after struggling with officers and taking control of a police Taser.</t>
  </si>
  <si>
    <t>Robert Hammonds</t>
  </si>
  <si>
    <t>N 19th Ave and W Cactus Rd</t>
  </si>
  <si>
    <t>Officers reported that they pursued Hammonds because he was driving a stolen car, he then fled on foot. Officers claimed that Hammonds pointed a weapon at them while fleeing, and they shot him to death.</t>
  </si>
  <si>
    <t>Cyrus Hurtado</t>
  </si>
  <si>
    <t>15215 Fern Ave</t>
  </si>
  <si>
    <t>Boulder Creek</t>
  </si>
  <si>
    <t>Santa Cruz</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</si>
  <si>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</si>
  <si>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</si>
  <si>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</si>
  <si>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</si>
  <si>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</si>
  <si>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</si>
  <si>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</si>
  <si>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</si>
  <si>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Jonathan Sanders</t>
  </si>
  <si>
    <t>Stonewall</t>
  </si>
  <si>
    <t>Clarke</t>
  </si>
  <si>
    <t>Stonewall Police Department</t>
  </si>
  <si>
    <t>Troy Goode died after reportedly being hogtied and telling officers he was having trouble breathing due to asthma.</t>
  </si>
  <si>
    <t>Dallas Shatley</t>
  </si>
  <si>
    <t>Shatley Springs Rd</t>
  </si>
  <si>
    <t>Crumpler</t>
  </si>
  <si>
    <t>Ashe</t>
  </si>
  <si>
    <t>Ashe County Sheriff's Office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</si>
  <si>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</si>
  <si>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</si>
  <si>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</si>
  <si>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</si>
  <si>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</si>
  <si>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</si>
  <si>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</si>
  <si>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</si>
  <si>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</si>
  <si>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</si>
  <si>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</si>
  <si>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</si>
  <si>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</si>
  <si>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</si>
  <si>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</si>
  <si>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</si>
  <si>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</si>
  <si>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</si>
  <si>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</si>
  <si>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Tremaine Dantzler</t>
  </si>
  <si>
    <t>405 N Pennsylvania Ave</t>
  </si>
  <si>
    <t>Atlantic City</t>
  </si>
  <si>
    <t>Atlantic</t>
  </si>
  <si>
    <t>Atlantic City Police Department</t>
  </si>
  <si>
    <t>An officer fatally shot Dantzler as the 37-year-old attempted to flee a grocery store after stabbing a clerk, and refused to drop a knife after officers told him to lower the weapon.</t>
  </si>
  <si>
    <t>Josh Blough</t>
  </si>
  <si>
    <t>1 Fontaine Dr</t>
  </si>
  <si>
    <t>Elizabethtown</t>
  </si>
  <si>
    <t>Hardin</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</si>
  <si>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</si>
  <si>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</si>
  <si>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</si>
  <si>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</si>
  <si>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</si>
  <si>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Independence Police Department</t>
  </si>
  <si>
    <t xml:space="preserve">Officer shot victim after being threatened with a sword. </t>
  </si>
  <si>
    <t>Joe Cody</t>
  </si>
  <si>
    <t>1100 N Bishop Ave</t>
  </si>
  <si>
    <t>Cody, a registered sex offender who was wanted in violation of his parole, was fatally shot by officers moving to arrest the 59-year-old after he pulled out a handgun.</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</si>
  <si>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</si>
  <si>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</si>
  <si>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</si>
  <si>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David Sarabia</t>
  </si>
  <si>
    <t>Green Sands Ave and Augusta Ln</t>
  </si>
  <si>
    <t>Atwater</t>
  </si>
  <si>
    <t>Merced</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</si>
  <si>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</si>
  <si>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</si>
  <si>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Adam Dujanovic</t>
  </si>
  <si>
    <t>400 E Vine Ave</t>
  </si>
  <si>
    <t>Mesa</t>
  </si>
  <si>
    <t>Mesa Police Department</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</si>
  <si>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</si>
  <si>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John Berry</t>
  </si>
  <si>
    <t>5500 Adenmoor Ave</t>
  </si>
  <si>
    <t>Lakewood</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</si>
  <si>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</si>
  <si>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Hagen Esty-Lennon</t>
  </si>
  <si>
    <t>10 Wild Ammonoosuc Rd</t>
  </si>
  <si>
    <t>Bath</t>
  </si>
  <si>
    <t>Grafton</t>
  </si>
  <si>
    <t>Haverhill Police Department</t>
  </si>
  <si>
    <t>Camacho called 911 with a suicidal propose, when the cops showed up he pointed at them with a gun. They shot and killed him.</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</si>
  <si>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</si>
  <si>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</si>
  <si>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</si>
  <si>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Shane Gormley</t>
  </si>
  <si>
    <t>24th St and D Ave</t>
  </si>
  <si>
    <t>Ogden</t>
  </si>
  <si>
    <t>Weber</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</si>
  <si>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</si>
  <si>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</si>
  <si>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</si>
  <si>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</si>
  <si>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</si>
  <si>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</si>
  <si>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</si>
  <si>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</si>
  <si>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</si>
  <si>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</si>
  <si>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</si>
  <si>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Neil Van De Putte</t>
  </si>
  <si>
    <t>Lacey Rd and Deerhead Lake Dr</t>
  </si>
  <si>
    <t>Lacey Township</t>
  </si>
  <si>
    <t>Lacey Township Police Department</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</si>
  <si>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</si>
  <si>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</si>
  <si>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</si>
  <si>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</si>
  <si>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</si>
  <si>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</si>
  <si>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Maximo Rabasa</t>
  </si>
  <si>
    <t>SW 1st St and SW 22nd Ave</t>
  </si>
  <si>
    <t>Clad only in boxer shorts and armed with a knife, Rabasa attempted to attack an officer before other responding police attempted to subdue him with a Taser. Rabasa, who suffered from mental illness, died of cardiac arrest at a nearby hospital.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</si>
  <si>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</si>
  <si>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</si>
  <si>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</si>
  <si>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</si>
  <si>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</si>
  <si>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</si>
  <si>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</si>
  <si>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</si>
  <si>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</si>
  <si>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David Bauer</t>
  </si>
  <si>
    <t>1340 W Warm Springs Rd</t>
  </si>
  <si>
    <t>Henderson Police Department</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</si>
  <si>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</si>
  <si>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</si>
  <si>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</si>
  <si>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</si>
  <si>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</si>
  <si>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</si>
  <si>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</si>
  <si>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Arturo Lopez</t>
  </si>
  <si>
    <t>3100 W Ave K4</t>
  </si>
  <si>
    <t>Lancaster</t>
  </si>
  <si>
    <t>Nguyen tried to stab a deputy when they were trying to calm him down, and the police shot him.</t>
  </si>
  <si>
    <t>Cesar A. Limon Juarez</t>
  </si>
  <si>
    <t>700 Nogales St</t>
  </si>
  <si>
    <t>Rowland Heights</t>
  </si>
  <si>
    <t>West Covina Police Department</t>
  </si>
  <si>
    <t>Christian Siqueiros</t>
  </si>
  <si>
    <t>10300 Ramona Ave</t>
  </si>
  <si>
    <t>Montclair</t>
  </si>
  <si>
    <t>Montclair Police Department</t>
  </si>
  <si>
    <t>Juarez stabbed his brother and ran away. When he was approached by the police, he tried to attack the police officer with the same kitchen knife. The officer shot and killed him</t>
  </si>
  <si>
    <t>Oscar Camacho</t>
  </si>
  <si>
    <t>Harrison Ave and Bergen Ave</t>
  </si>
  <si>
    <t>Camden</t>
  </si>
  <si>
    <t>Camden County Police Department</t>
  </si>
  <si>
    <t>Van De Putte was crossing against a traffic signal early Sunday morning when he was struck by a Lacey Township patrol car on its way to another call. Van De Putte died at a nearby hospital, and the officer was treated for minor injuries.</t>
  </si>
  <si>
    <t>Ton Nguyen</t>
  </si>
  <si>
    <t>14000 Via Fiesta</t>
  </si>
  <si>
    <t>Siqueiros' neighbor called the police because Siqueiros was acting weird. He had a heart attack while he was getting arrested.</t>
  </si>
  <si>
    <t>Victo Larosa III</t>
  </si>
  <si>
    <t>3500 Beach Blvd</t>
  </si>
  <si>
    <t>Larosa was chased by undercover officers. He was in possession of drugs. An official vehicle struck him, and he hit his head in the ground, dying instantly.</t>
  </si>
  <si>
    <t>Brian Johnson</t>
  </si>
  <si>
    <t>53 Buck Rub Trail</t>
  </si>
  <si>
    <t>Meadow Bridge</t>
  </si>
  <si>
    <t>Fayette</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</si>
  <si>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</si>
  <si>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Julian Joseph</t>
  </si>
  <si>
    <t>Meridian Ave and W 40th St</t>
  </si>
  <si>
    <t>Miami Beach</t>
  </si>
  <si>
    <t>Miami Beach Police Department</t>
  </si>
  <si>
    <t>Joseph was fatally shot by police in his apartment following a long standoff after the 40-year-old robbed a nearby bank.</t>
  </si>
  <si>
    <t>Douglas Buckley</t>
  </si>
  <si>
    <t>50 Thayer St</t>
  </si>
  <si>
    <t>Brockton</t>
  </si>
  <si>
    <t>Brockton Police Department</t>
  </si>
  <si>
    <t>An undercover police officer tried to detain Suazo after the 23-year-old was involved in a drug transaction. The officer fatally shot Suazo after he initially fled then tried to hit the officer with his vehicle.</t>
  </si>
  <si>
    <t>Kevin Judson</t>
  </si>
  <si>
    <t>OR-99W &amp; NE Doran Dr.</t>
  </si>
  <si>
    <t>McMinnville</t>
  </si>
  <si>
    <t>Yamhill</t>
  </si>
  <si>
    <t>Yamhill County Sheriff's Office</t>
  </si>
  <si>
    <t>A deputy fatally shot Judson after struggling with the 24-year-old after a traffic stop, and firing the fatal shots after Judson tried to drive off in the deputy's patrol car.</t>
  </si>
  <si>
    <t>Kaleb Landon</t>
  </si>
  <si>
    <t>Exit 71 of Interstate 5</t>
  </si>
  <si>
    <t>Wolf Creek</t>
  </si>
  <si>
    <t>Josephine</t>
  </si>
  <si>
    <t>Oregon State Police, ATF</t>
  </si>
  <si>
    <t>Police discovered a deceased woman's body in Landon's home in northern California, and fatally shot the 32-year-old after pursuing him over the Oregon border and after he collided with another vehicle.</t>
  </si>
  <si>
    <t>William Dale Jeffries</t>
  </si>
  <si>
    <t>Brown Avenue</t>
  </si>
  <si>
    <t>Weston</t>
  </si>
  <si>
    <t>Lewis</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</si>
  <si>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</si>
  <si>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</si>
  <si>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</si>
  <si>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</si>
  <si>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</si>
  <si>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</si>
  <si>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</si>
  <si>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</si>
  <si>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</si>
  <si>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</si>
  <si>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</si>
  <si>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</si>
  <si>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Fulton</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</si>
  <si>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</si>
  <si>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</si>
  <si>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</si>
  <si>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</si>
  <si>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Portland</t>
  </si>
  <si>
    <t>97230</t>
  </si>
  <si>
    <t>Multnomah</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</si>
  <si>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</si>
  <si>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</si>
  <si>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</si>
  <si>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Tampa</t>
  </si>
  <si>
    <t>33604</t>
  </si>
  <si>
    <t>Tampa Police Department</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</si>
  <si>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</si>
  <si>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</si>
  <si>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</si>
  <si>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</si>
  <si>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</si>
  <si>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Cherokee</t>
  </si>
  <si>
    <t>Tahlequah Police Department</t>
  </si>
  <si>
    <t>Crittenden and another man were shooting at each other when police arrived, leading the 35-year-old to seek refuge in an attic. An officer Crittenden after he emerged and pointed a gun at responding officers.</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</si>
  <si>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</si>
  <si>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</si>
  <si>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</si>
  <si>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</si>
  <si>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</si>
  <si>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</si>
  <si>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</si>
  <si>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</si>
  <si>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</si>
  <si>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</si>
  <si>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Spencer McCain</t>
  </si>
  <si>
    <t>3000 Hunting Ridge Dr</t>
  </si>
  <si>
    <t>Owings Mills</t>
  </si>
  <si>
    <t>21117</t>
  </si>
  <si>
    <t>Baltimore</t>
  </si>
  <si>
    <t>Police responding to a domestic call early Thursday entered a condominium after hearing arguing inside and fatally shot McCain after he produced what officers believed was a gun. McCain was later found to be unarmed and died at a nearby hospital.</t>
  </si>
  <si>
    <t>Gilbert Vanderburgh</t>
  </si>
  <si>
    <t>49000 Hildreth Rd</t>
  </si>
  <si>
    <t>Friant</t>
  </si>
  <si>
    <t>93626</t>
  </si>
  <si>
    <t>Fresno County Sheriff's Office</t>
  </si>
  <si>
    <t>After a wanted fugitive entered Vanderburgh's house, deputies fatally shot the 61-year-old after he refused to let police in and pointed a rifle out of the window. Authorities were unable to find the fugitive directly after the shooting.</t>
  </si>
  <si>
    <t>Damien Harrell</t>
  </si>
  <si>
    <t>Fort Eustis Blvd</t>
  </si>
  <si>
    <t>Yorktown</t>
  </si>
  <si>
    <t>23692</t>
  </si>
  <si>
    <t>York</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</si>
  <si>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</si>
  <si>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</si>
  <si>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Jonathan Wilson</t>
  </si>
  <si>
    <t>800 N Van Buren St</t>
  </si>
  <si>
    <t>Hutchinson</t>
  </si>
  <si>
    <t>67501</t>
  </si>
  <si>
    <t>Reno</t>
  </si>
  <si>
    <t>Hutchinson Police Department</t>
  </si>
  <si>
    <t>Officers reported that they attempted to calm Wilson but he threw a knife and other objects at them before they shot him to death. He was said to have confessed to a previous murder and holding children hostage by a neighbor.</t>
  </si>
  <si>
    <t>Joshua Dyer</t>
  </si>
  <si>
    <t>3800 N Tacoma Ave</t>
  </si>
  <si>
    <t>46218</t>
  </si>
  <si>
    <t>Officers approached a car in a parking lot driven by another man, with Dyer in the vehicle. Officers reported that the driver tried to back up quickly once officers brought the men to a stop in their car. Then, officers fired into the car, killing Dyer.</t>
  </si>
  <si>
    <t>Randall Waddel</t>
  </si>
  <si>
    <t>1811 S Main St</t>
  </si>
  <si>
    <t>Weatherford</t>
  </si>
  <si>
    <t>76086</t>
  </si>
  <si>
    <t>Parker</t>
  </si>
  <si>
    <t>Weatherford Police Department</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</si>
  <si>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</si>
  <si>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Taylor Culbertson</t>
  </si>
  <si>
    <t>15556 Blondo St</t>
  </si>
  <si>
    <t>Omaha</t>
  </si>
  <si>
    <t>68116</t>
  </si>
  <si>
    <t>Douglas County Sheriff's Office</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</si>
  <si>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</si>
  <si>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</si>
  <si>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</si>
  <si>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</si>
  <si>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</si>
  <si>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</si>
  <si>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</si>
  <si>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</si>
  <si>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Eduardo Reyes</t>
  </si>
  <si>
    <t>7500 Greenback Ln</t>
  </si>
  <si>
    <t>Citrus Heights</t>
  </si>
  <si>
    <t>95610</t>
  </si>
  <si>
    <t>Sacramento</t>
  </si>
  <si>
    <t>Citrus Heights Police Department</t>
  </si>
  <si>
    <t>Officers reported that they were responding to a domestic dispute, at which point Reyes allegedly fired at them from. Officers shot him to death. Reyes' wife was treated for having been allegedly beaten with Reyes' pistol.</t>
  </si>
  <si>
    <t>Tyler Wicks</t>
  </si>
  <si>
    <t>2600 Blueberry Cir</t>
  </si>
  <si>
    <t>Augusta</t>
  </si>
  <si>
    <t>30906</t>
  </si>
  <si>
    <t>Richmond County Sheriff's Office</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</si>
  <si>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</si>
  <si>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</si>
  <si>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</si>
  <si>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</si>
  <si>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</si>
  <si>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</si>
  <si>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</si>
  <si>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</si>
  <si>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Allen Hernandez</t>
  </si>
  <si>
    <t>River Rd</t>
  </si>
  <si>
    <t>Homedale</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</si>
  <si>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</si>
  <si>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</si>
  <si>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</si>
  <si>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</si>
  <si>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</si>
  <si>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</si>
  <si>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</si>
  <si>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</si>
  <si>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</si>
  <si>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</si>
  <si>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Charles Marshall</t>
  </si>
  <si>
    <t>910 Cypress Station Dr</t>
  </si>
  <si>
    <t>77090</t>
  </si>
  <si>
    <t>Deputies responding to a 911 call from Marshall's wife found the 49-year-old man intoxicated and was fatally shot after attempting to attack responding deputies with a power drill.</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</si>
  <si>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</si>
  <si>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</si>
  <si>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</si>
  <si>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</si>
  <si>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</si>
  <si>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</si>
  <si>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</si>
  <si>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</si>
  <si>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</si>
  <si>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</si>
  <si>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Zamiel Kivon Crawford</t>
  </si>
  <si>
    <t>33.238760, -87.154784</t>
  </si>
  <si>
    <t>McCalla</t>
  </si>
  <si>
    <t>35111</t>
  </si>
  <si>
    <t>Jefferson County Sheriff's Office</t>
  </si>
  <si>
    <t>Tasered</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</si>
  <si>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</si>
  <si>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</si>
  <si>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</si>
  <si>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</si>
  <si>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</si>
  <si>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Santos Laboy</t>
  </si>
  <si>
    <t>Charles River Esplanade</t>
  </si>
  <si>
    <t>Boston</t>
  </si>
  <si>
    <t>02215</t>
  </si>
  <si>
    <t>Suffolk</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</si>
  <si>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</si>
  <si>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</si>
  <si>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</si>
  <si>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</si>
  <si>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</si>
  <si>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</si>
  <si>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</si>
  <si>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</si>
  <si>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Oleg Tcherniak</t>
  </si>
  <si>
    <t>3150 Ocean Pkwy</t>
  </si>
  <si>
    <t>Brooklyn</t>
  </si>
  <si>
    <t>11235</t>
  </si>
  <si>
    <t>Kings</t>
  </si>
  <si>
    <t>After fighting with a store owner and 78-year-old woman, Tcherniak was fatally shot by a police officer after the 58-year-old slashed and injured the officer with a hunting knife.</t>
  </si>
  <si>
    <t>Joe Charboneau</t>
  </si>
  <si>
    <t>Fort Totten</t>
  </si>
  <si>
    <t>ND</t>
  </si>
  <si>
    <t>Benson</t>
  </si>
  <si>
    <t>Spirit Lake Tribal Police Department</t>
  </si>
  <si>
    <t>Tribal police fatally shot Charboneau on a Native American reservation during a late-night incident, though few details were released by police.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</si>
  <si>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</si>
  <si>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</si>
  <si>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</si>
  <si>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</si>
  <si>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</si>
  <si>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</si>
  <si>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</si>
  <si>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</si>
  <si>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</si>
  <si>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88240</t>
  </si>
  <si>
    <t>Police responding to a call of a suicidal man fatally shot Lanphier after the 48-year-old opened fire with officers inside the home. A stray bullet fatally struck a neighbor, and police said evidence indicated that the bullet was fired from Lanphier's firearm.</t>
  </si>
  <si>
    <t>Jermaine Benjamin</t>
  </si>
  <si>
    <t>4300 35th Ave</t>
  </si>
  <si>
    <t>Vero Beach</t>
  </si>
  <si>
    <t>32967</t>
  </si>
  <si>
    <t>Indian River</t>
  </si>
  <si>
    <t>Indian River County Sheriff's Office</t>
  </si>
  <si>
    <t>Officers responding to a disturbance call with Benjamin reportedly acting erratic performed CPR on the 41-year-old man before transporting him to a local hospital, where he later died.</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</si>
  <si>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</si>
  <si>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</si>
  <si>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</si>
  <si>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</si>
  <si>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</si>
  <si>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</si>
  <si>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</si>
  <si>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</si>
  <si>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</si>
  <si>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Visalia</t>
  </si>
  <si>
    <t>93277</t>
  </si>
  <si>
    <t>Visalia Police Department</t>
  </si>
  <si>
    <t>Officers responding to a trespassing and vandalism call fatally shot DeLeon after the 28-year-old left a vacant office building holding a weapon and refused to comply with police demands.</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</si>
  <si>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</si>
  <si>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</si>
  <si>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</si>
  <si>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</si>
  <si>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</si>
  <si>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</si>
  <si>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</si>
  <si>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Kenneth Garcia</t>
  </si>
  <si>
    <t>2800 Calariva Dr</t>
  </si>
  <si>
    <t>Stockton</t>
  </si>
  <si>
    <t>95204</t>
  </si>
  <si>
    <t>San Joaquin</t>
  </si>
  <si>
    <t>Stockton Police Department</t>
  </si>
  <si>
    <t>Garcia led police on a lengthy chase after officers observed him violently hitting his girlfriend, and attempted to hit responding police officers with his car before being fatally shot.</t>
  </si>
  <si>
    <t>Zane Terryn</t>
  </si>
  <si>
    <t>4455 King St</t>
  </si>
  <si>
    <t>Cocoa</t>
  </si>
  <si>
    <t>32926</t>
  </si>
  <si>
    <t>Brevard</t>
  </si>
  <si>
    <t>Terryn, who planned on traveling to Ohio with his 16-year-old girlfriend to commit suicide, was fatally shot after the 15-year-old opened fire and struck a responding trooper in the shoulder.</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</si>
  <si>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</si>
  <si>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</si>
  <si>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</si>
  <si>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</si>
  <si>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</si>
  <si>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</si>
  <si>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40203</t>
  </si>
  <si>
    <t>Jefferson</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</si>
  <si>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</si>
  <si>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Candace Blakley</t>
  </si>
  <si>
    <t>1900 Coulter Dr</t>
  </si>
  <si>
    <t>North Augusta</t>
  </si>
  <si>
    <t>29841</t>
  </si>
  <si>
    <t>Aiken</t>
  </si>
  <si>
    <t>Aiken County Sheriff's Office</t>
  </si>
  <si>
    <t>Matthew Jordan Blakley, an Aiken County deputy, was fired after what the sheriff's office says was an accidental shooting. Matthew Blakley was arrested on Sunday, charged with accidentally shooting and killing his wife, Candace Blakley.</t>
  </si>
  <si>
    <t>Indicted</t>
  </si>
  <si>
    <t>James Payne Jr</t>
  </si>
  <si>
    <t>7360 Salem Ave</t>
  </si>
  <si>
    <t>Clayton</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</si>
  <si>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</si>
  <si>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</si>
  <si>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</si>
  <si>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</si>
  <si>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</si>
  <si>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</si>
  <si>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</si>
  <si>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</si>
  <si>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Anthony Hodge</t>
  </si>
  <si>
    <t>2500 St Marys Ave</t>
  </si>
  <si>
    <t>Fort Wayne</t>
  </si>
  <si>
    <t>46808</t>
  </si>
  <si>
    <t>Allen</t>
  </si>
  <si>
    <t>Fort Wayne Police Department</t>
  </si>
  <si>
    <t>Police were called because a man with a gun was causing a disturbance. Police said he answered the door armed with a handgun. He wouldn’t drop it and officers opened fire, killing him.</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</si>
  <si>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</si>
  <si>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</si>
  <si>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</si>
  <si>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</si>
  <si>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</si>
  <si>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</si>
  <si>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</si>
  <si>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</si>
  <si>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</si>
  <si>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</si>
  <si>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Charles Ziegler</t>
  </si>
  <si>
    <t>1347 Sample Rd</t>
  </si>
  <si>
    <t>Pompano Beach</t>
  </si>
  <si>
    <t>33064</t>
  </si>
  <si>
    <t>Ziegler was suspect of a bank robbery,cops found his car &amp; show up to his house, he pulled a revolver and officers react to the attack.</t>
  </si>
  <si>
    <t>Fritz Severe</t>
  </si>
  <si>
    <t>350 NW 13th St</t>
  </si>
  <si>
    <t>33136</t>
  </si>
  <si>
    <t xml:space="preserve">Severe was shot five times by an officer, who claimed that Severe was holding a metal pole. </t>
  </si>
  <si>
    <t>Mark Flores Jr</t>
  </si>
  <si>
    <t>6800 Honeyridge Ln</t>
  </si>
  <si>
    <t>78239</t>
  </si>
  <si>
    <t>Flores, who suffered from depression and schizophrenia, was fatally shot by police after firing a round at his father and firing several shots at responding officers.</t>
  </si>
  <si>
    <t>Raymond Peralta-lantigua</t>
  </si>
  <si>
    <t>185 Johnson Ave</t>
  </si>
  <si>
    <t>Hackensack</t>
  </si>
  <si>
    <t>07601</t>
  </si>
  <si>
    <t>Bergen</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</si>
  <si>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</si>
  <si>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</si>
  <si>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Raymond Phillips</t>
  </si>
  <si>
    <t>1000 Bear Creek Pike</t>
  </si>
  <si>
    <t>38401</t>
  </si>
  <si>
    <t>Maury</t>
  </si>
  <si>
    <t>Columbia Police Department</t>
  </si>
  <si>
    <t>It's reported that Phillips was threatening suicide, and when officers stopped him while driving, he pointed a gun at them, at which point they shot him to death.</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</si>
  <si>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</si>
  <si>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</si>
  <si>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</si>
  <si>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</si>
  <si>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</si>
  <si>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</si>
  <si>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</si>
  <si>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</si>
  <si>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</si>
  <si>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</si>
  <si>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</si>
  <si>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</si>
  <si>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</si>
  <si>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Gregory Scott Hartley</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</si>
  <si>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</si>
  <si>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</si>
  <si>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</si>
  <si>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</si>
  <si>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</si>
  <si>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Urbandale Ave and Merle Hay Rd</t>
  </si>
  <si>
    <t>Des Moines</t>
  </si>
  <si>
    <t>50322</t>
  </si>
  <si>
    <t>Polk</t>
  </si>
  <si>
    <t>Des Moines Police Department</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</si>
  <si>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</si>
  <si>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</si>
  <si>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</si>
  <si>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</si>
  <si>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</si>
  <si>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</si>
  <si>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</si>
  <si>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</si>
  <si>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</si>
  <si>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</si>
  <si>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</si>
  <si>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</si>
  <si>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La Palma Ave and Helena St</t>
  </si>
  <si>
    <t>Anaheim</t>
  </si>
  <si>
    <t>92801</t>
  </si>
  <si>
    <t>Anaheim Police Department</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</si>
  <si>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</si>
  <si>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</si>
  <si>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</si>
  <si>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</si>
  <si>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</si>
  <si>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</si>
  <si>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</si>
  <si>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</si>
  <si>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</si>
  <si>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Sun City</t>
  </si>
  <si>
    <t>85351</t>
  </si>
  <si>
    <t>Maricopa County Sheriff's Office</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</si>
  <si>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</si>
  <si>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2263 Loring Pl</t>
  </si>
  <si>
    <t>10468</t>
  </si>
  <si>
    <t>Ocasio died after being tased by officers responding to a call from the 51-year-old man's girlfriend, who told police that Ocasio was acting erratic and high on drugs.</t>
  </si>
  <si>
    <t>James Smillie</t>
  </si>
  <si>
    <t>3300 Mola St</t>
  </si>
  <si>
    <t>North Port</t>
  </si>
  <si>
    <t>34287</t>
  </si>
  <si>
    <t>Sarasota</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</si>
  <si>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</si>
  <si>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</si>
  <si>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Gene Marshall</t>
  </si>
  <si>
    <t>727 3rd St</t>
  </si>
  <si>
    <t>Woodland</t>
  </si>
  <si>
    <t>Cowlitz</t>
  </si>
  <si>
    <t>Woodland Police Department</t>
  </si>
  <si>
    <t>Police said Marshall was fatally shot after approaching an officer while armed with a handgun. The officer had been dispatched to deal with a call reporting that Marshall was threatening to kill himself and his wife, according to authorities.</t>
  </si>
  <si>
    <t>Lakeshore Ave and Lake Park Ave</t>
  </si>
  <si>
    <t>94610</t>
  </si>
  <si>
    <t>Hogg was unconscious in his car, investigations are open to determine why the police officers opened fire.</t>
  </si>
  <si>
    <t>Tevin Harris</t>
  </si>
  <si>
    <t>Moreland Avenue and Pickens Street SE</t>
  </si>
  <si>
    <t>Atlanta</t>
  </si>
  <si>
    <t>30316</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</si>
  <si>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</si>
  <si>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</si>
  <si>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</si>
  <si>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Exit 310 of I-70</t>
  </si>
  <si>
    <t>Strasburg</t>
  </si>
  <si>
    <t>80136</t>
  </si>
  <si>
    <t>Adams</t>
  </si>
  <si>
    <t>Arapahoe County Sheriff's Office</t>
  </si>
  <si>
    <t>Ramirez had a record as a sex offender and after being chased by the police on Interstate 70 he resisted the arrest and responded with gunfire.</t>
  </si>
  <si>
    <t>Porter Dr and San Juan Rd</t>
  </si>
  <si>
    <t>Pajaro</t>
  </si>
  <si>
    <t>95076</t>
  </si>
  <si>
    <t>Watsonville Police Department</t>
  </si>
  <si>
    <t>Fernandez was wanted for robbing homeless people. When police arrived, he made a run for it. Shots were exchanged. He hit an officer, and was shot and killed. The officer survived.</t>
  </si>
  <si>
    <t>Christie L. Cathers</t>
  </si>
  <si>
    <t>Finch Rd</t>
  </si>
  <si>
    <t>Morgantown</t>
  </si>
  <si>
    <t>26508</t>
  </si>
  <si>
    <t>Monongalia</t>
  </si>
  <si>
    <t>Monongalia County Sheriff's Department</t>
  </si>
  <si>
    <t>Cathers tried to run over a deputy, and they shot into the vehicle several times.</t>
  </si>
  <si>
    <t>Joe Nevels</t>
  </si>
  <si>
    <t>2601 Midland Dr</t>
  </si>
  <si>
    <t>Midland</t>
  </si>
  <si>
    <t>79707</t>
  </si>
  <si>
    <t>Midland Police Department</t>
  </si>
  <si>
    <t>Nevels was fatally shot by police behind a Midland liquor store after charging at officers with a box cutter. The officers were cleared of any wrongdoing following an internal investigation.</t>
  </si>
  <si>
    <t>Andrew Ellerbe</t>
  </si>
  <si>
    <t>6919 Rising Sun Ave</t>
  </si>
  <si>
    <t>19111</t>
  </si>
  <si>
    <t>Ellerbee was shot and killed by police after allegedly firing blank rounds at an off-duty officer during a robbery attempt at a pizza parlor.</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</si>
  <si>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</si>
  <si>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</si>
  <si>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</si>
  <si>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</si>
  <si>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</si>
  <si>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</si>
  <si>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</si>
  <si>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Persia Ave and Sunnydale Ave</t>
  </si>
  <si>
    <t>94112</t>
  </si>
  <si>
    <t>Pinkerton-Devito was killed by a patrol car. Details are very sketchy, and it appears that major media in San Francisco have completely ignored this story.</t>
  </si>
  <si>
    <t>1100 Pine Ln</t>
  </si>
  <si>
    <t>19013</t>
  </si>
  <si>
    <t>Chester Police Department</t>
  </si>
  <si>
    <t>A woman report a robbery, when the deputy showed, they pursued Sherman. He fell off his bike, and he was run over by the cops. He died at the hospital.</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</si>
  <si>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</si>
  <si>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</si>
  <si>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</si>
  <si>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</si>
  <si>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</si>
  <si>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</si>
  <si>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</si>
  <si>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</si>
  <si>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</si>
  <si>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</si>
  <si>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</si>
  <si>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</si>
  <si>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</si>
  <si>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</si>
  <si>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</si>
  <si>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</si>
  <si>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</si>
  <si>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</si>
  <si>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</si>
  <si>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</si>
  <si>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</si>
  <si>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</si>
  <si>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</si>
  <si>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Ronald Neal</t>
  </si>
  <si>
    <t>Laurel Trail</t>
  </si>
  <si>
    <t>Byram Township</t>
  </si>
  <si>
    <t>07821</t>
  </si>
  <si>
    <t>Sussex</t>
  </si>
  <si>
    <t>Byram Police Department</t>
  </si>
  <si>
    <t>It's reported that Neal exited his home telling officers to shoot him, while he pointed a shot gun at them. The officers were responding to a call from a neighbor reported that they heard a gun shot.</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</si>
  <si>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</si>
  <si>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</si>
  <si>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</si>
  <si>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</si>
  <si>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</si>
  <si>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4600 Washington St</t>
  </si>
  <si>
    <t>Roslindale</t>
  </si>
  <si>
    <t>02131</t>
  </si>
  <si>
    <t>Shot after lunging at FBI agent and police officer with knife.</t>
  </si>
  <si>
    <t>271 Greece Ridge Center Dr</t>
  </si>
  <si>
    <t>Rochester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</si>
  <si>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</si>
  <si>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</si>
  <si>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</si>
  <si>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</si>
  <si>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</si>
  <si>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</si>
  <si>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</si>
  <si>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</si>
  <si>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Richard Gregory Davis</t>
  </si>
  <si>
    <t>https://pbs.twimg.com/media/CGY25hgVIAEMsLm.png</t>
  </si>
  <si>
    <t>Tremont St and Morgan St</t>
  </si>
  <si>
    <t>14611</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</si>
  <si>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</si>
  <si>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</si>
  <si>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</si>
  <si>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</si>
  <si>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</si>
  <si>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</si>
  <si>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</si>
  <si>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</si>
  <si>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</si>
  <si>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Alexander Tirado Rivera</t>
  </si>
  <si>
    <t>http://www.killedbypolice.net/victims/150471.jpg</t>
  </si>
  <si>
    <t>1128 Murfreesboro Pike</t>
  </si>
  <si>
    <t>Nashville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</si>
  <si>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</si>
  <si>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</si>
  <si>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</si>
  <si>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</si>
  <si>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</si>
  <si>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</si>
  <si>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</si>
  <si>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</si>
  <si>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</si>
  <si>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</si>
  <si>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Nehemiah Fischer</t>
  </si>
  <si>
    <t>http://www.killedbypolice.net/victims/150468.jpg</t>
  </si>
  <si>
    <t>Hectorville Rd and Bixby Rd</t>
  </si>
  <si>
    <t>Mounds</t>
  </si>
  <si>
    <t>74047</t>
  </si>
  <si>
    <t>Creek</t>
  </si>
  <si>
    <t>Oklahoma Highway Patrol</t>
  </si>
  <si>
    <t>State Troopers tried to call two brothers out of flood waters. Nehemiah Fischer attacked officers</t>
  </si>
  <si>
    <t>http://www.theguardian.com/us-news/2015/may/31/oklahoma-pastor-nehemiah-fischer-trooper-shooting-flooding</t>
  </si>
  <si>
    <t>Robert Box</t>
  </si>
  <si>
    <t>108 Fir Canyon Rd</t>
  </si>
  <si>
    <t>Grants Pass</t>
  </si>
  <si>
    <t>97527</t>
  </si>
  <si>
    <t>Oregon State Police</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</si>
  <si>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</si>
  <si>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</si>
  <si>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</si>
  <si>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</si>
  <si>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</si>
  <si>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</si>
  <si>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</si>
  <si>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</si>
  <si>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</si>
  <si>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Mitchell Martinez</t>
  </si>
  <si>
    <t>4055 41st Ave</t>
  </si>
  <si>
    <t>32960</t>
  </si>
  <si>
    <t>http://tbo.com/news/crime/autopsy-set-for-thursday-in-death-of-vero-beach-inmate-20150604/?page=1</t>
  </si>
  <si>
    <t>http://www.thelevisalazer.com/images/Billy_collins.jpg</t>
  </si>
  <si>
    <t>215 N Main Cross St</t>
  </si>
  <si>
    <t>Louisa</t>
  </si>
  <si>
    <t>41230</t>
  </si>
  <si>
    <t>Lawrence</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</si>
  <si>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</si>
  <si>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</si>
  <si>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</si>
  <si>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</si>
  <si>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</si>
  <si>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</si>
  <si>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</si>
  <si>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</si>
  <si>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</si>
  <si>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</si>
  <si>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</si>
  <si>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</si>
  <si>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</si>
  <si>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</si>
  <si>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</si>
  <si>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</si>
  <si>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James Edward Strong Jr.</t>
  </si>
  <si>
    <t>10900 E 109th Pl</t>
  </si>
  <si>
    <t>Northglenn</t>
  </si>
  <si>
    <t>80233</t>
  </si>
  <si>
    <t>Northglenn Police Department</t>
  </si>
  <si>
    <t>Strong shot a member of a SWAT team twice as it served a warrant. SWAT officers fatally shot him in response. The officer survived.</t>
  </si>
  <si>
    <t>Harry Davis</t>
  </si>
  <si>
    <t>Sparta Hwy and Oconee Springs Rd</t>
  </si>
  <si>
    <t>Eatonton</t>
  </si>
  <si>
    <t>31024</t>
  </si>
  <si>
    <t>Putnam</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</si>
  <si>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</si>
  <si>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</si>
  <si>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Kyle Baker</t>
  </si>
  <si>
    <t>http://www.killedbypolice.net/victims/150465.jpg</t>
  </si>
  <si>
    <t>2800 Longmeadow Dr</t>
  </si>
  <si>
    <t>Trenton</t>
  </si>
  <si>
    <t>48183</t>
  </si>
  <si>
    <t>Trenton Police Department</t>
  </si>
  <si>
    <t>Officers responded to a call that Baker was behaving threateningly, possibly under the influence of alcohol or drugs. Officers shot Baker with a stun gun but he advanced and wounded an officer in the hand with a lawn mower blade. He was fatally shot in the abdomen.</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</si>
  <si>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</si>
  <si>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</si>
  <si>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</si>
  <si>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</si>
  <si>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</si>
  <si>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</si>
  <si>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Simon D. Hubble</t>
  </si>
  <si>
    <t>3600 Emmanuel Way</t>
  </si>
  <si>
    <t>Alpine</t>
  </si>
  <si>
    <t>91901</t>
  </si>
  <si>
    <t>San Diego County Sheriff's Department</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</si>
  <si>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</si>
  <si>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Randall C. Torrence</t>
  </si>
  <si>
    <t>http://www.killedbypolice.net/victims/150457.jpg</t>
  </si>
  <si>
    <t>1225 Quindaro Blvd</t>
  </si>
  <si>
    <t>66104</t>
  </si>
  <si>
    <t>Kansas City KS Police Department</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</si>
  <si>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</si>
  <si>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</si>
  <si>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</si>
  <si>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Middletown</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</si>
  <si>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</si>
  <si>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</si>
  <si>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</si>
  <si>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</si>
  <si>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</si>
  <si>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</si>
  <si>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</si>
  <si>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</si>
  <si>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</si>
  <si>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</si>
  <si>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</si>
  <si>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</si>
  <si>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</si>
  <si>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</si>
  <si>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</si>
  <si>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</si>
  <si>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</si>
  <si>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</si>
  <si>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</si>
  <si>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</si>
  <si>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</si>
  <si>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</si>
  <si>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</si>
  <si>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</si>
  <si>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Snohomish</t>
  </si>
  <si>
    <t>98290</t>
  </si>
  <si>
    <t>Snohomish County Sheriff's Office</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</si>
  <si>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</si>
  <si>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</si>
  <si>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</si>
  <si>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</si>
  <si>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</si>
  <si>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</si>
  <si>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</si>
  <si>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</si>
  <si>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</si>
  <si>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</si>
  <si>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</si>
  <si>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</si>
  <si>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</si>
  <si>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</si>
  <si>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</si>
  <si>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</si>
  <si>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Eagar</t>
  </si>
  <si>
    <t>85925</t>
  </si>
  <si>
    <t>Apache</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</si>
  <si>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</si>
  <si>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</si>
  <si>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</si>
  <si>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</si>
  <si>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</si>
  <si>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</si>
  <si>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</si>
  <si>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</si>
  <si>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</si>
  <si>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</si>
  <si>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</si>
  <si>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</si>
  <si>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</si>
  <si>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</si>
  <si>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</si>
  <si>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</si>
  <si>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</si>
  <si>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</si>
  <si>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</si>
  <si>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</si>
  <si>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</si>
  <si>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Markus Clark</t>
  </si>
  <si>
    <t>http://www.killedbypolice.net/victims/150444.jpg</t>
  </si>
  <si>
    <t>600 NW 27th Ave</t>
  </si>
  <si>
    <t>Fort Lauderdale</t>
  </si>
  <si>
    <t>33311</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</si>
  <si>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 his temperature was 106.3˚F. </t>
  </si>
  <si>
    <t>Javoris Reshaud Washington</t>
  </si>
  <si>
    <t>http://www.killedbypolice.net/victims/150443.jpg</t>
  </si>
  <si>
    <t>SW 29th Ave and SW 29th Terrace</t>
  </si>
  <si>
    <t>33312</t>
  </si>
  <si>
    <t>Fort Lauderdale Police Department</t>
  </si>
  <si>
    <t>Authorities said they were forced to open fire on a man who had barricaded himself inside a home in Fort Lauderdale. There were reports Washington was on the drug Flakka.</t>
  </si>
  <si>
    <t>Drug or Alcohol Use</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</si>
  <si>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</si>
  <si>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</si>
  <si>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</si>
  <si>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</si>
  <si>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</si>
  <si>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</si>
  <si>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</si>
  <si>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</si>
  <si>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</si>
  <si>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</si>
  <si>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</si>
  <si>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</si>
  <si>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</si>
  <si>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</si>
  <si>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</si>
  <si>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</si>
  <si>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</si>
  <si>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</si>
  <si>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</si>
  <si>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David Alejandro Gandara</t>
  </si>
  <si>
    <t>5111 Fairbanks Dr</t>
  </si>
  <si>
    <t>79924</t>
  </si>
  <si>
    <t>El Paso police shot and killed a 22-year-old man who was armed and possibly suicidal moments after he tried to enter a children's day care center in the Northeast, police officials said.</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</si>
  <si>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</si>
  <si>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</si>
  <si>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</si>
  <si>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</si>
  <si>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</si>
  <si>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</si>
  <si>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</si>
  <si>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James Anthony Cooper</t>
  </si>
  <si>
    <t>http://www.killedbypolice.net/victims/150438.jpg</t>
  </si>
  <si>
    <t>3271 Dartmouth Dr</t>
  </si>
  <si>
    <t>29414</t>
  </si>
  <si>
    <t>North Charleston Police Department</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</si>
  <si>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</si>
  <si>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</si>
  <si>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</si>
  <si>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</si>
  <si>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</si>
  <si>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</si>
  <si>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</si>
  <si>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</si>
  <si>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</si>
  <si>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Marcus D. Wheeler</t>
  </si>
  <si>
    <t>http://www.killedbypolice.net/victims/150437.jpg</t>
  </si>
  <si>
    <t>3057 Martin Ave</t>
  </si>
  <si>
    <t>68112</t>
  </si>
  <si>
    <t>Omaha Police Department</t>
  </si>
  <si>
    <t>An Omaha police officer and a suspect were shot and killed after a confrontation at North 30th Street and Martin Avenue just before 1 p.m.</t>
  </si>
  <si>
    <t>Jonathan McIntosh</t>
  </si>
  <si>
    <t>http://www.killedbypolice.net/victims/150435.jpg</t>
  </si>
  <si>
    <t>900 E Main St</t>
  </si>
  <si>
    <t>Cabot</t>
  </si>
  <si>
    <t>72023</t>
  </si>
  <si>
    <t>Lonoke</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</si>
  <si>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</si>
  <si>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</si>
  <si>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</si>
  <si>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</si>
  <si>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</si>
  <si>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</si>
  <si>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</si>
  <si>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</si>
  <si>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</si>
  <si>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Anthony Quinn Gomez Jr.</t>
  </si>
  <si>
    <t>http://www.killedbypolice.net/victims/150433.jpg</t>
  </si>
  <si>
    <t>305 E Walnut St</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</si>
  <si>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</si>
  <si>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</si>
  <si>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</si>
  <si>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Alfredo Rials-Torres</t>
  </si>
  <si>
    <t>4219 2nd Road N</t>
  </si>
  <si>
    <t>22203</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</si>
  <si>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</si>
  <si>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</si>
  <si>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David Gaines</t>
  </si>
  <si>
    <t>N 10th St and Gunnison Ave</t>
  </si>
  <si>
    <t>Grand Junction</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</si>
  <si>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</si>
  <si>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</si>
  <si>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</si>
  <si>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</si>
  <si>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Bin Christopher Williams</t>
  </si>
  <si>
    <t>http://www.killedbypolice.net/victims/150467.jpg</t>
  </si>
  <si>
    <t>1100 Bruce Ln</t>
  </si>
  <si>
    <t>Natrona County Sheriff’s Office</t>
  </si>
  <si>
    <t>Physical restraint</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</si>
  <si>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</si>
  <si>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</si>
  <si>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</si>
  <si>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</si>
  <si>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</si>
  <si>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</si>
  <si>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</si>
  <si>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</si>
  <si>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</si>
  <si>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</si>
  <si>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</si>
  <si>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</si>
  <si>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</si>
  <si>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</si>
  <si>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</si>
  <si>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</si>
  <si>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</si>
  <si>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</si>
  <si>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Pinellas</t>
  </si>
  <si>
    <t>St Petersburg Police Department</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</si>
  <si>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</si>
  <si>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Timothy Jones</t>
  </si>
  <si>
    <t>http://www.killedbypolice.net/victims/150429.jpg</t>
  </si>
  <si>
    <t>111 Otero Dr</t>
  </si>
  <si>
    <t>Ruidoso</t>
  </si>
  <si>
    <t>88345</t>
  </si>
  <si>
    <t>Lincoln</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</si>
  <si>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</si>
  <si>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</si>
  <si>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Matthew Coates</t>
  </si>
  <si>
    <t>http://www.killedbypolice.net/victims/150427.jpg</t>
  </si>
  <si>
    <t>2010 61st St</t>
  </si>
  <si>
    <t>95817</t>
  </si>
  <si>
    <t>Sacramento Police Department</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</si>
  <si>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</si>
  <si>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</si>
  <si>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Denis Reyes</t>
  </si>
  <si>
    <t>http://www.killedbypolice.net/victims/150425.jpg</t>
  </si>
  <si>
    <t>274 E 194th St</t>
  </si>
  <si>
    <t>10458</t>
  </si>
  <si>
    <t>Emotionally disturbed man dies after on his way to hospital after confrontation with police in his own home.</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</si>
  <si>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</si>
  <si>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</si>
  <si>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</si>
  <si>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</si>
  <si>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</si>
  <si>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</si>
  <si>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</si>
  <si>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</si>
  <si>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</si>
  <si>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</si>
  <si>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Portage</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</si>
  <si>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</si>
  <si>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</si>
  <si>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</si>
  <si>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</si>
  <si>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Lorenzo Hayes</t>
  </si>
  <si>
    <t>http://www.killedbypolice.net/victims/150423.jpg</t>
  </si>
  <si>
    <t>N Addison St and E Sanson Ave</t>
  </si>
  <si>
    <t>99207</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</si>
  <si>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</si>
  <si>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</si>
  <si>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7300 Blanding Blvd</t>
  </si>
  <si>
    <t>32244</t>
  </si>
  <si>
    <t>Jacksonville Police Department</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</si>
  <si>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</si>
  <si>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</si>
  <si>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</si>
  <si>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</si>
  <si>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</si>
  <si>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</si>
  <si>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</si>
  <si>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Bruce Zalonka</t>
  </si>
  <si>
    <t>http://www.killedbypolice.net/victims/150421.jpg</t>
  </si>
  <si>
    <t>1031 Nuuanu Ave</t>
  </si>
  <si>
    <t>Honolulu</t>
  </si>
  <si>
    <t>96817</t>
  </si>
  <si>
    <t>Marshalls approached Zalonka's vehicle to arrest him on weapon-related charges. He yelled at deputies, who broke a window to shoot him with a stun gun. When it had no effect, and Zalonka reached for a pistol, he was fatally shot.</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</si>
  <si>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</si>
  <si>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</si>
  <si>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</si>
  <si>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</si>
  <si>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</si>
  <si>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</si>
  <si>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</si>
  <si>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Lionel Young</t>
  </si>
  <si>
    <t>http://www.killedbypolice.net/victims/150414.jpg</t>
  </si>
  <si>
    <t>950 Nalley Rd</t>
  </si>
  <si>
    <t>Landover</t>
  </si>
  <si>
    <t>20785</t>
  </si>
  <si>
    <t>Prince George's</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</si>
  <si>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</si>
  <si>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</si>
  <si>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Kelvin Antonie Goldston</t>
  </si>
  <si>
    <t>http://www.killedbypolice.net/victims/150418.jpg</t>
  </si>
  <si>
    <t>6024 Wheaton Dr</t>
  </si>
  <si>
    <t>76133</t>
  </si>
  <si>
    <t>Officers advanced on a residence occupied by Goldston, named in multiple outstanding warrants. Goldston left the residence, entered a pickup truck and backed into a female narcotics officer. Other officers shot him, the fatal bullet entering his neck.</t>
  </si>
  <si>
    <t>Sean Johnson</t>
  </si>
  <si>
    <t>http://www.killedbypolice.net/victims/150416.jpg</t>
  </si>
  <si>
    <t>59705 E Bidegain Pl</t>
  </si>
  <si>
    <t>Kearny</t>
  </si>
  <si>
    <t>85137</t>
  </si>
  <si>
    <t>Pinal</t>
  </si>
  <si>
    <t>Pinal County Sheriff's Office</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</si>
  <si>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</si>
  <si>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</si>
  <si>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</si>
  <si>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</si>
  <si>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</si>
  <si>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St. Johns</t>
  </si>
  <si>
    <t>Deputies responded to a 911 call about Way, who was threatening suicide. When they entered Way's residence, they alleged that Way pointed a machete at them and they fatally shot him. The shooting is still under investigation.</t>
  </si>
  <si>
    <t>Michael Tyrone Gallagher</t>
  </si>
  <si>
    <t>http://www.killedbypolice.net/victims/150415.jpg</t>
  </si>
  <si>
    <t>100 Whitfield St</t>
  </si>
  <si>
    <t>Enfield</t>
  </si>
  <si>
    <t>27823</t>
  </si>
  <si>
    <t>Halifax</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</si>
  <si>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</si>
  <si>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</si>
  <si>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Stephen Cunningham</t>
  </si>
  <si>
    <t>3420 S Proctor St</t>
  </si>
  <si>
    <t>98409</t>
  </si>
  <si>
    <t>Tacoma police shot and killed a man after being called to a noise complaint.</t>
  </si>
  <si>
    <t>unknown</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</si>
  <si>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</si>
  <si>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</si>
  <si>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</si>
  <si>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</si>
  <si>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</si>
  <si>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</si>
  <si>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</si>
  <si>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</si>
  <si>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</si>
  <si>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</si>
  <si>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</si>
  <si>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</si>
  <si>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</si>
  <si>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</si>
  <si>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</si>
  <si>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</si>
  <si>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</si>
  <si>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</si>
  <si>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</si>
  <si>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</si>
  <si>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</si>
  <si>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</si>
  <si>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</si>
  <si>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</si>
  <si>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</si>
  <si>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</si>
  <si>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</si>
  <si>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</si>
  <si>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</si>
  <si>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</si>
  <si>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John Paul Kaafi</t>
  </si>
  <si>
    <t>http://www.killedbypolice.net/victims/150409.jpg</t>
  </si>
  <si>
    <t>8th St and N Orange Ave</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</si>
  <si>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</si>
  <si>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</si>
  <si>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</si>
  <si>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Joseph Roy</t>
  </si>
  <si>
    <t>2853 Avalon Meadows Ct</t>
  </si>
  <si>
    <t>Lawrenceville</t>
  </si>
  <si>
    <t>30044</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</si>
  <si>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</si>
  <si>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</si>
  <si>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</si>
  <si>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</si>
  <si>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</si>
  <si>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</si>
  <si>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Michael G. Murphy</t>
  </si>
  <si>
    <t>http://www.killedbypolice.net/victims/150407.jpg</t>
  </si>
  <si>
    <t>I-84</t>
  </si>
  <si>
    <t>Beacon</t>
  </si>
  <si>
    <t>12508</t>
  </si>
  <si>
    <t>Dutchess</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</si>
  <si>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</si>
  <si>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</si>
  <si>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Brendon Glenn</t>
  </si>
  <si>
    <t>http://www.killedbypolice.net/victims/150402.jpg</t>
  </si>
  <si>
    <t>1602 Pacific Ave</t>
  </si>
  <si>
    <t>90291</t>
  </si>
  <si>
    <t>The officers attempted to detain Glenn, and an altercation occurred between them. During that fight, Glenn was shot and killed.</t>
  </si>
  <si>
    <t>Nuwnah Laroche</t>
  </si>
  <si>
    <t>http://www.killedbypolice.net/victims/150404.jpg</t>
  </si>
  <si>
    <t>I-95</t>
  </si>
  <si>
    <t>Ridgefield Park</t>
  </si>
  <si>
    <t>07094</t>
  </si>
  <si>
    <t>Hudson</t>
  </si>
  <si>
    <t>New Jersey State Police</t>
  </si>
  <si>
    <t>State police officers in high speed pursuit crashes and creates accident where two pedestrians died.</t>
  </si>
  <si>
    <t>Jason Champion</t>
  </si>
  <si>
    <t>Thong Kien Ma</t>
  </si>
  <si>
    <t>http://www.killedbypolice.net/victims/150401.jpg</t>
  </si>
  <si>
    <t>10400 Enloe St</t>
  </si>
  <si>
    <t>South El Monte</t>
  </si>
  <si>
    <t>When deputies arrived, they found a man stabbing another man and when he refused to obey orders and walked towards deputies they open fire.</t>
  </si>
  <si>
    <t>Shawn Watashe</t>
  </si>
  <si>
    <t>6700 E Admiral Pl</t>
  </si>
  <si>
    <t>Tulsa</t>
  </si>
  <si>
    <t>74115</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</si>
  <si>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</si>
  <si>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</si>
  <si>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</si>
  <si>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Robert Frost</t>
  </si>
  <si>
    <t>http://www.killedbypolice.net/victims/150400.jpg</t>
  </si>
  <si>
    <t>1847 Bob White Blvd</t>
  </si>
  <si>
    <t>Pulaski</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</si>
  <si>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</si>
  <si>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</si>
  <si>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</si>
  <si>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</si>
  <si>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</si>
  <si>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</si>
  <si>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Perry</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</si>
  <si>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</si>
  <si>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</si>
  <si>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</si>
  <si>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</si>
  <si>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</si>
  <si>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</si>
  <si>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</si>
  <si>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</si>
  <si>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</si>
  <si>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</si>
  <si>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</si>
  <si>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</si>
  <si>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</si>
  <si>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</si>
  <si>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Elton Simpson</t>
  </si>
  <si>
    <t>http://www.killedbypolice.net/victims/150396.jpg</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</si>
  <si>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</si>
  <si>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</si>
  <si>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</si>
  <si>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</si>
  <si>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</si>
  <si>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</si>
  <si>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</si>
  <si>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</si>
  <si>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</si>
  <si>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</si>
  <si>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</si>
  <si>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</si>
  <si>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</si>
  <si>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</si>
  <si>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</si>
  <si>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Kent</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</si>
  <si>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</si>
  <si>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</si>
  <si>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Alexia Christian</t>
  </si>
  <si>
    <t>141 Pryor St SW</t>
  </si>
  <si>
    <t>30303</t>
  </si>
  <si>
    <t>Atlanta Police Department</t>
  </si>
  <si>
    <t>Officers shot and killed a woman who allegedly fired shots from the back seat of a patrol car.</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</si>
  <si>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</si>
  <si>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</si>
  <si>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</si>
  <si>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</si>
  <si>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</si>
  <si>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</si>
  <si>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</si>
  <si>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</si>
  <si>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</si>
  <si>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</si>
  <si>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</si>
  <si>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</si>
  <si>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</si>
  <si>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</si>
  <si>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Joshua Deysie</t>
  </si>
  <si>
    <t>http://www.gannett-cdn.com/-mm-/3221a1f017874e5965a167b7473dac7b6b71c14a/c=13-0-388-500&amp;r=537&amp;c=0-0-534-712/local/-/media/2015/04/30/Phoenix/Phoenix/635660110001182124-Joshua-Deysie.jpg</t>
  </si>
  <si>
    <t>1400 E Harmony Ave</t>
  </si>
  <si>
    <t xml:space="preserve">Police said 33-year-old Joshua Deysie spent a half hour in a standoff with officers, eventually pointing a gun right at the officers. He was shot and killed. </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</si>
  <si>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</si>
  <si>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</si>
  <si>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</si>
  <si>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</si>
  <si>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</si>
  <si>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</si>
  <si>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</si>
  <si>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</si>
  <si>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</si>
  <si>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</si>
  <si>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</si>
  <si>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</si>
  <si>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</si>
  <si>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</si>
  <si>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</si>
  <si>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</si>
  <si>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</si>
  <si>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</si>
  <si>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</si>
  <si>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</si>
  <si>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</si>
  <si>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Joshua Green</t>
  </si>
  <si>
    <t>1408 W Main St</t>
  </si>
  <si>
    <t>Williamson</t>
  </si>
  <si>
    <t>Marion Police Department, Illinois State Police and Williamson County Sheriff's Department</t>
  </si>
  <si>
    <t>Joshua A. Green, 27, of Marion was pronounced dead outside a 1408 W. Main St. apartment where he reportedly took a woman hostage.</t>
  </si>
  <si>
    <t>David Parker</t>
  </si>
  <si>
    <t>36 Randall Rd</t>
  </si>
  <si>
    <t>Mansfield</t>
  </si>
  <si>
    <t>Richland</t>
  </si>
  <si>
    <t>Mansfield Police Department</t>
  </si>
  <si>
    <t>David Parker was shot in his home at around 11 a.m., ending a police standoff that lasted more than 24 hours at the 36 Randall Road home.</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</si>
  <si>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</si>
  <si>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</si>
  <si>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</si>
  <si>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</si>
  <si>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</si>
  <si>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</si>
  <si>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</si>
  <si>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</si>
  <si>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</si>
  <si>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</si>
  <si>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</si>
  <si>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</si>
  <si>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</si>
  <si>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</si>
  <si>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</si>
  <si>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</si>
  <si>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</si>
  <si>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</si>
  <si>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</si>
  <si>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</si>
  <si>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</si>
  <si>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</si>
  <si>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Ongoing investigation</t>
  </si>
  <si>
    <t>http://www.guns.com/2015/04/30/game-warden-shoots-kills-man-who-tried-to-drown-him-after-checking-fishing-license/</t>
  </si>
  <si>
    <t>Brandon Lawrence</t>
  </si>
  <si>
    <t>800 Simpson Rd</t>
  </si>
  <si>
    <t>Victoria</t>
  </si>
  <si>
    <t>Victoria Police Department</t>
  </si>
  <si>
    <t>The shooting happened after officers were confronted by a suspect with a weapon</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</si>
  <si>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</si>
  <si>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</si>
  <si>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</si>
  <si>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</si>
  <si>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</si>
  <si>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</si>
  <si>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</si>
  <si>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</si>
  <si>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</si>
  <si>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</si>
  <si>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</si>
  <si>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</si>
  <si>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</si>
  <si>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</si>
  <si>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</si>
  <si>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</si>
  <si>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</si>
  <si>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</si>
  <si>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</si>
  <si>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</si>
  <si>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</si>
  <si>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</si>
  <si>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</si>
  <si>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</si>
  <si>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</si>
  <si>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Gary Timmie Collins</t>
  </si>
  <si>
    <t>H St NW and 20th Ave NW</t>
  </si>
  <si>
    <t>Coal</t>
  </si>
  <si>
    <t>Collins ignored a driver's license checkpoint and was pursued by troopers. He exited his vehicle with a gun, and a trooper fatally shot him.</t>
  </si>
  <si>
    <t>Mark Cecil Hawkins</t>
  </si>
  <si>
    <t>1940 Turner Rd SE</t>
  </si>
  <si>
    <t>Salem</t>
  </si>
  <si>
    <t>Salem Police Department</t>
  </si>
  <si>
    <t>Before Friday's tense, hours-long standoff ended with the gunman mortally wounded in a Walmart parking lot, he had repeatedly fired his weapon at police while ignoring their demands to surrender, Salem police said.</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</si>
  <si>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</si>
  <si>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</si>
  <si>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</si>
  <si>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</si>
  <si>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</si>
  <si>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</si>
  <si>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</si>
  <si>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</si>
  <si>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</si>
  <si>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</si>
  <si>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</si>
  <si>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</si>
  <si>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Karen Jenks</t>
  </si>
  <si>
    <t>2661 Gravenstein Hwy S</t>
  </si>
  <si>
    <t>Sebastopol</t>
  </si>
  <si>
    <t>Sonoma</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</si>
  <si>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</si>
  <si>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</si>
  <si>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Jonathan Efraim</t>
  </si>
  <si>
    <t>16802 Hillside Ave</t>
  </si>
  <si>
    <t>11432</t>
  </si>
  <si>
    <t>Queens</t>
  </si>
  <si>
    <t>Police responded to a report of a man inside a bar who fired a gun. On arrival, they chased the subject who allegedly fired at them. NYPD opened fire and shot and killed the man.</t>
  </si>
  <si>
    <t>David Levi Dehmann</t>
  </si>
  <si>
    <t>http://www.killedbypolice.net/victims/150369.jpg</t>
  </si>
  <si>
    <t>11540 Upper Gilchrist Rd</t>
  </si>
  <si>
    <t>Mt Vernon</t>
  </si>
  <si>
    <t>Knox</t>
  </si>
  <si>
    <t>Knox County Sheriff's Office</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</si>
  <si>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</si>
  <si>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</si>
  <si>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</si>
  <si>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</si>
  <si>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</si>
  <si>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</si>
  <si>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</si>
  <si>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</si>
  <si>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</si>
  <si>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</si>
  <si>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</si>
  <si>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</si>
  <si>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</si>
  <si>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</si>
  <si>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</si>
  <si>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</si>
  <si>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</si>
  <si>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</si>
  <si>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</si>
  <si>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</si>
  <si>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</si>
  <si>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Jose E. Herrera</t>
  </si>
  <si>
    <t>3000 W Cecil Ave</t>
  </si>
  <si>
    <t>91764</t>
  </si>
  <si>
    <t>Herrera appeared to be intoxicated. One officer shot and killed Herrera, it is unknown if there was a threat towards said officer.</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</si>
  <si>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</si>
  <si>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</si>
  <si>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</si>
  <si>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</si>
  <si>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</si>
  <si>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</si>
  <si>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</si>
  <si>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</si>
  <si>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Reginald McGregor</t>
  </si>
  <si>
    <t>http://www.killedbypolice.net/victims/150358.jpg</t>
  </si>
  <si>
    <t>200 North Retta St</t>
  </si>
  <si>
    <t>76111</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</si>
  <si>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</si>
  <si>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</si>
  <si>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</si>
  <si>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</si>
  <si>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</si>
  <si>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</si>
  <si>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</si>
  <si>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</si>
  <si>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Samuel Harrell</t>
  </si>
  <si>
    <t>18 Strack Dr</t>
  </si>
  <si>
    <t>New York Department of Corrections and Community Supervision</t>
  </si>
  <si>
    <t>http://www.wbal.com/article/114668/2/man-dies-one-week-after-being-rushed-to-hospital-after-arrest</t>
  </si>
  <si>
    <t>Daniel Wolfe</t>
  </si>
  <si>
    <t>http://www.killedbypolice.net/victims/150355.jpg</t>
  </si>
  <si>
    <t>1714 Walker Ave</t>
  </si>
  <si>
    <t>07083</t>
  </si>
  <si>
    <t>Police were pursuing an alleged carjacked car that crashed into a group of parked cars. Officers opened fire on the subject, killing him at the scene.</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</si>
  <si>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</si>
  <si>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</si>
  <si>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</si>
  <si>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</si>
  <si>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Daniel I. Covarrubias</t>
  </si>
  <si>
    <t>http://www.killedbypolice.net/victims/150356.jpg</t>
  </si>
  <si>
    <t>3600 SW 108th St</t>
  </si>
  <si>
    <t>98499</t>
  </si>
  <si>
    <t>Lakewood Police Department</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</si>
  <si>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</si>
  <si>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</si>
  <si>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Stephen Gene Davenport</t>
  </si>
  <si>
    <t>http://www.killedbypolice.net/victims/150354.jpg</t>
  </si>
  <si>
    <t>Old Hwy 19 SE</t>
  </si>
  <si>
    <t>Meridian</t>
  </si>
  <si>
    <t>39301</t>
  </si>
  <si>
    <t>Lauderdale</t>
  </si>
  <si>
    <t>Lauderdale County Sheriff's Office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</si>
  <si>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</si>
  <si>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</si>
  <si>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</si>
  <si>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</si>
  <si>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</si>
  <si>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</si>
  <si>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</si>
  <si>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</si>
  <si>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</si>
  <si>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</si>
  <si>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</si>
  <si>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</si>
  <si>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</si>
  <si>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Freddie Gray</t>
  </si>
  <si>
    <t>http://www.killedbypolice.net/victims/150349.jpg</t>
  </si>
  <si>
    <t>Mount St and Presbury St</t>
  </si>
  <si>
    <t>21217</t>
  </si>
  <si>
    <t>Baltimore Police Department</t>
  </si>
  <si>
    <t>http://www.ksat.com/content/pns/ksat/news/2015/04/19/man-dies-in-police-custody0.html</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</si>
  <si>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</si>
  <si>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</si>
  <si>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</si>
  <si>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</si>
  <si>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</si>
  <si>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http://www.baltimoresun.com/news/maryland/bs-md-hagerstown-custody-death-20150417-story.html</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</si>
  <si>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</si>
  <si>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</si>
  <si>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</si>
  <si>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</si>
  <si>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</si>
  <si>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</si>
  <si>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</si>
  <si>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Richard Brian Reed</t>
  </si>
  <si>
    <t>http://www.killedbypolice.net/victims/150351.jpg</t>
  </si>
  <si>
    <t>SW Wanamaker Rd and I-70</t>
  </si>
  <si>
    <t>Topeka</t>
  </si>
  <si>
    <t>66606</t>
  </si>
  <si>
    <t>Shawnee</t>
  </si>
  <si>
    <t>Topeka Police Department</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</si>
  <si>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</si>
  <si>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</si>
  <si>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Thaddeus McCarroll</t>
  </si>
  <si>
    <t>http://www.killedbypolice.net/victims/150345.jpg</t>
  </si>
  <si>
    <t>9201 Riverwood Dr</t>
  </si>
  <si>
    <t>Jennings</t>
  </si>
  <si>
    <t>63136</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</si>
  <si>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</si>
  <si>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</si>
  <si>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</si>
  <si>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</si>
  <si>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</si>
  <si>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</si>
  <si>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</si>
  <si>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Grover Zeno Sapp Jr.</t>
  </si>
  <si>
    <t>http://www.killedbypolice.net/victims/150346.jpg</t>
  </si>
  <si>
    <t>1200 Beck Ave</t>
  </si>
  <si>
    <t>Panama City</t>
  </si>
  <si>
    <t>32401</t>
  </si>
  <si>
    <t>Bay</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</si>
  <si>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</si>
  <si>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</si>
  <si>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</si>
  <si>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</si>
  <si>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</si>
  <si>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</si>
  <si>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</si>
  <si>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</si>
  <si>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</si>
  <si>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</si>
  <si>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</si>
  <si>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</si>
  <si>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</si>
  <si>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http://www.heraldmailmedia.com/news/local/man-who-died-after-being-shot-with-stun-gun-by/article_5a6bafd4-e4fe-11e4-b493-cb1af12370b9.html</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</si>
  <si>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</si>
  <si>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</si>
  <si>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</si>
  <si>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</si>
  <si>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</si>
  <si>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</si>
  <si>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Delonte Lee</t>
  </si>
  <si>
    <t>20601</t>
  </si>
  <si>
    <t>Charles</t>
  </si>
  <si>
    <t>State troopers attempted to pull Lee over at 1 a.m. for a bad license plate light. Lee refused to stop, possibly because of an outstanding failure-to-appear warrant. He pulled off Route 301 and onto Acton Lane. Police describe the chase halted and then the trooper coming across Lee's fatal one-car wreck shortly after.</t>
  </si>
  <si>
    <t>http://www.nbcwashington.com/news/local/1-Dead-in-Crash-in-Waldorf-300057901.html</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</si>
  <si>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</si>
  <si>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</si>
  <si>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</si>
  <si>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</si>
  <si>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</si>
  <si>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</si>
  <si>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</si>
  <si>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</si>
  <si>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</si>
  <si>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</si>
  <si>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</si>
  <si>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</si>
  <si>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</si>
  <si>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Mark W. Adair</t>
  </si>
  <si>
    <t>http://www.killedbypolice.net/victims/150339.jpg</t>
  </si>
  <si>
    <t>Hitt St and Elm St</t>
  </si>
  <si>
    <t>65201</t>
  </si>
  <si>
    <t>Boone</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</si>
  <si>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</si>
  <si>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</si>
  <si>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</si>
  <si>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</si>
  <si>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</si>
  <si>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</si>
  <si>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</si>
  <si>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</si>
  <si>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</si>
  <si>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Spartanburg</t>
  </si>
  <si>
    <t>29306</t>
  </si>
  <si>
    <t>Spartanburg Police Department</t>
  </si>
  <si>
    <t>Police responded to a 911 call of a man stabbing a woman in an apartment complex. Once they located the apartment, officers kicked down the door and shot the suspect dead as he was stabbing the woman.</t>
  </si>
  <si>
    <t>Frank Ernest Shephard III</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</si>
  <si>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</si>
  <si>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</si>
  <si>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</si>
  <si>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</si>
  <si>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Ernesto Flores</t>
  </si>
  <si>
    <t>http://www.killedbypolice.net/victims/150336.jpg</t>
  </si>
  <si>
    <t>11157 Chico Ave</t>
  </si>
  <si>
    <t>Pomona</t>
  </si>
  <si>
    <t>97166</t>
  </si>
  <si>
    <t>Deputies responded to a report of a man barricaded in his home and threatening to blow it up. At one point he allegedly started a fire inside. Reports say, "It’s unclear exactly why deputies opened fire." The man died at the hospital.</t>
  </si>
  <si>
    <t>Christopher Grant Finley</t>
  </si>
  <si>
    <t>http://www.killedbypolice.net/victims/150331.jpg</t>
  </si>
  <si>
    <t>900 Walnut St</t>
  </si>
  <si>
    <t>Jonesboro</t>
  </si>
  <si>
    <t>Craighead</t>
  </si>
  <si>
    <t>Jonesboro Police Department</t>
  </si>
  <si>
    <t xml:space="preserve">Finley struck an officer in the arm with a machete. Finely was then shot and killed. </t>
  </si>
  <si>
    <t>Joseph Slater</t>
  </si>
  <si>
    <t>http://www.killedbypolice.net/victims/150337.jpg</t>
  </si>
  <si>
    <t>27767 Base Line</t>
  </si>
  <si>
    <t>Highland</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</si>
  <si>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</si>
  <si>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</si>
  <si>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</si>
  <si>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</si>
  <si>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</si>
  <si>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</si>
  <si>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</si>
  <si>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</si>
  <si>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</si>
  <si>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</si>
  <si>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</si>
  <si>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</si>
  <si>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Hamilton Township</t>
  </si>
  <si>
    <t>08619</t>
  </si>
  <si>
    <t>Mercer</t>
  </si>
  <si>
    <t>Hamilton Police Department</t>
  </si>
  <si>
    <t xml:space="preserve">Clyde was shot and killed by police after he refused to drop a knife he used to repeatedly stab his father, authorities said </t>
  </si>
  <si>
    <t xml:space="preserve">Pending investigation  </t>
  </si>
  <si>
    <t>Karl Taylor</t>
  </si>
  <si>
    <t>http://www.killedbypolice.net/victims/150330.jpg</t>
  </si>
  <si>
    <t>325 Riverside Dr</t>
  </si>
  <si>
    <t>Fallsburg</t>
  </si>
  <si>
    <t>12733</t>
  </si>
  <si>
    <t>Sullivan</t>
  </si>
  <si>
    <t>Colby Robinson</t>
  </si>
  <si>
    <t>http://www.killedbypolice.net/victims/150329.jpg</t>
  </si>
  <si>
    <t>7000 Altaire Ave</t>
  </si>
  <si>
    <t>DeSoto Police Department</t>
  </si>
  <si>
    <t xml:space="preserve">Robinson was wanted for murder and was found in Dallas. After a short foot chase Robinson was shot and killed. </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</si>
  <si>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</si>
  <si>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</si>
  <si>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</si>
  <si>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</si>
  <si>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</si>
  <si>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</si>
  <si>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</si>
  <si>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</si>
  <si>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77060</t>
  </si>
  <si>
    <t>The Guardian reports that Nunez's name was released to them by Harris County Institute of Forensic Sciances. Nunez was shot by Houston Police Officer David Sudderth while sitting in his truck at a gas station. Police say he was acting eradically.</t>
  </si>
  <si>
    <t>Peding investigaton</t>
  </si>
  <si>
    <t>http://abc13.com/news/hpd-off-duty-officer-fatally-shoots-suspect/656854/</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</si>
  <si>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</si>
  <si>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</si>
  <si>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</si>
  <si>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</si>
  <si>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</si>
  <si>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</si>
  <si>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</si>
  <si>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</si>
  <si>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</si>
  <si>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</si>
  <si>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</si>
  <si>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</si>
  <si>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</si>
  <si>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</si>
  <si>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</si>
  <si>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</si>
  <si>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</si>
  <si>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</si>
  <si>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</si>
  <si>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</si>
  <si>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</si>
  <si>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</si>
  <si>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</si>
  <si>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</si>
  <si>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</si>
  <si>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</si>
  <si>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</si>
  <si>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</si>
  <si>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</si>
  <si>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</si>
  <si>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</si>
  <si>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</si>
  <si>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Jess Leipold</t>
  </si>
  <si>
    <t>45 Major Bell Ln</t>
  </si>
  <si>
    <t>Gettysburg</t>
  </si>
  <si>
    <t>17325</t>
  </si>
  <si>
    <t>Leipold showed up to the Adams County prison with a gun and was killed by state police.</t>
  </si>
  <si>
    <t>Don Oneal Smith Jr.</t>
  </si>
  <si>
    <t>http://www.killedbypolice.net/victims/150319.jpg</t>
  </si>
  <si>
    <t>8516 N Meridian Rd</t>
  </si>
  <si>
    <t>Monon</t>
  </si>
  <si>
    <t>47959</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</si>
  <si>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</si>
  <si>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</si>
  <si>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Gordon Talmage Kimbrell Jr.</t>
  </si>
  <si>
    <t>(victim's dad) http://openpasts.com/photo/gordon-kimbrell/okaloosa-florida/0607135349069</t>
  </si>
  <si>
    <t>9265 Quail Roost Dr</t>
  </si>
  <si>
    <t>Navarre</t>
  </si>
  <si>
    <t>32566</t>
  </si>
  <si>
    <t>Santa Rosa</t>
  </si>
  <si>
    <t>Santa Rosa County Sheriff's Office</t>
  </si>
  <si>
    <t>Officers responded to a call about a man with a weapon and encountered the subject in possession of a samurai sword. He allegedly attacked the officers who shot him dead.</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</si>
  <si>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</si>
  <si>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</si>
  <si>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</si>
  <si>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</si>
  <si>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</si>
  <si>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</si>
  <si>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</si>
  <si>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</si>
  <si>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</si>
  <si>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</si>
  <si>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</si>
  <si>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</si>
  <si>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</si>
  <si>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</si>
  <si>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Dexter Bethea</t>
  </si>
  <si>
    <t>http://www.killedbypolice.net/victims/150314.jpg</t>
  </si>
  <si>
    <t>3022 James Rd</t>
  </si>
  <si>
    <t>Valdosta</t>
  </si>
  <si>
    <t>31602</t>
  </si>
  <si>
    <t>Lowndes</t>
  </si>
  <si>
    <t>Lowndes County Sheriff's Office</t>
  </si>
  <si>
    <t>Officers arrested two and shot the subject an Econo Lodge motel. No further information has been made public.</t>
  </si>
  <si>
    <t>Roberto Rodriguez</t>
  </si>
  <si>
    <t>4th St and Mathews St</t>
  </si>
  <si>
    <t>90033</t>
  </si>
  <si>
    <t>Officers chased the suspect, wanted for an earlier murder, on foot and shot him dead.</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</si>
  <si>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</si>
  <si>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</si>
  <si>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</si>
  <si>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</si>
  <si>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</si>
  <si>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</si>
  <si>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</si>
  <si>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</si>
  <si>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</si>
  <si>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</si>
  <si>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Douglas Faith</t>
  </si>
  <si>
    <t>Karen Ln and Corinne Dr</t>
  </si>
  <si>
    <t>78218</t>
  </si>
  <si>
    <t>Police attempted a traffic stop but the subject allegedly led them on a chase. When they caught up to him in a Walmart parking lot he began screaming threats and started reaching for something in a bag. Officers fired and killed the man.</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</si>
  <si>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</si>
  <si>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</si>
  <si>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</si>
  <si>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</si>
  <si>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</si>
  <si>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</si>
  <si>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</si>
  <si>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</si>
  <si>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</si>
  <si>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</si>
  <si>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</si>
  <si>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</si>
  <si>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</si>
  <si>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</si>
  <si>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</si>
  <si>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</si>
  <si>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</si>
  <si>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</si>
  <si>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</si>
  <si>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</si>
  <si>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</si>
  <si>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</si>
  <si>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</si>
  <si>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William J. Dick III</t>
  </si>
  <si>
    <t>Bureau of Indian Affairs Rd 66</t>
  </si>
  <si>
    <t>Tonasket</t>
  </si>
  <si>
    <t>98855</t>
  </si>
  <si>
    <t>Okanogan</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</si>
  <si>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</si>
  <si>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Jared Forsyth</t>
  </si>
  <si>
    <t>http://www.killedbypolice.net/victims/150308.jpg</t>
  </si>
  <si>
    <t>11120 NW Gainesville Rd</t>
  </si>
  <si>
    <t>Ocala</t>
  </si>
  <si>
    <t>34482</t>
  </si>
  <si>
    <t>Ocala Police Department</t>
  </si>
  <si>
    <t>During a firearms training session at a local correctional institution Officer Forsyth accidentally took a round in the side, which bypassed his bulletproof vest and entered his chest. He died several hours later in surgery.</t>
  </si>
  <si>
    <t>Alexander Myers</t>
  </si>
  <si>
    <t>http://www.killedbypolice.net/victims/150305.jpg</t>
  </si>
  <si>
    <t>5700 block Ashby Dr</t>
  </si>
  <si>
    <t>46221</t>
  </si>
  <si>
    <t>Police say the man, later identified as 23-year-old Alexander Myers, confronted officers with a rifle after they were called out on a report of a suicidal individual.</t>
  </si>
  <si>
    <t>Ken Cockerel</t>
  </si>
  <si>
    <t>W Union Hills Dr and N 39th Ave</t>
  </si>
  <si>
    <t>Police officers responded to a 911 call that a man had stabbed himself in the chest and after not responding to authorities, he was shot and killed.</t>
  </si>
  <si>
    <t>Paul Anthony Anderson</t>
  </si>
  <si>
    <t>http://www.killedbypolice.net/victims/150302.jpg</t>
  </si>
  <si>
    <t>150 E Lincoln Ave</t>
  </si>
  <si>
    <t>orange</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</si>
  <si>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</si>
  <si>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</si>
  <si>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</si>
  <si>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</si>
  <si>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</si>
  <si>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</si>
  <si>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</si>
  <si>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Walter Scott</t>
  </si>
  <si>
    <t>http://www.killedbypolice.net/victims/150300.jpg</t>
  </si>
  <si>
    <t>1945 Remount Rd</t>
  </si>
  <si>
    <t>North Charleston</t>
  </si>
  <si>
    <t>29406</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</si>
  <si>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</si>
  <si>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</si>
  <si>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Ethan Noll</t>
  </si>
  <si>
    <t>http://www.killedbypolice.net/victims/150299.jpg</t>
  </si>
  <si>
    <t>Mountainair St</t>
  </si>
  <si>
    <t>Edgewood</t>
  </si>
  <si>
    <t>New Mexico State Police</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</si>
  <si>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</si>
  <si>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</si>
  <si>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</si>
  <si>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</si>
  <si>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</si>
  <si>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Muskogee</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</si>
  <si>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</si>
  <si>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</si>
  <si>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Darrin A. Langford</t>
  </si>
  <si>
    <t>12th Ave and Glenhurst Ct</t>
  </si>
  <si>
    <t>Rock Island</t>
  </si>
  <si>
    <t>Rock Island Police Department</t>
  </si>
  <si>
    <t>Police say arriving officers engaged in a foot pursuit with an individual who was observed to be armed with a handgun.</t>
  </si>
  <si>
    <t>Christopher A. Prevatt</t>
  </si>
  <si>
    <t>http://www.killedbypolice.net/victims/150298.jpg</t>
  </si>
  <si>
    <t>123 Gregory Pl</t>
  </si>
  <si>
    <t>Winchester</t>
  </si>
  <si>
    <t>Frederick</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</si>
  <si>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</si>
  <si>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</si>
  <si>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</si>
  <si>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</si>
  <si>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</si>
  <si>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</si>
  <si>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</si>
  <si>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</si>
  <si>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Eric Courtney Harris</t>
  </si>
  <si>
    <t>http://www.killedbypolice.net/victims/150294.jpg</t>
  </si>
  <si>
    <t>1900 block N Harvard Ave</t>
  </si>
  <si>
    <t>Tulsa County Sheriff's Office</t>
  </si>
  <si>
    <t>Suspect accidently shot by "special deputy" who claims he mistook his pistol for a taser.</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</si>
  <si>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</si>
  <si>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</si>
  <si>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</si>
  <si>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</si>
  <si>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</si>
  <si>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</si>
  <si>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</si>
  <si>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Aaron Marcus Rutledge</t>
  </si>
  <si>
    <t>http://www.killedbypolice.net/victims/150296.jpg</t>
  </si>
  <si>
    <t>300 block Iris Park Dr</t>
  </si>
  <si>
    <t>Pineville</t>
  </si>
  <si>
    <t>71360</t>
  </si>
  <si>
    <t>Rapides</t>
  </si>
  <si>
    <t>Rapides Parish Sheriff's Office</t>
  </si>
  <si>
    <t>A Rapides Parish Sheriff's deputy fatally shot a man Thursday morning in Pineville after he had pointed a gun at deputies and had refused to drop the weapon, according to a release.</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</si>
  <si>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</si>
  <si>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</si>
  <si>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</si>
  <si>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</si>
  <si>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</si>
  <si>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</si>
  <si>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</si>
  <si>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</si>
  <si>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37228</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</si>
  <si>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</si>
  <si>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</si>
  <si>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</si>
  <si>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</si>
  <si>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</si>
  <si>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30076</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</si>
  <si>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</si>
  <si>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</si>
  <si>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</si>
  <si>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</si>
  <si>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</si>
  <si>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</si>
  <si>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</si>
  <si>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</si>
  <si>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</si>
  <si>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Beaten</t>
  </si>
  <si>
    <t>White was resisting arrest, and was kicked punched, and bitten by a police dog. At some point after that, he died in police custody.</t>
  </si>
  <si>
    <t>http://www.dailykos.com/story/2015/04/01/1374779/-Witness-Jersey-police-punched-kicked-and-dog-bit-Phillip-White-s-face-before-he-died-in-custody</t>
  </si>
  <si>
    <t>Benjamin Quezada</t>
  </si>
  <si>
    <t>http://www.killedbypolice.net/victims/150289.jpg</t>
  </si>
  <si>
    <t>West Texas and Gaillard Street</t>
  </si>
  <si>
    <t>Baytown</t>
  </si>
  <si>
    <t>Baytown Police Department</t>
  </si>
  <si>
    <t>Benjamin Quezada, 21, was shot and killed by a Baytown police officer early Tuesday after officials said he pointed what appeared to be an AR-15 at the officer. The gun turned out to be a pellet rifle.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</si>
  <si>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</si>
  <si>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</si>
  <si>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</si>
  <si>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</si>
  <si>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</si>
  <si>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</si>
  <si>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</si>
  <si>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</si>
  <si>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</si>
  <si>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</si>
  <si>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</si>
  <si>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</si>
  <si>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</si>
  <si>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</si>
  <si>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</si>
  <si>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</si>
  <si>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</si>
  <si>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</si>
  <si>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</si>
  <si>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</si>
  <si>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</si>
  <si>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</si>
  <si>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</si>
  <si>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</si>
  <si>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</si>
  <si>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</si>
  <si>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</si>
  <si>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</si>
  <si>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Brian Avon Babb</t>
  </si>
  <si>
    <t>https://www.facebook.com/photo.php?fbid=407462292640321&amp;set=a.117016721684881.34299.100001296626241&amp;type=1&amp;theater</t>
  </si>
  <si>
    <t>2200 Devos Street</t>
  </si>
  <si>
    <t>Eugene</t>
  </si>
  <si>
    <t>97402</t>
  </si>
  <si>
    <t>Lane</t>
  </si>
  <si>
    <t>Eugene Police Department</t>
  </si>
  <si>
    <t>Police haven't released any information except to say he died on his porch.</t>
  </si>
  <si>
    <t>http://registerguard.com/rg/news/local/32927249-75/police-suicidal-man-fatally-shot-by-eugene-officer-in-bethel-neighborhood.html.csp</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</si>
  <si>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</si>
  <si>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</si>
  <si>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</si>
  <si>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</si>
  <si>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</si>
  <si>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</si>
  <si>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</si>
  <si>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</si>
  <si>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</si>
  <si>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</si>
  <si>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</si>
  <si>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</si>
  <si>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</si>
  <si>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</si>
  <si>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</si>
  <si>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</si>
  <si>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</si>
  <si>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42701</t>
  </si>
  <si>
    <t>Elizabethtown Police Department</t>
  </si>
  <si>
    <t>Police responded to call about a man beating a woman in a supermarket parking lot. On arrival, the man pointed a gun at the officers and was shot dead.</t>
  </si>
  <si>
    <t>http://www.wlky.com/news/Police-identify-man-shot-killed-by-Elizabethtown-officer/32106934</t>
  </si>
  <si>
    <t>Robert Rooker</t>
  </si>
  <si>
    <t>Fields Hollow Road</t>
  </si>
  <si>
    <t>Peebles</t>
  </si>
  <si>
    <t>Pike</t>
  </si>
  <si>
    <t>Pike County Sheriff's Office</t>
  </si>
  <si>
    <t>Pike County prosecutors report three deputies were chasing after a man who repeatedly rammed his vehicle into theirs, later shooting and killing him.</t>
  </si>
  <si>
    <t>Angelo West</t>
  </si>
  <si>
    <t>http://bostinno.streetwise.co/2015/03/28/boston-police-i-d-angelo-west-in-shooting-of-officer-john-moynihan/</t>
  </si>
  <si>
    <t>Humboldt Avenue and Ruthven Street</t>
  </si>
  <si>
    <t>02121</t>
  </si>
  <si>
    <t>Boston Police Department</t>
  </si>
  <si>
    <t>Officers of The Youth Violence Strike Force pulled West over and he began firing at them, hitting one cop point blank. They returned fire, killing him.</t>
  </si>
  <si>
    <t>http://www.killedbypolice.net/victims/150279.jpg</t>
  </si>
  <si>
    <t>500 West Vineyard Avenue</t>
  </si>
  <si>
    <t>Oxnard</t>
  </si>
  <si>
    <t>Ventura</t>
  </si>
  <si>
    <t>Oxnard Police Department</t>
  </si>
  <si>
    <t>Meagan Hockaday, of Oxnard, was pronounced dead at the scene after being shot as she advanced with a knife.</t>
  </si>
  <si>
    <t>Jamalis Hall</t>
  </si>
  <si>
    <t>http://media2.wptv.com/photo/2015/03/27/wptv-Jamalis-Hall_1427461140854_15676033_ver1.0_320_240.jpg</t>
  </si>
  <si>
    <t>1000 Mayflower Road</t>
  </si>
  <si>
    <t>Fort Pierce</t>
  </si>
  <si>
    <t>34950</t>
  </si>
  <si>
    <t>St. Lucie</t>
  </si>
  <si>
    <t>Saint Lucie County Sheriff's Office</t>
  </si>
  <si>
    <t>Task force trying to serve a warrant pulled suspect over. Suspect allegedly reached for a filet knife, and police opened fire.</t>
  </si>
  <si>
    <t>http://www.wptv.com/news/region-st-lucie-county/fort-pierce/officer-involved-shooting-in-fort-pierce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</si>
  <si>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</si>
  <si>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</si>
  <si>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</si>
  <si>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</si>
  <si>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</si>
  <si>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Name withheld by police</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</si>
  <si>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</si>
  <si>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</si>
  <si>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</si>
  <si>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</si>
  <si>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</si>
  <si>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</si>
  <si>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</si>
  <si>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</si>
  <si>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</si>
  <si>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</si>
  <si>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</si>
  <si>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</si>
  <si>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</si>
  <si>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</si>
  <si>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</si>
  <si>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</si>
  <si>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</si>
  <si>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</si>
  <si>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</si>
  <si>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Adrian Solis</t>
  </si>
  <si>
    <t>1500 Bayview Avenue</t>
  </si>
  <si>
    <t>90744</t>
  </si>
  <si>
    <t>Officers responded to a call about a suicidal man with a knife.</t>
  </si>
  <si>
    <t>http://www.dailybreeze.com/government-and-politics/20150327/knife-wielding-wilmington-man-killed-in-officer-involved-shooting-identified</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</si>
  <si>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</si>
  <si>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</si>
  <si>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</si>
  <si>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</si>
  <si>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</si>
  <si>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</si>
  <si>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Deanne Choate</t>
  </si>
  <si>
    <t>http://www.killedbypolice.net/victims/150271.jpg</t>
  </si>
  <si>
    <t>400 North Birch Street</t>
  </si>
  <si>
    <t>Gardner</t>
  </si>
  <si>
    <t>66030</t>
  </si>
  <si>
    <t>Johnson</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</si>
  <si>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</si>
  <si>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</si>
  <si>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</si>
  <si>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</si>
  <si>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</si>
  <si>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</si>
  <si>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</si>
  <si>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</si>
  <si>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</si>
  <si>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</si>
  <si>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</si>
  <si>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Victor Daniel Terrazas</t>
  </si>
  <si>
    <t>102nd Street and Vermont Avenue</t>
  </si>
  <si>
    <t>90044</t>
  </si>
  <si>
    <t>Police were investigating the murder of a woman just four block away when they found the suspect armed with a shotgun. Police opened fire killing the suspect.</t>
  </si>
  <si>
    <t>http://www.nbclosangeles.com/news/local/Deputy-Shoots-Suspected-Gunman-South-Los-Angeles-297492071.html</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</si>
  <si>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</si>
  <si>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</si>
  <si>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</si>
  <si>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</si>
  <si>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</si>
  <si>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</si>
  <si>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</si>
  <si>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</si>
  <si>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</si>
  <si>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</si>
  <si>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</si>
  <si>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</si>
  <si>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</si>
  <si>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Virginia State Police</t>
  </si>
  <si>
    <t>Suspect was pursued by police to his home where he struggled and was Tasered twice. Police say he pulled a gun and shot him dead.</t>
  </si>
  <si>
    <t>http://wavy.com/2015/03/24/portsmouth-police-confirm-officer-involved-shooting/</t>
  </si>
  <si>
    <t>Joseph Tassinari</t>
  </si>
  <si>
    <t>https://www.linkedin.com/pub/joseph-tassinari/62/4a8/295</t>
  </si>
  <si>
    <t>North 67th Ave. and West Peoria Ave.</t>
  </si>
  <si>
    <t>Glendale</t>
  </si>
  <si>
    <t>85302</t>
  </si>
  <si>
    <t>Mariopa</t>
  </si>
  <si>
    <t>Glendale Police Department</t>
  </si>
  <si>
    <t>Gunshot, Tasered</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</si>
  <si>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</si>
  <si>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</si>
  <si>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</si>
  <si>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</si>
  <si>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</si>
  <si>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95111</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</si>
  <si>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</si>
  <si>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</si>
  <si>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</si>
  <si>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</si>
  <si>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</si>
  <si>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</si>
  <si>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</si>
  <si>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</si>
  <si>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</si>
  <si>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</si>
  <si>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Mychael J. Lynch</t>
  </si>
  <si>
    <t>707 West 13th Street</t>
  </si>
  <si>
    <t>Vancouver</t>
  </si>
  <si>
    <t>Clark County Sheriff's Office</t>
  </si>
  <si>
    <t>Officers report that they decided Lynch should be moved to another area, but he was uncooperative. They restrained him, and he allegedly suffered an undisclosed medical emergency.</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</si>
  <si>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</si>
  <si>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</si>
  <si>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</si>
  <si>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</si>
  <si>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</si>
  <si>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</si>
  <si>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</si>
  <si>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</si>
  <si>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Devin J. Gates</t>
  </si>
  <si>
    <t>2105 Scott Blvd.</t>
  </si>
  <si>
    <t>95050</t>
  </si>
  <si>
    <t>Santa Clara Police Department</t>
  </si>
  <si>
    <t>Gates allegedly walked into a 7-11 and tried to rob it at gunpoint. Officers responded in the parking lot, shooting him dead.</t>
  </si>
  <si>
    <t>http://www.mercurynews.com/crime-courts/ci_27778858/tracy-man-identified-person-killed-by-santa-clara</t>
  </si>
  <si>
    <t>Jeffrey L. Jackson</t>
  </si>
  <si>
    <t>http://www.thenewsjournal.net/userfiles/image/Jeffrey%20Jackson1.jpg</t>
  </si>
  <si>
    <t>KY-92</t>
  </si>
  <si>
    <t>Williamsburg</t>
  </si>
  <si>
    <t>40769</t>
  </si>
  <si>
    <t>Whitley</t>
  </si>
  <si>
    <t>Kentucky State Police Department</t>
  </si>
  <si>
    <t>Medical emergency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</si>
  <si>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</si>
  <si>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</si>
  <si>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</si>
  <si>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</si>
  <si>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</si>
  <si>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</si>
  <si>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</si>
  <si>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</si>
  <si>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</si>
  <si>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</si>
  <si>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</si>
  <si>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Tulsa Police Department</t>
  </si>
  <si>
    <t>Officers were driving down highway and a man in dark clothing walked into their path and was killed.</t>
  </si>
  <si>
    <t>Found Excusable</t>
  </si>
  <si>
    <t>http://www.newson6.com/story/28582219/tulsa-patrol-officer-strikes-kills-pedestrian-crossing-south-lewis</t>
  </si>
  <si>
    <t>Romeo Roddrick Staples</t>
  </si>
  <si>
    <t>http://www.news4jax.com/image/view/-/31952558/highRes/2/-/h/200/-/2nnfwhz/-/Romeo-Roddrick-Staples-jpg.jpg</t>
  </si>
  <si>
    <t>St. Johns Ave &amp; N. Palm Ave</t>
  </si>
  <si>
    <t>Palatka</t>
  </si>
  <si>
    <t>32177</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</si>
  <si>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</si>
  <si>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</si>
  <si>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</si>
  <si>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</si>
  <si>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</si>
  <si>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</si>
  <si>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</si>
  <si>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</si>
  <si>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</si>
  <si>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</si>
  <si>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</si>
  <si>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Jason L. Smith</t>
  </si>
  <si>
    <t>4600 Summit Street</t>
  </si>
  <si>
    <t>43202</t>
  </si>
  <si>
    <t>Columbus Police Department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</si>
  <si>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</si>
  <si>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</si>
  <si>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</si>
  <si>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</si>
  <si>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</si>
  <si>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</si>
  <si>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</si>
  <si>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</si>
  <si>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</si>
  <si>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</si>
  <si>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</si>
  <si>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</si>
  <si>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</si>
  <si>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</si>
  <si>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</si>
  <si>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Philip Conley</t>
  </si>
  <si>
    <t>http://www.killedbypolice.net/victims/150255.jpg</t>
  </si>
  <si>
    <t>904 Admiral Callaghan Lane</t>
  </si>
  <si>
    <t>Vallejo</t>
  </si>
  <si>
    <t>94591</t>
  </si>
  <si>
    <t>Solano</t>
  </si>
  <si>
    <t>Vallejo Police Department</t>
  </si>
  <si>
    <t>Man with a fake gun in his waistband commits suicide by cop wielding knife in parking lot. Left note for his loved ones.</t>
  </si>
  <si>
    <t>http://kron4.com/2015/03/22/vallejo-police-kill-knife-wielding-man-displaying-fake-gun-in-his-waistband/</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</si>
  <si>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</si>
  <si>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</si>
  <si>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</si>
  <si>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</si>
  <si>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</si>
  <si>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</si>
  <si>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Frank Viggiano</t>
  </si>
  <si>
    <t>Several off-duty officers had been out drinking together, and were involved in a head-on collision with a tractor-trailer. Two of the off-duty officers in the smaller vehicle, including Viggiano died.</t>
  </si>
  <si>
    <t>Richard White</t>
  </si>
  <si>
    <t>http://www.nola.com/crime/index.ssf/2015/03/new_orleans_airport_machete_at.html</t>
  </si>
  <si>
    <t>900 Airline Drive</t>
  </si>
  <si>
    <t>Kenner</t>
  </si>
  <si>
    <t>70062</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</si>
  <si>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</si>
  <si>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</si>
  <si>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</si>
  <si>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</si>
  <si>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</si>
  <si>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</si>
  <si>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</si>
  <si>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</si>
  <si>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</si>
  <si>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</si>
  <si>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</si>
  <si>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</si>
  <si>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</si>
  <si>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</si>
  <si>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</si>
  <si>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</si>
  <si>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</si>
  <si>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</si>
  <si>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</si>
  <si>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</si>
  <si>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</si>
  <si>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Adam Jovicic</t>
  </si>
  <si>
    <t>http://imgick.cleveland.com/home/cleve-media/pgthumb/img/akron/photo/adam-jovicic-3d8a42aef5131d68.jpg</t>
  </si>
  <si>
    <t>364 Hiwood Ave.</t>
  </si>
  <si>
    <t>Munroe Falls</t>
  </si>
  <si>
    <t>44262</t>
  </si>
  <si>
    <t>Summit</t>
  </si>
  <si>
    <t>Kent Police Department</t>
  </si>
  <si>
    <t>An off-duty female officer called 911 because her ex-boyfriend had broken into her home and was beating her, then she shot him to death. Beer bottles were found outside of the house, and investigators are swabbing them for DNA evidence.</t>
  </si>
  <si>
    <t>http://www.cleveland.com/akron/index.ssf/2015/03/kent_police_officer_fatally_sh.html</t>
  </si>
  <si>
    <t>Jamison Childress</t>
  </si>
  <si>
    <t>http://i.cbc.ca/1.3004637.1427033797!/fileImage/httpImage/image.jpg_gen/derivatives/16x9_620/brando-walker-homicide-victim.jpg</t>
  </si>
  <si>
    <t>Kneuman Rd</t>
  </si>
  <si>
    <t>Sumas</t>
  </si>
  <si>
    <t>98295</t>
  </si>
  <si>
    <t>Whatcom</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</si>
  <si>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</si>
  <si>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</si>
  <si>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</si>
  <si>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Robert P. Burdge</t>
  </si>
  <si>
    <t>http://www.killedbypolice.net/victims/150248.jpg</t>
  </si>
  <si>
    <t>6100 Knudsen Drive</t>
  </si>
  <si>
    <t>93308</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</si>
  <si>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</si>
  <si>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</si>
  <si>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</si>
  <si>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</si>
  <si>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</si>
  <si>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</si>
  <si>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</si>
  <si>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</si>
  <si>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</si>
  <si>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Justin Fowler</t>
  </si>
  <si>
    <t>N-13 &amp; Indn Route 13</t>
  </si>
  <si>
    <t>Lukachukai</t>
  </si>
  <si>
    <t>86507</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</si>
  <si>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</si>
  <si>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</si>
  <si>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</si>
  <si>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Garland L. Wingo</t>
  </si>
  <si>
    <t>Lake Ella Drive</t>
  </si>
  <si>
    <t>Tallahassee</t>
  </si>
  <si>
    <t>32303</t>
  </si>
  <si>
    <t>Leon</t>
  </si>
  <si>
    <t>Tallahassee Police Department</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</si>
  <si>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</si>
  <si>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</si>
  <si>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</si>
  <si>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</si>
  <si>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</si>
  <si>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</si>
  <si>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</si>
  <si>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</si>
  <si>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</si>
  <si>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</si>
  <si>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</si>
  <si>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</si>
  <si>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</si>
  <si>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</si>
  <si>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</si>
  <si>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</si>
  <si>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</si>
  <si>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</si>
  <si>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</si>
  <si>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</si>
  <si>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</si>
  <si>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</si>
  <si>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</si>
  <si>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</si>
  <si>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</si>
  <si>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</si>
  <si>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</si>
  <si>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</si>
  <si>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</si>
  <si>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</si>
  <si>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</si>
  <si>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</si>
  <si>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</si>
  <si>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</si>
  <si>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David P. Watford</t>
  </si>
  <si>
    <t>U.S. 65</t>
  </si>
  <si>
    <t>Tallulah</t>
  </si>
  <si>
    <t>71282</t>
  </si>
  <si>
    <t>Louisiana State Troopers</t>
  </si>
  <si>
    <t>A trooper reported that they hit Watford with their vehicle while Watford, a truck driver, was walking on a dark highway.</t>
  </si>
  <si>
    <t>http://www.wtvy.com/home/headlines/Cottonwood-Truck-Driver-Killed-by-Trooper-in-Louisiana-296625241.html</t>
  </si>
  <si>
    <t>Declan Owen</t>
  </si>
  <si>
    <t>http://www.wwaytv3.com/files/imagecache/field_story_summary_image/owen_declan_0.JPG</t>
  </si>
  <si>
    <t>8100 Highway 41</t>
  </si>
  <si>
    <t>Dublin</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</si>
  <si>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</si>
  <si>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</si>
  <si>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</si>
  <si>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</si>
  <si>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</si>
  <si>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</si>
  <si>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</si>
  <si>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</si>
  <si>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</si>
  <si>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</si>
  <si>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</si>
  <si>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</si>
  <si>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</si>
  <si>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</si>
  <si>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</si>
  <si>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</si>
  <si>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</si>
  <si>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</si>
  <si>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</si>
  <si>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</si>
  <si>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</si>
  <si>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</si>
  <si>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</si>
  <si>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</si>
  <si>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Librado Perez-Leon</t>
  </si>
  <si>
    <t>2400 15th Street East</t>
  </si>
  <si>
    <t>Bradenton</t>
  </si>
  <si>
    <t>34208</t>
  </si>
  <si>
    <t>Manatee</t>
  </si>
  <si>
    <t>Manatee County Sheriff's Office</t>
  </si>
  <si>
    <t>Perez-Leon was struck and killed on his bicycle by a suspect in a stolen Cadillac, fleeing from county deputies in a high-speed chase.</t>
  </si>
  <si>
    <t>http://www.bradenton.com/2015/03/16/5694482/bicyclist-injured-during-deputies.html#storylink=omni_popular#wgt=pop</t>
  </si>
  <si>
    <t>Sheldon Haleck</t>
  </si>
  <si>
    <t>http://www.killedbypolice.net/victims/150236.jpg</t>
  </si>
  <si>
    <t>300 South King Street</t>
  </si>
  <si>
    <t>96813</t>
  </si>
  <si>
    <t>Honolulu Police Department</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</si>
  <si>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</si>
  <si>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</si>
  <si>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William Dean Poole</t>
  </si>
  <si>
    <t>130 Wedowee Lane</t>
  </si>
  <si>
    <t>28052</t>
  </si>
  <si>
    <t>Officers reported that they responded to a call to a veterans' hotline. Poole said that he was suicidal and not to send help because it "would not end well." When officers arrived he was sitting on his lawnmower, opened fire, and the officers returned fire shooting him to death.</t>
  </si>
  <si>
    <t>http://www.charlotteobserver.com/news/local/crime/article14706887.html</t>
  </si>
  <si>
    <t>Justin Todd Tolkinen</t>
  </si>
  <si>
    <t>http://extras.mnginteractive.com/live/media/site569/2015/0317/20150317__150317_JustinToddTolkinen_200.jpg</t>
  </si>
  <si>
    <t>411 White Bear Avenue</t>
  </si>
  <si>
    <t>St. Paul</t>
  </si>
  <si>
    <t>55106</t>
  </si>
  <si>
    <t>Ramsey</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</si>
  <si>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</si>
  <si>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</si>
  <si>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David Werblow</t>
  </si>
  <si>
    <t>134 Burban Drive</t>
  </si>
  <si>
    <t>Branford</t>
  </si>
  <si>
    <t>06405</t>
  </si>
  <si>
    <t>New Haven</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</si>
  <si>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</si>
  <si>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</si>
  <si>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</si>
  <si>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</si>
  <si>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</si>
  <si>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</si>
  <si>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</si>
  <si>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</si>
  <si>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</si>
  <si>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</si>
  <si>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</si>
  <si>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</si>
  <si>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</si>
  <si>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</si>
  <si>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</si>
  <si>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</si>
  <si>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Aaron Siler</t>
  </si>
  <si>
    <t>https://localtvwiti.files.wordpress.com/2015/03/aaron-siler.jpg?w=370&amp;h=204&amp;crop=1</t>
  </si>
  <si>
    <t>22nd Avenue and 56th Street</t>
  </si>
  <si>
    <t>Kenosha</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</si>
  <si>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</si>
  <si>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</si>
  <si>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</si>
  <si>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</si>
  <si>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</si>
  <si>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</si>
  <si>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</si>
  <si>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</si>
  <si>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</si>
  <si>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</si>
  <si>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</si>
  <si>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</si>
  <si>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</si>
  <si>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</si>
  <si>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</si>
  <si>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</si>
  <si>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</si>
  <si>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</si>
  <si>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Andrew Driver</t>
  </si>
  <si>
    <t>9700 Kempster Avenue</t>
  </si>
  <si>
    <t>92335</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</si>
  <si>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</si>
  <si>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</si>
  <si>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Fred E. Liggett Jr.</t>
  </si>
  <si>
    <t>8700 East 97th Terrace</t>
  </si>
  <si>
    <t>64134</t>
  </si>
  <si>
    <t>Marshals serving an arrest warrant encountered the victim and opened fire in "response to the subject's actions."</t>
  </si>
  <si>
    <t>http://www.kansascity.com/news/local/crime/article14450867.html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</si>
  <si>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</si>
  <si>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</si>
  <si>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</si>
  <si>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</si>
  <si>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</si>
  <si>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</si>
  <si>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</si>
  <si>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</si>
  <si>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</si>
  <si>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</si>
  <si>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</si>
  <si>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</si>
  <si>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</si>
  <si>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</si>
  <si>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DC</t>
  </si>
  <si>
    <t>20005</t>
  </si>
  <si>
    <t>District of Columbia</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</si>
  <si>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</si>
  <si>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</si>
  <si>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</si>
  <si>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Antonio Perez</t>
  </si>
  <si>
    <t>https://2dbdd5116ffa30a49aa8-c03f075f8191fb4e60e74b907071aee8.ssl.cf1.rackcdn.com/3698033_1426269764.975_app.png</t>
  </si>
  <si>
    <t>2400 Flower Street</t>
  </si>
  <si>
    <t>90007</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</si>
  <si>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</si>
  <si>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</si>
  <si>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</si>
  <si>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</si>
  <si>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</si>
  <si>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</si>
  <si>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</si>
  <si>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</si>
  <si>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</si>
  <si>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</si>
  <si>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Theodore Johnson</t>
  </si>
  <si>
    <t>http://www.killedbypolice.net/victims/150206.jpg</t>
  </si>
  <si>
    <t>Ottawa Road</t>
  </si>
  <si>
    <t>Johnson shot an officer. Then, when Johnson refused to drop the weapon and began to raise it again. Four officers fired a total of five rounds at Johnson.</t>
  </si>
  <si>
    <t>Benito Osorio</t>
  </si>
  <si>
    <t>http://s3.amazonaws.com/nixle/uploads/pub_media/user22756-1426130787-media1</t>
  </si>
  <si>
    <t>300 South Main Street</t>
  </si>
  <si>
    <t>Santa Ana</t>
  </si>
  <si>
    <t>92701</t>
  </si>
  <si>
    <t>Santa Ana Police Department</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</si>
  <si>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</si>
  <si>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</si>
  <si>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</si>
  <si>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</si>
  <si>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</si>
  <si>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</si>
  <si>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</si>
  <si>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</si>
  <si>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</si>
  <si>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Gilbert Fleury</t>
  </si>
  <si>
    <t>https://pbs.twimg.com/media/CAkF3sDUQAAKO-e.jpg:large</t>
  </si>
  <si>
    <t>8600 Cliff's Landing Road</t>
  </si>
  <si>
    <t>Bay Minette</t>
  </si>
  <si>
    <t>36507</t>
  </si>
  <si>
    <t>Baldwin</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</si>
  <si>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</si>
  <si>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</si>
  <si>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</si>
  <si>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James Greenwell</t>
  </si>
  <si>
    <t>http://mediaassets.commercialappeal.com/photo/2015/03/11/James%20Greenwell_1426112658902_14872950_ver1.0_640_480.jpg</t>
  </si>
  <si>
    <t>700 Auburndale Street</t>
  </si>
  <si>
    <t>38107</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</si>
  <si>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</si>
  <si>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</si>
  <si>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</si>
  <si>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</si>
  <si>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</si>
  <si>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</si>
  <si>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</si>
  <si>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</si>
  <si>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</si>
  <si>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</si>
  <si>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</si>
  <si>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Terrance Moxley</t>
  </si>
  <si>
    <t>http://www.gannett-cdn.com/-mm-/cf9d7ad972071133e5ed2f8a66cd827da0746439/c=0-44-200-157&amp;r=x633&amp;c=1200x630/local/-/media/2015/03/11/OHGroup/Mansfield/635616343418688579-moxley.jpg</t>
  </si>
  <si>
    <t>1280 Park Avenue</t>
  </si>
  <si>
    <t>44906</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</si>
  <si>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</si>
  <si>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</si>
  <si>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</si>
  <si>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</si>
  <si>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</si>
  <si>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</si>
  <si>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Chatham</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</si>
  <si>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</si>
  <si>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</si>
  <si>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</si>
  <si>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Jamie Croom</t>
  </si>
  <si>
    <t>http://imgick.nola.com/home/nola-media/width960/img/tpphotos/photo/2015/03/11/jamie-croom-mugjpg-4d8ffcf0919cb9b0.jpg</t>
  </si>
  <si>
    <t>10064 Elm Grove Garden Dr</t>
  </si>
  <si>
    <t>East Baton Rouge</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</si>
  <si>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</si>
  <si>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</si>
  <si>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</si>
  <si>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</si>
  <si>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</si>
  <si>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</si>
  <si>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</si>
  <si>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</si>
  <si>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</si>
  <si>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</si>
  <si>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</si>
  <si>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</si>
  <si>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</si>
  <si>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</si>
  <si>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Hue Dang</t>
  </si>
  <si>
    <t>E Kennedy St &amp; Jackson Ave</t>
  </si>
  <si>
    <t>Bergen County Prosecutor's Office Detective</t>
  </si>
  <si>
    <t>Detective was turning onto a street and hit and killed a female pedestrian.</t>
  </si>
  <si>
    <t>http://www.nj.com/bergen/index.ssf/2015/03/detective_fatally_strikes_woman_with_bergen_county.html</t>
  </si>
  <si>
    <t>Cedrick Lamont Bishop</t>
  </si>
  <si>
    <t>http://www.gannett-cdn.com/-mm-/863dc015c4bf456f0c7fe0f1d185c9560c19b26b/c=0-115-300-284&amp;r=x633&amp;c=1200x630/local/-/media/2015/03/10/Brevard/Brevard/635615833103771989-Bishop.jpg</t>
  </si>
  <si>
    <t>Aurora Street</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</si>
  <si>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</si>
  <si>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</si>
  <si>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</si>
  <si>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</si>
  <si>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</si>
  <si>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</si>
  <si>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</si>
  <si>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</si>
  <si>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</si>
  <si>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</si>
  <si>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</si>
  <si>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</si>
  <si>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</si>
  <si>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</si>
  <si>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</si>
  <si>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</si>
  <si>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</si>
  <si>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</si>
  <si>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</si>
  <si>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</si>
  <si>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</si>
  <si>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</si>
  <si>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</si>
  <si>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</si>
  <si>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</si>
  <si>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</si>
  <si>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</si>
  <si>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</si>
  <si>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</si>
  <si>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</si>
  <si>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</si>
  <si>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</si>
  <si>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</si>
  <si>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</si>
  <si>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</si>
  <si>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</si>
  <si>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</si>
  <si>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</si>
  <si>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</si>
  <si>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</si>
  <si>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</si>
  <si>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Michael L. McKillop</t>
  </si>
  <si>
    <t>http://d1t3gia0in9tdj.cloudfront.net/photo/tributes/t/8/r/76x76/2835608/Michael-Mckillop-1426098807.jpg</t>
  </si>
  <si>
    <t>689 Naamans Road</t>
  </si>
  <si>
    <t>Claymont</t>
  </si>
  <si>
    <t>19703</t>
  </si>
  <si>
    <t>New Castle</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</si>
  <si>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</si>
  <si>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</si>
  <si>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</si>
  <si>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</si>
  <si>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</si>
  <si>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</si>
  <si>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</si>
  <si>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</si>
  <si>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</si>
  <si>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Naeschylus Vinzant</t>
  </si>
  <si>
    <t>https://cbsdenver.files.wordpress.com/2015/03/z-133-copy-copy-copy.jpg?w=420&amp;h=237</t>
  </si>
  <si>
    <t>East 12th Avenue and Memphis Street</t>
  </si>
  <si>
    <t>Aurora</t>
  </si>
  <si>
    <t>80011</t>
  </si>
  <si>
    <t>Arapahoe</t>
  </si>
  <si>
    <t>Aurora Police Department</t>
  </si>
  <si>
    <t>Officers say the deceased was wanted for several crimes, and during a SWAT team interaction, they shot him to death, and didn't realize he was unarmed.</t>
  </si>
  <si>
    <t>http://denver.cbslocal.com/2015/03/09/aurora-police-say-suspect-killed-in-officer-involved-shooting-was-unarmed-black-man/</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</si>
  <si>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</si>
  <si>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</si>
  <si>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</si>
  <si>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</si>
  <si>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</si>
  <si>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</si>
  <si>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</si>
  <si>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</si>
  <si>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</si>
  <si>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</si>
  <si>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</si>
  <si>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</si>
  <si>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</si>
  <si>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</si>
  <si>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</si>
  <si>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</si>
  <si>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</si>
  <si>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</si>
  <si>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</si>
  <si>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</si>
  <si>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</si>
  <si>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</si>
  <si>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</si>
  <si>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</si>
  <si>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</si>
  <si>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</si>
  <si>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</si>
  <si>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</si>
  <si>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</si>
  <si>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</si>
  <si>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</si>
  <si>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</si>
  <si>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Tyrone Ryerson Lawrence</t>
  </si>
  <si>
    <t>http://imgstore.jailbase.com/small/arrested/wi-mcs/2015-01-10/tyrone-ryerson-541913410.pic1.jpg</t>
  </si>
  <si>
    <t>E. Plainfield Ave. and S. Jasper Ave.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</si>
  <si>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</si>
  <si>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</si>
  <si>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</si>
  <si>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</si>
  <si>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</si>
  <si>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</si>
  <si>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</si>
  <si>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</si>
  <si>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</si>
  <si>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</si>
  <si>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</si>
  <si>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</si>
  <si>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</si>
  <si>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</si>
  <si>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</si>
  <si>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</si>
  <si>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</si>
  <si>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Carl Lao</t>
  </si>
  <si>
    <t>South San Joaquin Steet and East Church Street</t>
  </si>
  <si>
    <t>95203</t>
  </si>
  <si>
    <t>Stockton Police Department, San Joaquin Police Department</t>
  </si>
  <si>
    <t>Police responded to reports of an argument and found a man with a gun who opened fire at them.</t>
  </si>
  <si>
    <t>http://www.recordnet.com/article/20150327/NEWS/150329710/101091/A_NEWS?template=printart</t>
  </si>
  <si>
    <t>Derek Cruice</t>
  </si>
  <si>
    <t>https://heavyeditorial.files.wordpress.com/2015/03/derekcruice.jpg?quality=65&amp;strip=all&amp;w=780</t>
  </si>
  <si>
    <t>800 Maybrook Drive</t>
  </si>
  <si>
    <t>Deltona</t>
  </si>
  <si>
    <t>32725</t>
  </si>
  <si>
    <t>Volusia</t>
  </si>
  <si>
    <t>Officers were serving a marijuana warrant, and an officer shot the unarmed Cruice in the face. Police allege he was resisting arrest, but witnesses say otherwise.</t>
  </si>
  <si>
    <t>http://www.clickorlando.com/news/deputyinvolved-shooting-investigated-in-volusia/31604696</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</si>
  <si>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</si>
  <si>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</si>
  <si>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</si>
  <si>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</si>
  <si>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</si>
  <si>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</si>
  <si>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</si>
  <si>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</si>
  <si>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Matthew Metz</t>
  </si>
  <si>
    <t>http://www.ktar.com/emedia/az/36/3679/367963.jpg?filter=mynw/335wide</t>
  </si>
  <si>
    <t>College Avenue and Curry Road</t>
  </si>
  <si>
    <t>Tempe</t>
  </si>
  <si>
    <t>85281</t>
  </si>
  <si>
    <t>Tempe Police Department</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</si>
  <si>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</si>
  <si>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</si>
  <si>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</si>
  <si>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</si>
  <si>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</si>
  <si>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</si>
  <si>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</si>
  <si>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</si>
  <si>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</si>
  <si>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</si>
  <si>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</si>
  <si>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</si>
  <si>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</si>
  <si>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</si>
  <si>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</si>
  <si>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</si>
  <si>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</si>
  <si>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</si>
  <si>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</si>
  <si>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</si>
  <si>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</si>
  <si>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</si>
  <si>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</si>
  <si>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</si>
  <si>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</si>
  <si>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</si>
  <si>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</si>
  <si>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</si>
  <si>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</si>
  <si>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</si>
  <si>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</si>
  <si>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</si>
  <si>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</si>
  <si>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</si>
  <si>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</si>
  <si>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</si>
  <si>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</si>
  <si>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</si>
  <si>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</si>
  <si>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Deven Guilford</t>
  </si>
  <si>
    <t>https://pbs.twimg.com/profile_images/491669839748939777/rRYLHuE7_400x400.jpeg</t>
  </si>
  <si>
    <t>W Grand Ledge Hwy and Cochran Road</t>
  </si>
  <si>
    <t>Grand Ledge</t>
  </si>
  <si>
    <t>48837</t>
  </si>
  <si>
    <t>Eaton</t>
  </si>
  <si>
    <t>Michigan State Police Department</t>
  </si>
  <si>
    <t>A routine traffic stop turned into a struggle between the subject and the officer. The officer shot and killed the subject. The officer was treated for wounds at the hospital.</t>
  </si>
  <si>
    <t>http://wlns.com/2015/03/01/msp-investigates-another-officer-involved-shooting-in-eaton-county/</t>
  </si>
  <si>
    <t>Cornelius J. Parker</t>
  </si>
  <si>
    <t>http://bloximages.newyork1.vip.townnews.com/columbiatribune.com/content/tncms/assets/v3/editorial/8/6d/86de4495-903c-5b03-843a-8e864b9639a5/550073a44c6ea.image.jpg</t>
  </si>
  <si>
    <t>E Broadway &amp; Hwy 63</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</si>
  <si>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</si>
  <si>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</si>
  <si>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</si>
  <si>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</si>
  <si>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</si>
  <si>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</si>
  <si>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</si>
  <si>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</si>
  <si>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</si>
  <si>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</si>
  <si>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</si>
  <si>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</si>
  <si>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</si>
  <si>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</si>
  <si>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</si>
  <si>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</si>
  <si>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</si>
  <si>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</si>
  <si>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</si>
  <si>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</si>
  <si>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</si>
  <si>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</si>
  <si>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</si>
  <si>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</si>
  <si>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</si>
  <si>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</si>
  <si>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</si>
  <si>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</si>
  <si>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</si>
  <si>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</si>
  <si>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</si>
  <si>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</si>
  <si>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</si>
  <si>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</si>
  <si>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</si>
  <si>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</si>
  <si>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</si>
  <si>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</si>
  <si>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</si>
  <si>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</si>
  <si>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</si>
  <si>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</si>
  <si>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</si>
  <si>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</si>
  <si>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</si>
  <si>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92703</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</si>
  <si>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</si>
  <si>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</si>
  <si>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</si>
  <si>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</si>
  <si>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</si>
  <si>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</si>
  <si>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</si>
  <si>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</si>
  <si>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</si>
  <si>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</si>
  <si>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</si>
  <si>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</si>
  <si>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</si>
  <si>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</si>
  <si>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David Cuevas</t>
  </si>
  <si>
    <t>4660 N Socrum Loop Rd</t>
  </si>
  <si>
    <t>Lakeland</t>
  </si>
  <si>
    <t>33809</t>
  </si>
  <si>
    <t>Lakeland Police Department</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</si>
  <si>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</si>
  <si>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</si>
  <si>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</si>
  <si>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</si>
  <si>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</si>
  <si>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Sylvester</t>
  </si>
  <si>
    <t>31791</t>
  </si>
  <si>
    <t>Worth</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</si>
  <si>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</si>
  <si>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</si>
  <si>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</si>
  <si>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</si>
  <si>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</si>
  <si>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</si>
  <si>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</si>
  <si>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</si>
  <si>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</si>
  <si>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</si>
  <si>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</si>
  <si>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</si>
  <si>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</si>
  <si>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</si>
  <si>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</si>
  <si>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</si>
  <si>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</si>
  <si>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</si>
  <si>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</si>
  <si>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</si>
  <si>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</si>
  <si>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</si>
  <si>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</si>
  <si>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</si>
  <si>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</si>
  <si>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</si>
  <si>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</si>
  <si>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</si>
  <si>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Joseph Biegert</t>
  </si>
  <si>
    <t>https://encrypted-tbn1.gstatic.com/images?q=tbn:ANd9GcTiIpaRUxqeoxGOXNNUtJKUzGxn1N4LfEn0BZMGZL__xcoFo1Mx7Yv00A</t>
  </si>
  <si>
    <t>1493 Plymouth Ln</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</si>
  <si>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</si>
  <si>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</si>
  <si>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</si>
  <si>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</si>
  <si>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</si>
  <si>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</si>
  <si>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</si>
  <si>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</si>
  <si>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</si>
  <si>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</si>
  <si>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</si>
  <si>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</si>
  <si>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</si>
  <si>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</si>
  <si>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</si>
  <si>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</si>
  <si>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</si>
  <si>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</si>
  <si>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</si>
  <si>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</si>
  <si>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</si>
  <si>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Jerome Nichols</t>
  </si>
  <si>
    <t>http://imgick.lehighvalleylive.com/home/lvlive-media/width620/img/breaking-news_impact/photo/jerome-nichols--a1928ee805cc6cbc.jpg</t>
  </si>
  <si>
    <t>North Plymouth Street</t>
  </si>
  <si>
    <t>Allentown</t>
  </si>
  <si>
    <t>18109</t>
  </si>
  <si>
    <t>Lehigh</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</si>
  <si>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</si>
  <si>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</si>
  <si>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</si>
  <si>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Wayne Smashey</t>
  </si>
  <si>
    <t>http://www.11alive.com/story/news/local/austell-powder-springs/2015/02/23/powder-springs-officer-involved-shooting/23907679/</t>
  </si>
  <si>
    <t>4800 West McEachern Woods Drive</t>
  </si>
  <si>
    <t>Powder Springs</t>
  </si>
  <si>
    <t>30127</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</si>
  <si>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</si>
  <si>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</si>
  <si>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</si>
  <si>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</si>
  <si>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</si>
  <si>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</si>
  <si>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</si>
  <si>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</si>
  <si>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</si>
  <si>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</si>
  <si>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</si>
  <si>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</si>
  <si>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</si>
  <si>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</si>
  <si>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</si>
  <si>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</si>
  <si>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</si>
  <si>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</si>
  <si>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</si>
  <si>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</si>
  <si>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</si>
  <si>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</si>
  <si>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</si>
  <si>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</si>
  <si>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</si>
  <si>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</si>
  <si>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</si>
  <si>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</si>
  <si>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</si>
  <si>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</si>
  <si>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</si>
  <si>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</si>
  <si>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</si>
  <si>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</si>
  <si>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</si>
  <si>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</si>
  <si>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</si>
  <si>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</si>
  <si>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</si>
  <si>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</si>
  <si>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</si>
  <si>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</si>
  <si>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</si>
  <si>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</si>
  <si>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</si>
  <si>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Stanley Lamar Grant</t>
  </si>
  <si>
    <t>http://www.killedbypolice.net/victims/150149.jpg</t>
  </si>
  <si>
    <t>2200 Green Springs Highway</t>
  </si>
  <si>
    <t>Birmingham</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</si>
  <si>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</si>
  <si>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</si>
  <si>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</si>
  <si>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</si>
  <si>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</si>
  <si>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</si>
  <si>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</si>
  <si>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</si>
  <si>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</si>
  <si>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</si>
  <si>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</si>
  <si>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</si>
  <si>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Alejandro Salazar</t>
  </si>
  <si>
    <t>http://www.click2houston.com/news/deputy-involved-shooting-reported-in-n-harris-county/31386020</t>
  </si>
  <si>
    <t>Ruben Garcia Villalpando</t>
  </si>
  <si>
    <t>http://www.star-telegram.com/news/local/community/northeast-tarrant/xzr2i/picture12354170/ALTERNATES/LANDSCAPE_1140/Rub%C3%A9n%20Garc%C3%ADa%20Villalpando.JPG</t>
  </si>
  <si>
    <t>Highway 121</t>
  </si>
  <si>
    <t>Euless</t>
  </si>
  <si>
    <t>76021</t>
  </si>
  <si>
    <t>Grapevine Police Department</t>
  </si>
  <si>
    <t>A witness said she drove by and saw a body by the side of the road alone. A Grapevine police officer had chased Villalpando out of his jurisdiction. Some say the dashcam shows Villalpando with his hands up and that he was unarmed. All of these details are disputed. Villalpando was an undocumented Mexican immigrant with four children.</t>
  </si>
  <si>
    <t>http://dfw.cbslocal.com/2015/03/12/witness-to-deadly-grapevine-officer-involved-shooting-comes-forward/</t>
  </si>
  <si>
    <t>Douglas Harris</t>
  </si>
  <si>
    <t>7900 First Avenue South</t>
  </si>
  <si>
    <t>35206</t>
  </si>
  <si>
    <t>Birmingham Police Department</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</si>
  <si>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</si>
  <si>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</si>
  <si>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</si>
  <si>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</si>
  <si>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</si>
  <si>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</si>
  <si>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</si>
  <si>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</si>
  <si>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</si>
  <si>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</si>
  <si>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</si>
  <si>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</si>
  <si>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Springfield</t>
  </si>
  <si>
    <t>65802</t>
  </si>
  <si>
    <t>Christian</t>
  </si>
  <si>
    <t>Springfield Police Department</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</si>
  <si>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</si>
  <si>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</si>
  <si>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Janisha Fonville</t>
  </si>
  <si>
    <t>http://www.charlotteobserver.com/news/local/crime/so5o7t/picture10685642/ALTERNATES/FREE_960/Janisha%20Fonville.jpg</t>
  </si>
  <si>
    <t>2700 Bellefonte Dr</t>
  </si>
  <si>
    <t>Charlotte</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</si>
  <si>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</si>
  <si>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</si>
  <si>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</si>
  <si>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</si>
  <si>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</si>
  <si>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</si>
  <si>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</si>
  <si>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</si>
  <si>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</si>
  <si>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</si>
  <si>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</si>
  <si>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</si>
  <si>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</si>
  <si>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</si>
  <si>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</si>
  <si>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</si>
  <si>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</si>
  <si>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</si>
  <si>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</si>
  <si>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</si>
  <si>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</si>
  <si>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</si>
  <si>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</si>
  <si>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</si>
  <si>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</si>
  <si>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</si>
  <si>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</si>
  <si>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</si>
  <si>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</si>
  <si>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</si>
  <si>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</si>
  <si>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</si>
  <si>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</si>
  <si>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Gastonia Police Department</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</si>
  <si>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</si>
  <si>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</si>
  <si>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</si>
  <si>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</si>
  <si>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</si>
  <si>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</si>
  <si>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</si>
  <si>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</si>
  <si>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</si>
  <si>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</si>
  <si>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</si>
  <si>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</si>
  <si>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</si>
  <si>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</si>
  <si>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</si>
  <si>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</si>
  <si>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</si>
  <si>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</si>
  <si>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</si>
  <si>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</si>
  <si>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</si>
  <si>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</si>
  <si>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</si>
  <si>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</si>
  <si>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</si>
  <si>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</si>
  <si>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Bruce Lee Steward</t>
  </si>
  <si>
    <t>http://d3trabu2dfbdfb.cloudfront.net/4/0/4080219_o.jpeg</t>
  </si>
  <si>
    <t>29000 S Wall St</t>
  </si>
  <si>
    <t>Colton</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</si>
  <si>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</si>
  <si>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</si>
  <si>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</si>
  <si>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</si>
  <si>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</si>
  <si>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</si>
  <si>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</si>
  <si>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</si>
  <si>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</si>
  <si>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</si>
  <si>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</si>
  <si>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</si>
  <si>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</si>
  <si>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</si>
  <si>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</si>
  <si>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</si>
  <si>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</si>
  <si>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</si>
  <si>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</si>
  <si>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</si>
  <si>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</si>
  <si>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</si>
  <si>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Roy Joy Day</t>
  </si>
  <si>
    <t>Gale Street and East Drive</t>
  </si>
  <si>
    <t>Laredo</t>
  </si>
  <si>
    <t>78041</t>
  </si>
  <si>
    <t>Webb</t>
  </si>
  <si>
    <t>Laredo Police Department</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</si>
  <si>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</si>
  <si>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</si>
  <si>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</si>
  <si>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</si>
  <si>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</si>
  <si>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</si>
  <si>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</si>
  <si>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</si>
  <si>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</si>
  <si>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</si>
  <si>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</si>
  <si>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</si>
  <si>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</si>
  <si>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</si>
  <si>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</si>
  <si>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</si>
  <si>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</si>
  <si>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</si>
  <si>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Meiji moved toward a deputy with a knife after refusing to drop the weapon. The deputy shot and killed Meija.</t>
  </si>
  <si>
    <t>http://www.azcentral.com/story/news/local/arizona/2015/02/15/pinal-county-sheriffs-deputy-involved-shooting/23466847/</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</si>
  <si>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</si>
  <si>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</si>
  <si>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</si>
  <si>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</si>
  <si>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</si>
  <si>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</si>
  <si>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</si>
  <si>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</si>
  <si>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</si>
  <si>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</si>
  <si>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</si>
  <si>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</si>
  <si>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</si>
  <si>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Jonathan Larry Harden</t>
  </si>
  <si>
    <t>http://images.onset.freedom.com/pressenterprise/gallery/njrvvc-sbpursuitshootingmug.jpg</t>
  </si>
  <si>
    <t>Mojave Fwy</t>
  </si>
  <si>
    <t>92407</t>
  </si>
  <si>
    <t>San Bernardino Police Department</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</si>
  <si>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</si>
  <si>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</si>
  <si>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Phillip Watkins</t>
  </si>
  <si>
    <t>http://www.killedbypolice.net/victims/150126.jpg</t>
  </si>
  <si>
    <t>1300 Sherman Street</t>
  </si>
  <si>
    <t>95110</t>
  </si>
  <si>
    <t>Police responded to a 911 call about a man entering a home with a knife. When they arrived, the subject allegedly charged them and was shot dead.</t>
  </si>
  <si>
    <t>http://www.ktvu.com/story/28087930/san-jose-police-investigating-officer-involved-shooting</t>
  </si>
  <si>
    <t>Fletcher Ray Stewart</t>
  </si>
  <si>
    <t>Booger Hollow Road</t>
  </si>
  <si>
    <t>Dadeville</t>
  </si>
  <si>
    <t>Tallapoosa</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</si>
  <si>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</si>
  <si>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</si>
  <si>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</si>
  <si>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</si>
  <si>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</si>
  <si>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</si>
  <si>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</si>
  <si>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</si>
  <si>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</si>
  <si>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</si>
  <si>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</si>
  <si>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</si>
  <si>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</si>
  <si>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</si>
  <si>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</si>
  <si>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</si>
  <si>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</si>
  <si>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Antonio Zambrano-Montes</t>
  </si>
  <si>
    <t>https://heavyeditorial.files.wordpress.com/2015/02/antonio-zambrano-montes.jpg?quality=65&amp;strip=all&amp;w=780&amp;h=440</t>
  </si>
  <si>
    <t>1107 W. Lewis St</t>
  </si>
  <si>
    <t>Pasco</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</si>
  <si>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</si>
  <si>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</si>
  <si>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</si>
  <si>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</si>
  <si>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</si>
  <si>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</si>
  <si>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</si>
  <si>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</si>
  <si>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</si>
  <si>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</si>
  <si>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</si>
  <si>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</si>
  <si>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</si>
  <si>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</si>
  <si>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</si>
  <si>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</si>
  <si>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</si>
  <si>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ME</t>
  </si>
  <si>
    <t>04780</t>
  </si>
  <si>
    <t>Aroostook</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</si>
  <si>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</si>
  <si>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</si>
  <si>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</si>
  <si>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</si>
  <si>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</si>
  <si>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</si>
  <si>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</si>
  <si>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Luster was chasing a teenagers who may have vandalized his home. An officer saw Luster in his truck coming his way and fired shots and killed Luster.</t>
  </si>
  <si>
    <t>Gerdle Moise</t>
  </si>
  <si>
    <t>1500 S.W. 12 Ave</t>
  </si>
  <si>
    <t>33069</t>
  </si>
  <si>
    <t>Broward County Sheriff's Office</t>
  </si>
  <si>
    <t>Drowning</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</si>
  <si>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</si>
  <si>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</si>
  <si>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</si>
  <si>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</si>
  <si>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</si>
  <si>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</si>
  <si>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</si>
  <si>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</si>
  <si>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</si>
  <si>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</si>
  <si>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</si>
  <si>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</si>
  <si>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</si>
  <si>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</si>
  <si>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</si>
  <si>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</si>
  <si>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</si>
  <si>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</si>
  <si>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</si>
  <si>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</si>
  <si>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</si>
  <si>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</si>
  <si>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</si>
  <si>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</si>
  <si>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</si>
  <si>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</si>
  <si>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</si>
  <si>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</si>
  <si>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</si>
  <si>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</si>
  <si>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John Martin Whittaker</t>
  </si>
  <si>
    <t>http://d14rj7v0r2qnrv.cloudfront.net/wp-content/uploads/2015/02/10210721/john-martin-whittaker-fb.jpg</t>
  </si>
  <si>
    <t>E 15th Ave &amp; Medfra St</t>
  </si>
  <si>
    <t>Anchorage</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</si>
  <si>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</si>
  <si>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</si>
  <si>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</si>
  <si>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</si>
  <si>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Joseph Paffen</t>
  </si>
  <si>
    <t>4501 Hoffner Avenue</t>
  </si>
  <si>
    <t>Orange County Sheriff's Office</t>
  </si>
  <si>
    <t>Paffen opened fire on officers, they responded and shot him.</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</si>
  <si>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</si>
  <si>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</si>
  <si>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</si>
  <si>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</si>
  <si>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</si>
  <si>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</si>
  <si>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James Howard Allen</t>
  </si>
  <si>
    <t>2701 Mary Avenue</t>
  </si>
  <si>
    <t>Anson</t>
  </si>
  <si>
    <t>The family of the deceased asked police to check on elderly hard-of-hearing man after heart surgery, officers kicked in door, deceased had gun, police shot after he didn't obey to drop gun.</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</si>
  <si>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</si>
  <si>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</si>
  <si>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</si>
  <si>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</si>
  <si>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</si>
  <si>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</si>
  <si>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</si>
  <si>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</si>
  <si>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</si>
  <si>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</si>
  <si>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</si>
  <si>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</si>
  <si>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John Sawyer</t>
  </si>
  <si>
    <t>1200 Calimesa Blvd.</t>
  </si>
  <si>
    <t>Calimesa</t>
  </si>
  <si>
    <t>92320</t>
  </si>
  <si>
    <t>Riverside County Sheriff's Office</t>
  </si>
  <si>
    <t>Deputies made contact with two men who they thought were engaged in narcotics activity. One man removed a handgun from his pocket and was killed by deputies.</t>
  </si>
  <si>
    <t>http://www.newsmirror.net/news/article_4ac58666-ae23-11e4-a6b8-bb786bd2cf62.html</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</si>
  <si>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</si>
  <si>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</si>
  <si>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</si>
  <si>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</si>
  <si>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</si>
  <si>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</si>
  <si>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Jimmy Ray Robinson Jr.</t>
  </si>
  <si>
    <t>http://bloximages.chicago2.vip.townnews.com/wacotrib.com/content/tncms/assets/v3/editorial/d/bc/dbc5b9d9-a7ad-5bf9-a0b7-a0039454f45d/54d53a2c72d79.image.jpg?resize=300%2C400</t>
  </si>
  <si>
    <t>I-35</t>
  </si>
  <si>
    <t>Lorena</t>
  </si>
  <si>
    <t>76655</t>
  </si>
  <si>
    <t>Police believe Robinson was responsible for at least five local store robberies that occurred within a week of Wednesday’s chase. The chase ended with Robinson being shot and killed.</t>
  </si>
  <si>
    <t>http://www.killedbypolice.net/victims/150102.jpg</t>
  </si>
  <si>
    <t>E. Baseline Road and 48th Street</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</si>
  <si>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</si>
  <si>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http://www.abc15.com/news/region-phoenix-metro/south-phoenix/tempe-police-shoot-2-suspects-near-48th-street-and-baseline-condition-of-suspects-unknown</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</si>
  <si>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</si>
  <si>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</si>
  <si>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</si>
  <si>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</si>
  <si>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</si>
  <si>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</si>
  <si>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</si>
  <si>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85042</t>
  </si>
  <si>
    <t>Trying to apprehend Muna, the subject escaped in a vehicle with a friend. Police pinned his car making it unable for him to escape. He brandished a weapon and was shot dead by at least three different officers.</t>
  </si>
  <si>
    <t>Kevin D. Garrett</t>
  </si>
  <si>
    <t>2800 East 79th Street</t>
  </si>
  <si>
    <t>An unmarked police car hit and killed a man crossing a street without proper streetlights.</t>
  </si>
  <si>
    <t>http://www.chicagotribune.com/news/local/breaking/chi-man-fatally-hit-by-car-on-south-side-20150204-story.html</t>
  </si>
  <si>
    <t>Jeremy Lett</t>
  </si>
  <si>
    <t>2424 W Tharpe Street</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</si>
  <si>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</si>
  <si>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</si>
  <si>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</si>
  <si>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</si>
  <si>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</si>
  <si>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</si>
  <si>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</si>
  <si>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</si>
  <si>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</si>
  <si>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</si>
  <si>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Dewayne Deshawn Ward Jr.</t>
  </si>
  <si>
    <t>http://ww4.hdnux.com/photos/34/47/64/7503163/3/920x920.jpg</t>
  </si>
  <si>
    <t>1000 Claudia Ct</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</si>
  <si>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</si>
  <si>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</si>
  <si>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</si>
  <si>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</si>
  <si>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</si>
  <si>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</si>
  <si>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</si>
  <si>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</si>
  <si>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</si>
  <si>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</si>
  <si>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</si>
  <si>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</si>
  <si>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</si>
  <si>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</si>
  <si>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</si>
  <si>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</si>
  <si>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</si>
  <si>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St. Louis Metropolitan Police Department</t>
  </si>
  <si>
    <t>Officers on patrol in the Dutchtown section of St. Louis saw a man run away from them. They chased him into the bushes and struggled with him to get his gun away. Officers fired and killed the man.</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</si>
  <si>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</si>
  <si>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</si>
  <si>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</si>
  <si>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</si>
  <si>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</si>
  <si>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</si>
  <si>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</si>
  <si>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</si>
  <si>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</si>
  <si>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</si>
  <si>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</si>
  <si>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</si>
  <si>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</si>
  <si>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</si>
  <si>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David Kassick</t>
  </si>
  <si>
    <t>https://mgtvwhtm.files.wordpress.com/2015/02/b88n8qgieaevoxh.jpg</t>
  </si>
  <si>
    <t>36 Grandview Road</t>
  </si>
  <si>
    <t>Hummelstown</t>
  </si>
  <si>
    <t>17036</t>
  </si>
  <si>
    <t>Dauphin</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</si>
  <si>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</si>
  <si>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</si>
  <si>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http://news.yahoo.com/pa-officer-charged-fatal-shooting-unarmed-motorist-165424205.html</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</si>
  <si>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</si>
  <si>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</si>
  <si>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</si>
  <si>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</si>
  <si>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</si>
  <si>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</si>
  <si>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</si>
  <si>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</si>
  <si>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</si>
  <si>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</si>
  <si>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</si>
  <si>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</si>
  <si>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</si>
  <si>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</si>
  <si>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</si>
  <si>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</si>
  <si>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</si>
  <si>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</si>
  <si>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</si>
  <si>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</si>
  <si>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</si>
  <si>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</si>
  <si>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</si>
  <si>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</si>
  <si>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</si>
  <si>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</si>
  <si>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</si>
  <si>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</si>
  <si>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</si>
  <si>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John Barry Marshall</t>
  </si>
  <si>
    <t>http://krtv.images.worldnow.com/images/6616127_G.jpg</t>
  </si>
  <si>
    <t>2800 10th Ave N</t>
  </si>
  <si>
    <t>Billings</t>
  </si>
  <si>
    <t>59101</t>
  </si>
  <si>
    <t>Yellowstone</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</si>
  <si>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</si>
  <si>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</si>
  <si>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</si>
  <si>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</si>
  <si>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</si>
  <si>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</si>
  <si>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</si>
  <si>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</si>
  <si>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</si>
  <si>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</si>
  <si>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</si>
  <si>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</si>
  <si>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</si>
  <si>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</si>
  <si>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</si>
  <si>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</si>
  <si>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Larry Kobuk</t>
  </si>
  <si>
    <t>http://www.killedbypolice.net/victims/150085.jpg</t>
  </si>
  <si>
    <t>1300 E 4th Ave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</si>
  <si>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</si>
  <si>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</si>
  <si>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Traylor Stadium</t>
  </si>
  <si>
    <t>Rosenberg</t>
  </si>
  <si>
    <t>Rosenberg Police Department</t>
  </si>
  <si>
    <t>"Patrol officers spotted a four-door white car leaving the scene," said Lt. William Henry with the Rosenberg Police Department. "The car eventually stopped in front of Traylor Stadium. There was a confrontation. Our officers opened fire and the armed suspect was shot and killed on the scene."</t>
  </si>
  <si>
    <t>http://www.click2houston.com/news/rosenberg-police-shoot-kill-suspect-wanted-in-deadly-shooting/30960552</t>
  </si>
  <si>
    <t>Alan Lance Alverson</t>
  </si>
  <si>
    <t>Sunset</t>
  </si>
  <si>
    <t>Alan was killed in a shoot-out with law officers Wednesday afternoon, following a pursuit that ended with his death.</t>
  </si>
  <si>
    <t>http://www.wfaa.com/story/news/crime/2015/01/28/suspect-shot-in-rural-wise-county/22487953/</t>
  </si>
  <si>
    <t>Jermonte Fletcher</t>
  </si>
  <si>
    <t>https://localtvwjw.files.wordpress.com/2015/01/jermonte-fletcher.jpg</t>
  </si>
  <si>
    <t>200 Buffalo Court</t>
  </si>
  <si>
    <t>43207</t>
  </si>
  <si>
    <t>Ohio State Highway Patrol and Columbus Police Department</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</si>
  <si>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</si>
  <si>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</si>
  <si>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Nicholas Tewa</t>
  </si>
  <si>
    <t>http://media2.abc15.com/photo/2015/01/28/KNXV%20Nicholas%20Tewa_1422480483218_12855454_ver1.0_900_675.jpg</t>
  </si>
  <si>
    <t>4130 North Black Canyon Highway</t>
  </si>
  <si>
    <t>85017</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</si>
  <si>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</si>
  <si>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</si>
  <si>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Matautu Nuu</t>
  </si>
  <si>
    <t>N El Dorado St &amp; Martinique Ct</t>
  </si>
  <si>
    <t>95210</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</si>
  <si>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</si>
  <si>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</si>
  <si>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</si>
  <si>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</si>
  <si>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</si>
  <si>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</si>
  <si>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</si>
  <si>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</si>
  <si>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Alvin Haynes</t>
  </si>
  <si>
    <t>1 Moreland Dr</t>
  </si>
  <si>
    <t>San Bruno</t>
  </si>
  <si>
    <t>San Mateo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</si>
  <si>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</si>
  <si>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</si>
  <si>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</si>
  <si>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</si>
  <si>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</si>
  <si>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</si>
  <si>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</si>
  <si>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</si>
  <si>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</si>
  <si>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</si>
  <si>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</si>
  <si>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</si>
  <si>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</si>
  <si>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</si>
  <si>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</si>
  <si>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</si>
  <si>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</si>
  <si>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</si>
  <si>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</si>
  <si>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</si>
  <si>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</si>
  <si>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</si>
  <si>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</si>
  <si>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</si>
  <si>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</si>
  <si>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</si>
  <si>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</si>
  <si>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</si>
  <si>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</si>
  <si>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</si>
  <si>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</si>
  <si>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</si>
  <si>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</si>
  <si>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</si>
  <si>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</si>
  <si>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</si>
  <si>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</si>
  <si>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</si>
  <si>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</si>
  <si>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</si>
  <si>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</si>
  <si>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</si>
  <si>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</si>
  <si>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</si>
  <si>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</si>
  <si>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</si>
  <si>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</si>
  <si>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</si>
  <si>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</si>
  <si>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</si>
  <si>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</si>
  <si>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</si>
  <si>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Pending Investigation</t>
  </si>
  <si>
    <t>http://www.chieftain.com/news/pueblo/3281920-120/officers-police-incident-lopez</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</si>
  <si>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</si>
  <si>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</si>
  <si>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</si>
  <si>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</si>
  <si>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</si>
  <si>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</si>
  <si>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</si>
  <si>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Darin Hutchins</t>
  </si>
  <si>
    <t>http://www.killedbypolice.net/victims/150070.jpg</t>
  </si>
  <si>
    <t>1900 McHenry St</t>
  </si>
  <si>
    <t>21223</t>
  </si>
  <si>
    <t>Baltimore City</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</si>
  <si>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</si>
  <si>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</si>
  <si>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</si>
  <si>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</si>
  <si>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</si>
  <si>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</si>
  <si>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</si>
  <si>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</si>
  <si>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</si>
  <si>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</si>
  <si>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</si>
  <si>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</si>
  <si>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</si>
  <si>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</si>
  <si>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</si>
  <si>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</si>
  <si>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</si>
  <si>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</si>
  <si>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</si>
  <si>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</si>
  <si>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</si>
  <si>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</si>
  <si>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</si>
  <si>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</si>
  <si>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</si>
  <si>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</si>
  <si>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</si>
  <si>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</si>
  <si>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</si>
  <si>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Tiano Meton</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</si>
  <si>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</si>
  <si>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</si>
  <si>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</si>
  <si>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</si>
  <si>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</si>
  <si>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</si>
  <si>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</si>
  <si>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Kristiana Coignard</t>
  </si>
  <si>
    <t>http://www.killedbypolice.net/victims/150063.jpg</t>
  </si>
  <si>
    <t>302 W. Cotton Street</t>
  </si>
  <si>
    <t>75601</t>
  </si>
  <si>
    <t>The teen girl entered the police station presumably to get help. Officers believed she was armed with a gun. She allegedly had a knife and was tasered to no effect. Officers shot and killed her.</t>
  </si>
  <si>
    <t>https://www.wsws.org/en/articles/2015/01/30/polie-j30.html</t>
  </si>
  <si>
    <t>Isaac Holmes</t>
  </si>
  <si>
    <t>http://bloximages.newyork1.vip.townnews.com/stltoday.com/content/tncms/assets/v3/editorial/7/71/771dac67-b4b2-5713-95c1-91997c6fd078/54c16e7195906.image.jpg</t>
  </si>
  <si>
    <t>Marcus Avenue and Cottage Avenue</t>
  </si>
  <si>
    <t>63113</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</si>
  <si>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</si>
  <si>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</si>
  <si>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</si>
  <si>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</si>
  <si>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</si>
  <si>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</si>
  <si>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</si>
  <si>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</si>
  <si>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</si>
  <si>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</si>
  <si>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 shootout occurred between a Border Patrol Agent and a suspected smuggler.</t>
  </si>
  <si>
    <t>https://www.facebook.com/KilledByPolice/posts/978838298810974</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</si>
  <si>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</si>
  <si>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</si>
  <si>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</si>
  <si>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</si>
  <si>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</si>
  <si>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</si>
  <si>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</si>
  <si>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</si>
  <si>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</si>
  <si>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</si>
  <si>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</si>
  <si>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</si>
  <si>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</si>
  <si>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</si>
  <si>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</si>
  <si>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</si>
  <si>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</si>
  <si>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Todd Allen Hodge</t>
  </si>
  <si>
    <t>http://3.bp.blogspot.com/-IiJiw1cLpJY/VMKzBgbaFCI/AAAAAAAABV8/eK3YWUbZ4Bk/s400/chu15-0121-HodgeTodd.jpg</t>
  </si>
  <si>
    <t>40200 Clark Dr.</t>
  </si>
  <si>
    <t>Riverside County Sheriff’s Department</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</si>
  <si>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</si>
  <si>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</si>
  <si>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</si>
  <si>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</si>
  <si>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</si>
  <si>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</si>
  <si>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</si>
  <si>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</si>
  <si>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</si>
  <si>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</si>
  <si>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</si>
  <si>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</si>
  <si>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</si>
  <si>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</si>
  <si>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</si>
  <si>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</si>
  <si>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</si>
  <si>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</si>
  <si>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</si>
  <si>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</si>
  <si>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</si>
  <si>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</si>
  <si>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</si>
  <si>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</si>
  <si>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</si>
  <si>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</si>
  <si>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</si>
  <si>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</si>
  <si>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</si>
  <si>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</si>
  <si>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</si>
  <si>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</si>
  <si>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</si>
  <si>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</si>
  <si>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</si>
  <si>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</si>
  <si>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</si>
  <si>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</si>
  <si>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</si>
  <si>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</si>
  <si>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</si>
  <si>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</si>
  <si>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</si>
  <si>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</si>
  <si>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</si>
  <si>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Harvey Community Park</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</si>
  <si>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</si>
  <si>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</si>
  <si>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</si>
  <si>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</si>
  <si>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</si>
  <si>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</si>
  <si>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</si>
  <si>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</si>
  <si>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</si>
  <si>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</si>
  <si>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</si>
  <si>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</si>
  <si>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</si>
  <si>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</si>
  <si>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</si>
  <si>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</si>
  <si>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</si>
  <si>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</si>
  <si>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</si>
  <si>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</si>
  <si>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</si>
  <si>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</si>
  <si>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</si>
  <si>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Mabank</t>
  </si>
  <si>
    <t>Van Dandt</t>
  </si>
  <si>
    <t>One suspect was shot dead at the scene after a police chase involving wanted persons that went from Kaufman County to Van Zandt County.</t>
  </si>
  <si>
    <t>http://www.wfaa.com/story/news/crime/2015/01/16/one-shot-3-in-custody-after-kaufman-co-police-chase/21880631/</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</si>
  <si>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</si>
  <si>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</si>
  <si>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</si>
  <si>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</si>
  <si>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</si>
  <si>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</si>
  <si>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</si>
  <si>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</si>
  <si>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</si>
  <si>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</si>
  <si>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</si>
  <si>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</si>
  <si>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</si>
  <si>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</si>
  <si>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</si>
  <si>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</si>
  <si>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</si>
  <si>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</si>
  <si>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</si>
  <si>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</si>
  <si>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</si>
  <si>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</si>
  <si>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</si>
  <si>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</si>
  <si>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</si>
  <si>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</si>
  <si>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</si>
  <si>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</si>
  <si>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</si>
  <si>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85250</t>
  </si>
  <si>
    <t>Scottsdale Police Department</t>
  </si>
  <si>
    <t>Carr appears to have been driving a car that the police attempted to box in. He rammed the police cars and was shot.</t>
  </si>
  <si>
    <t>http://www.azcentral.com/story/news/12-news/2015/01/20/12-news-shooting-scottsdale-police-ramming/22077173/</t>
  </si>
  <si>
    <t>Jose Ceja</t>
  </si>
  <si>
    <t>2000 Sousa Court</t>
  </si>
  <si>
    <t>Fairfield</t>
  </si>
  <si>
    <t>94533</t>
  </si>
  <si>
    <t>Fairfield Police Department</t>
  </si>
  <si>
    <t>The subject was allegedly drunk and threatening, in his home armed with a knife. He allegedly charged officers when they arrived and was killed at the scene.</t>
  </si>
  <si>
    <t>http://www.dailyrepublic.com/news/crimecourts/police-disturbance-call-leads-to-officer-involved-shooting/</t>
  </si>
  <si>
    <t>Quincy Reed Reindl</t>
  </si>
  <si>
    <t>5800 West 99th Street</t>
  </si>
  <si>
    <t>Bloomington</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</si>
  <si>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</si>
  <si>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</si>
  <si>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</si>
  <si>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</si>
  <si>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Nathan Ryan Massey</t>
  </si>
  <si>
    <t>http://www.owensandbrumley.com/sitemaker/memsol_data/2099/1503373/1503373_profile_pic.jpg</t>
  </si>
  <si>
    <t>Becky Sue St</t>
  </si>
  <si>
    <t>Ville Platte</t>
  </si>
  <si>
    <t>70586</t>
  </si>
  <si>
    <t>Evangeline</t>
  </si>
  <si>
    <t>Louisiana State Police Department</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</si>
  <si>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</si>
  <si>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</si>
  <si>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</si>
  <si>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</si>
  <si>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</si>
  <si>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</si>
  <si>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</si>
  <si>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</si>
  <si>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</si>
  <si>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Marcus Ryan Golden</t>
  </si>
  <si>
    <t>http://extras.mnginteractive.com/live/media/site569/2015/0115/20150115__150115_MarcusRyanGolden_mug_200.jpg</t>
  </si>
  <si>
    <t>261 E. University Ave.</t>
  </si>
  <si>
    <t>55130</t>
  </si>
  <si>
    <t>St. Paul Police Department</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</si>
  <si>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</si>
  <si>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</si>
  <si>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</si>
  <si>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</si>
  <si>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</si>
  <si>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</si>
  <si>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</si>
  <si>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</si>
  <si>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</si>
  <si>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Robert Edwards</t>
  </si>
  <si>
    <t>http://www.killedbypolice.net/victims/150037.jpg</t>
  </si>
  <si>
    <t>500 Sycamore Street</t>
  </si>
  <si>
    <t>Lake Jackson</t>
  </si>
  <si>
    <t>77566</t>
  </si>
  <si>
    <t>Brazoria</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</si>
  <si>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</si>
  <si>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</si>
  <si>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</si>
  <si>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</si>
  <si>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</si>
  <si>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</si>
  <si>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</si>
  <si>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</si>
  <si>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</si>
  <si>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</si>
  <si>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</si>
  <si>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Louis F. Becker</t>
  </si>
  <si>
    <t>http://bloximages.chicago2.vip.townnews.com/registerstar.com/content/tncms/assets/v3/editorial/f/02/f025e0a0-9dc1-11e4-aa27-3fce899b616a/54b97ac3db8c0.image.jpg</t>
  </si>
  <si>
    <t>Route 23 and Cairo Junction Road</t>
  </si>
  <si>
    <t>Catskill</t>
  </si>
  <si>
    <t>12414</t>
  </si>
  <si>
    <t>Greene</t>
  </si>
  <si>
    <t>New York State Police Department</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</si>
  <si>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</si>
  <si>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</si>
  <si>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</si>
  <si>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</si>
  <si>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</si>
  <si>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Draper</t>
  </si>
  <si>
    <t>84020</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</si>
  <si>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</si>
  <si>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</si>
  <si>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</si>
  <si>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John Edward Okeefe</t>
  </si>
  <si>
    <t>http://main.abqjournal.netdna-cdn.com/wp-content/uploads/2015/01/image3-319x400.jpg</t>
  </si>
  <si>
    <t>2028 San Mateo Blvd NE</t>
  </si>
  <si>
    <t>87110</t>
  </si>
  <si>
    <t>Albuquerque Police Department</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</si>
  <si>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</si>
  <si>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</si>
  <si>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</si>
  <si>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</si>
  <si>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</si>
  <si>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</si>
  <si>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</si>
  <si>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</si>
  <si>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</si>
  <si>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</si>
  <si>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</si>
  <si>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</si>
  <si>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</si>
  <si>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</si>
  <si>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</si>
  <si>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</si>
  <si>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Brian Barbosa</t>
  </si>
  <si>
    <t>8900 Kauffman Avenue</t>
  </si>
  <si>
    <t>Los Angeles County Sheriff’s Department</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</si>
  <si>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</si>
  <si>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</si>
  <si>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</si>
  <si>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</si>
  <si>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</si>
  <si>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</si>
  <si>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</si>
  <si>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</si>
  <si>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</si>
  <si>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</si>
  <si>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Jimmy Foreman</t>
  </si>
  <si>
    <t>422 SE 3rd Street</t>
  </si>
  <si>
    <t>England</t>
  </si>
  <si>
    <t>72046</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</si>
  <si>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</si>
  <si>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</si>
  <si>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</si>
  <si>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Thomas Hamby</t>
  </si>
  <si>
    <t>http://www.killedbypolice.net/victims/150031.jpg</t>
  </si>
  <si>
    <t>2964 W. 2125 South</t>
  </si>
  <si>
    <t>Syracuse</t>
  </si>
  <si>
    <t>84075</t>
  </si>
  <si>
    <t>Davis</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</si>
  <si>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</si>
  <si>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</si>
  <si>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</si>
  <si>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</si>
  <si>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</si>
  <si>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</si>
  <si>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</si>
  <si>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</si>
  <si>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</si>
  <si>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</si>
  <si>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</si>
  <si>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</si>
  <si>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</si>
  <si>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</si>
  <si>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</si>
  <si>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</si>
  <si>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Loren Benjamin Simpson</t>
  </si>
  <si>
    <t>http://bloximages.chicago2.vip.townnews.com/billingsgazette.com/content/tncms/assets/v3/editorial/4/00/4007a622-4e2f-58f5-9a2f-dd4669827de0/54c066932f074.preview-620.jpg</t>
  </si>
  <si>
    <t>3618 White Buffalo Road</t>
  </si>
  <si>
    <t>Huntley</t>
  </si>
  <si>
    <t>59037</t>
  </si>
  <si>
    <t>Yellowstone County Sheriff's Office</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</si>
  <si>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</si>
  <si>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</si>
  <si>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</si>
  <si>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</si>
  <si>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</si>
  <si>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</si>
  <si>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</si>
  <si>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</si>
  <si>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</si>
  <si>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</si>
  <si>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</si>
  <si>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</si>
  <si>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</si>
  <si>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</si>
  <si>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</si>
  <si>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</si>
  <si>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</si>
  <si>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</si>
  <si>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</si>
  <si>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</si>
  <si>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</si>
  <si>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</si>
  <si>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</si>
  <si>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</si>
  <si>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</si>
  <si>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</si>
  <si>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</si>
  <si>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</si>
  <si>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</si>
  <si>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</si>
  <si>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</si>
  <si>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</si>
  <si>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</si>
  <si>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</si>
  <si>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</si>
  <si>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</si>
  <si>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</si>
  <si>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</si>
  <si>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</si>
  <si>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</si>
  <si>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</si>
  <si>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Brian Pickett</t>
  </si>
  <si>
    <t>1600 East 123rd Street</t>
  </si>
  <si>
    <t>90059</t>
  </si>
  <si>
    <t>Pickett's mother called police to report he was under the influence and had threatened her. When police arrived, Pickett allegedly charged at them and was Tasered by a deputy. He stopped breathing when the paramedics arrived and was pronounced dead at area hospital.</t>
  </si>
  <si>
    <t>Leslie Sapp III</t>
  </si>
  <si>
    <t>https://cbspittsburgh.files.wordpress.com/2015/01/leslie_sapp.jpg?w=770</t>
  </si>
  <si>
    <t>101 Redlyn Street</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</si>
  <si>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</si>
  <si>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</si>
  <si>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</si>
  <si>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Patrick Wayne Wetter</t>
  </si>
  <si>
    <t>http://d1t3gia0in9tdj.cloudfront.net/photo/tributes/t/8/r/207x207/2697746/Patrick-Wetter-1421148943.jpg</t>
  </si>
  <si>
    <t>800 Howard St</t>
  </si>
  <si>
    <t>95206</t>
  </si>
  <si>
    <t>x</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</si>
  <si>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</si>
  <si>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</si>
  <si>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</si>
  <si>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Brock Nichols</t>
  </si>
  <si>
    <t>http://d1t3gia0in9tdj.cloudfront.net/photo/tributes/t/8/r/207x207/2693108/Brock-Nichols-1420713958.jpg</t>
  </si>
  <si>
    <t>2388 E. Kansas Highway 4</t>
  </si>
  <si>
    <t>Assaria</t>
  </si>
  <si>
    <t>67416</t>
  </si>
  <si>
    <t>Saline</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</si>
  <si>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</si>
  <si>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</si>
  <si>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</si>
  <si>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</si>
  <si>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</si>
  <si>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</si>
  <si>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Burlington</t>
  </si>
  <si>
    <t>52601</t>
  </si>
  <si>
    <t>Burlington Police Department</t>
  </si>
  <si>
    <t>Officers reported that they responded to a domestic dispute call, gunfire was exchanged, and one officer was injured, while Steele was killed.</t>
  </si>
  <si>
    <t>Ned Womack</t>
  </si>
  <si>
    <t>Jasper</t>
  </si>
  <si>
    <t>Pickens</t>
  </si>
  <si>
    <t>Pickens County Sheriff's Office</t>
  </si>
  <si>
    <t>When Deputies Kirkland and Curran encounter Mr. Womack, Mr. Womack fired one shot at the deputies and then fled to a nearby residence. Mr. Womack then returned to his back yard where he fired another shots at the deputies. Deputy Kirkland returned fire, killing Womack.</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</si>
  <si>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</si>
  <si>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</si>
  <si>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</si>
  <si>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</si>
  <si>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</si>
  <si>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</si>
  <si>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</si>
  <si>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</si>
  <si>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</si>
  <si>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</si>
  <si>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</si>
  <si>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</si>
  <si>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</si>
  <si>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</si>
  <si>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</si>
  <si>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</si>
  <si>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</si>
  <si>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</si>
  <si>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</si>
  <si>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</si>
  <si>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</si>
  <si>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</si>
  <si>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</si>
  <si>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</si>
  <si>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</si>
  <si>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</si>
  <si>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</si>
  <si>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Michael Kocher Jr.</t>
  </si>
  <si>
    <t>http://policekillings.info/wp-content/uploads/2015/01/michael-kocher.jpg</t>
  </si>
  <si>
    <t>1-2600 Kaumualii Hwy</t>
  </si>
  <si>
    <t>Kaumakani</t>
  </si>
  <si>
    <t>96769</t>
  </si>
  <si>
    <t>Kauai</t>
  </si>
  <si>
    <t>Kauai Police Department</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</si>
  <si>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</si>
  <si>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</si>
  <si>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John Paul Quintero</t>
  </si>
  <si>
    <t>https://lintvksnw.files.wordpress.com/2015/01/mug-shot-paul-quintero.jpg?w=132&amp;h=150</t>
  </si>
  <si>
    <t>500 N Oliver Ave</t>
  </si>
  <si>
    <t>67208</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</si>
  <si>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</si>
  <si>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</si>
  <si>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</si>
  <si>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</si>
  <si>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</si>
  <si>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</si>
  <si>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</si>
  <si>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</si>
  <si>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</si>
  <si>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Lewis Lee Lembke</t>
  </si>
  <si>
    <t>4519 S.W. Masters Loop</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</si>
  <si>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</si>
  <si>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</si>
  <si>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</si>
  <si>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Matthew Ojibade</t>
  </si>
  <si>
    <t>https://ionenewsone.files.wordpress.com/2015/01/matthew-ojibade-screenshot.png</t>
  </si>
  <si>
    <t>1050 Carl Griffin Drive</t>
  </si>
  <si>
    <t>Savannah</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</si>
  <si>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</si>
  <si>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</si>
  <si>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</si>
  <si>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http://www.dailykos.com/story/2015/01/07/1356072/-Savannah-man-22-year-old-Matthew-Ojibade-dies-in-restraining-chair-while-in-police-custody</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</si>
  <si>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</si>
  <si>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</si>
  <si>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</si>
  <si>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</si>
  <si>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</si>
  <si>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</si>
  <si>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</si>
  <si>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</si>
  <si>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</si>
  <si>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</si>
  <si>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</si>
  <si>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</si>
  <si>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</si>
  <si>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</si>
  <si>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</si>
  <si>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</si>
  <si>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</si>
  <si>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</si>
  <si>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</si>
  <si>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</si>
  <si>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</si>
  <si>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</si>
  <si>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</si>
  <si>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</si>
  <si>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</si>
  <si>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</si>
  <si>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Mayra Cornejo</t>
  </si>
  <si>
    <t>Compton Boulevard and Willowbrook Avenue</t>
  </si>
  <si>
    <t>Compton</t>
  </si>
  <si>
    <t>Deputies gave the female several commands to drop the gun, however she did not comply. Fearing for the safety of the victim, that the female suspect would shoot and kill him, deputies fired at the female suspect striking her.</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</si>
  <si>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</si>
  <si>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</si>
  <si>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</si>
  <si>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</si>
  <si>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</si>
  <si>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</si>
  <si>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</si>
  <si>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</si>
  <si>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</si>
  <si>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</si>
  <si>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Marinan Reese</t>
  </si>
  <si>
    <t>Violent collision with his patrol car and Marinan Reese's car.</t>
  </si>
  <si>
    <t>http://www.koco.com/news/officer-involved-in-fatal-car-crash-faces-misdemeanor-charges/31027194</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</si>
  <si>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</si>
  <si>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</si>
  <si>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</si>
  <si>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</si>
  <si>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</si>
  <si>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</si>
  <si>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</si>
  <si>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</si>
  <si>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Joseph Anthony Pacini</t>
  </si>
  <si>
    <t>Drexel Hill</t>
  </si>
  <si>
    <t>Haverford Police Department</t>
  </si>
  <si>
    <t>A man was shot dead by police after they say he tried to run over several officers in Drexel Hill, Delaware County Tuesday night.</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</si>
  <si>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</si>
  <si>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</si>
  <si>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</si>
  <si>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</si>
  <si>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</si>
  <si>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</si>
  <si>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</si>
  <si>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</si>
  <si>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</si>
  <si>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</si>
  <si>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</si>
  <si>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</si>
  <si>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</si>
  <si>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</si>
  <si>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</si>
  <si>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</si>
  <si>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Paradise</t>
  </si>
  <si>
    <t>Butte</t>
  </si>
  <si>
    <t xml:space="preserve">Butte County Sheriff’s Office </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</si>
  <si>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</si>
  <si>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</si>
  <si>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</si>
  <si>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</si>
  <si>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</si>
  <si>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</si>
  <si>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David Andre Scott</t>
  </si>
  <si>
    <t>5959 Fort Caroline Rd</t>
  </si>
  <si>
    <t>Police shoot and kill David Scott after he came out of an apartment building off of Fort Caroline Road holding what SWAT team members thought was a gun.</t>
  </si>
  <si>
    <t>Daniel Gray</t>
  </si>
  <si>
    <t>1200 Oxbow Dr.</t>
  </si>
  <si>
    <t>Dewey</t>
  </si>
  <si>
    <t>86327</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</si>
  <si>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</si>
  <si>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</si>
  <si>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</si>
  <si>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</si>
  <si>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</si>
  <si>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</si>
  <si>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</si>
  <si>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</si>
  <si>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</si>
  <si>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</si>
  <si>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</si>
  <si>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http://www.sltrib.com/news/1938044-155/shootings-by-police-vastly-underreported-in</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</si>
  <si>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</si>
  <si>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</si>
  <si>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</si>
  <si>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</si>
  <si>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</si>
  <si>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</si>
  <si>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</si>
  <si>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</si>
  <si>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</si>
  <si>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</si>
  <si>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</si>
  <si>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</si>
  <si>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</si>
  <si>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</si>
  <si>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</si>
  <si>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</si>
  <si>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</si>
  <si>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</si>
  <si>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</si>
  <si>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</si>
  <si>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</si>
  <si>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</si>
  <si>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</si>
  <si>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</si>
  <si>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John Hebebrand</t>
  </si>
  <si>
    <t>http://woio.images.worldnow.com/images/6305071_G.jpg</t>
  </si>
  <si>
    <t>600 Archer Rd</t>
  </si>
  <si>
    <t>Bedford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</si>
  <si>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</si>
  <si>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</si>
  <si>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</si>
  <si>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</si>
  <si>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</si>
  <si>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</si>
  <si>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</si>
  <si>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</si>
  <si>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</si>
  <si>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</si>
  <si>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</si>
  <si>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</si>
  <si>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</si>
  <si>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</si>
  <si>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</si>
  <si>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</si>
  <si>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</si>
  <si>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</si>
  <si>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</si>
  <si>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</si>
  <si>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</si>
  <si>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</si>
  <si>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</si>
  <si>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</si>
  <si>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</si>
  <si>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</si>
  <si>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Khamis Shatara</t>
  </si>
  <si>
    <t>320 Franklin Club Dr</t>
  </si>
  <si>
    <t>Delray Beach</t>
  </si>
  <si>
    <t>Palm Beach</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</si>
  <si>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</si>
  <si>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</si>
  <si>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</si>
  <si>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</si>
  <si>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</si>
  <si>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</si>
  <si>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</si>
  <si>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</si>
  <si>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</si>
  <si>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</si>
  <si>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</si>
  <si>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</si>
  <si>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</si>
  <si>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James Arlen Monroe Jr.</t>
  </si>
  <si>
    <t>2804 Kathryn Ave</t>
  </si>
  <si>
    <t>James Monroe was shot and killed by Lakeland police officers Monday night after a five-hour standoff. James had just killed his wife.</t>
  </si>
  <si>
    <t>http://www.theledger.com/article/20141223/NEWS/141229713</t>
  </si>
  <si>
    <t>Jose Salas</t>
  </si>
  <si>
    <t>Espina St and Colorado Ave</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</si>
  <si>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</si>
  <si>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</si>
  <si>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</si>
  <si>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</si>
  <si>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</si>
  <si>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</si>
  <si>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</si>
  <si>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</si>
  <si>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</si>
  <si>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</si>
  <si>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Minnesota State Police Department</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</si>
  <si>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</si>
  <si>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</si>
  <si>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</si>
  <si>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</si>
  <si>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Independence</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</si>
  <si>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</si>
  <si>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</si>
  <si>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</si>
  <si>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</si>
  <si>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</si>
  <si>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</si>
  <si>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</si>
  <si>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</si>
  <si>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</si>
  <si>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</si>
  <si>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</si>
  <si>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</si>
  <si>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</si>
  <si>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</si>
  <si>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</si>
  <si>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</si>
  <si>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William Everett Corson</t>
  </si>
  <si>
    <t>11800 Kemper Oaks Court</t>
  </si>
  <si>
    <t>Auburn</t>
  </si>
  <si>
    <t>The man was killed by an officer at around 4 p.m. after firing “hundreds of rounds” during a standoff that lasted more than five hours.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</si>
  <si>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</si>
  <si>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</si>
  <si>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</si>
  <si>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</si>
  <si>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</si>
  <si>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</si>
  <si>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</si>
  <si>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</si>
  <si>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Allen Locke</t>
  </si>
  <si>
    <t>http://d1jrw5jterzxwu.cloudfront.net/sites/default/files/article_media/allen_locke.jpg</t>
  </si>
  <si>
    <t>541 Pahasapa Road</t>
  </si>
  <si>
    <t>57701</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</si>
  <si>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</si>
  <si>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</si>
  <si>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</si>
  <si>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</si>
  <si>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</si>
  <si>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</si>
  <si>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</si>
  <si>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</si>
  <si>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</si>
  <si>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Aaron Martin</t>
  </si>
  <si>
    <t>http://tbo.com/storyimage/TB/20141219/ARTICLE/141219194/AR/0/AR-141219194.jpg</t>
  </si>
  <si>
    <t>3252 Windfield Drive</t>
  </si>
  <si>
    <t>Holiday</t>
  </si>
  <si>
    <t>34691</t>
  </si>
  <si>
    <t>Pasco County Sheriff's Office</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</si>
  <si>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</si>
  <si>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</si>
  <si>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</si>
  <si>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</si>
  <si>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</si>
  <si>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Richard Fredrick Tis Mil Estrada</t>
  </si>
  <si>
    <t>http://www.krcrtv.com/image/view/-/30364270/highRes/3/-/maxw/240/-/5acyiy/-/richard-fredrick-estrada-3-jpg.jpg</t>
  </si>
  <si>
    <t>Willow Creek</t>
  </si>
  <si>
    <t>95573</t>
  </si>
  <si>
    <t>Humboldt</t>
  </si>
  <si>
    <t>Gunshot, Taser</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</si>
  <si>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</si>
  <si>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</si>
  <si>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Brent Krout</t>
  </si>
  <si>
    <t>http://wthr.images.worldnow.com/images/6252453_G.jpg</t>
  </si>
  <si>
    <t>Paragon</t>
  </si>
  <si>
    <t>Morgan</t>
  </si>
  <si>
    <t>Indiana State Police Department</t>
  </si>
  <si>
    <t>When SWAT officers approached the car after a chase, they say Krout obeyed their order to get out. He opened the door, stood up in an aggressive tactical position towards the officers, raised his weapon at SWAT officers and was fired upon.</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</si>
  <si>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</si>
  <si>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</si>
  <si>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</si>
  <si>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</si>
  <si>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</si>
  <si>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</si>
  <si>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</si>
  <si>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</si>
  <si>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</si>
  <si>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</si>
  <si>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</si>
  <si>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2220 97th Street South</t>
  </si>
  <si>
    <t>A well-known white supremacist was shot and killed after a confrontation with a deputy early Wednesday in Tacoma, investigators said.</t>
  </si>
  <si>
    <t>Cody Robert Healey</t>
  </si>
  <si>
    <t>http://www.gannett-cdn.com/-mm-/10d330ec5257309931739b9eb990b8f817e7f7ab/c=12-0-372-480&amp;r=537&amp;c=0-0-534-712/local/-/media/2014/12/17/Pensacola/Pensacola/635544236649610345-healey.jpg</t>
  </si>
  <si>
    <t>501 Cherokee Trail</t>
  </si>
  <si>
    <t>Pensacola</t>
  </si>
  <si>
    <t>Escambia</t>
  </si>
  <si>
    <t>Escambia County Sheriff's Office</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</si>
  <si>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</si>
  <si>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</si>
  <si>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</si>
  <si>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</si>
  <si>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</si>
  <si>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</si>
  <si>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</si>
  <si>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</si>
  <si>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</si>
  <si>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</si>
  <si>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</si>
  <si>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</si>
  <si>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</si>
  <si>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</si>
  <si>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</si>
  <si>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</si>
  <si>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</si>
  <si>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</si>
  <si>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</si>
  <si>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</si>
  <si>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</si>
  <si>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</si>
  <si>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</si>
  <si>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</si>
  <si>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</si>
  <si>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</si>
  <si>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</si>
  <si>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</si>
  <si>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</si>
  <si>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</si>
  <si>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Xavier McDonald</t>
  </si>
  <si>
    <t>Murfreesboro Road</t>
  </si>
  <si>
    <t>A 16-year-old robbery suspect was shot and killed by police in Nashville when he opened fire on officers who tried to use a stun gun to subdue him, authorities said.</t>
  </si>
  <si>
    <t>Dennis Grisgby</t>
  </si>
  <si>
    <t>2700 Page Street</t>
  </si>
  <si>
    <t>Bowie</t>
  </si>
  <si>
    <t>Texarkana, Texas Police Department</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</si>
  <si>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</si>
  <si>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</si>
  <si>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</si>
  <si>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</si>
  <si>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</si>
  <si>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</si>
  <si>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</si>
  <si>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</si>
  <si>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</si>
  <si>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</si>
  <si>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Daniel Torres</t>
  </si>
  <si>
    <t>901 Black Cherry Drive</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</si>
  <si>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</si>
  <si>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</si>
  <si>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</si>
  <si>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Charles Gluchacki</t>
  </si>
  <si>
    <t>25000 Highway 74</t>
  </si>
  <si>
    <t>Perris</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</si>
  <si>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</si>
  <si>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</si>
  <si>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Michael Rodriguez</t>
  </si>
  <si>
    <t>S.W. 6th and Buchanan</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</si>
  <si>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</si>
  <si>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</si>
  <si>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</si>
  <si>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</si>
  <si>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</si>
  <si>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</si>
  <si>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</si>
  <si>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</si>
  <si>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Logan Patrick Hall</t>
  </si>
  <si>
    <t>14 Plaza Dr</t>
  </si>
  <si>
    <t>Mount Vernon Police Department</t>
  </si>
  <si>
    <t>Three officers were responding to a domestic dispute at the time when one of them shot and killed Logan Hall.</t>
  </si>
  <si>
    <t>http://www.10tv.com/content/stories/2014/12/13/mount-vernon-ohio--one-person-dies-in-mount-vernon-police-involved-shooting.html</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</si>
  <si>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</si>
  <si>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</si>
  <si>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</si>
  <si>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</si>
  <si>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</si>
  <si>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</si>
  <si>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</si>
  <si>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</si>
  <si>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</si>
  <si>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</si>
  <si>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</si>
  <si>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</si>
  <si>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</si>
  <si>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</si>
  <si>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</si>
  <si>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</si>
  <si>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</si>
  <si>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</si>
  <si>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</si>
  <si>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33410</t>
  </si>
  <si>
    <t>Palm Beach Gardens Police Department</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</si>
  <si>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</si>
  <si>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</si>
  <si>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Travis Faison</t>
  </si>
  <si>
    <t>http://www.wral.com/news/local/video/14265929/</t>
  </si>
  <si>
    <t>600 Magnolia St</t>
  </si>
  <si>
    <t>Sanford</t>
  </si>
  <si>
    <t>27330</t>
  </si>
  <si>
    <t>Lee</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</si>
  <si>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</si>
  <si>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</si>
  <si>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</si>
  <si>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</si>
  <si>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</si>
  <si>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</si>
  <si>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</si>
  <si>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The shooting occurred following a police chase. Its unclear what prompted the police to fire on the suspect.</t>
  </si>
  <si>
    <t>Calvin Peters</t>
  </si>
  <si>
    <t>770 Eastern Parkway</t>
  </si>
  <si>
    <t>11213</t>
  </si>
  <si>
    <t>Man attacked student with knife. At first put knife down when confronted by police, but then picked it back up and charged at police.</t>
  </si>
  <si>
    <t>http://www.nydailynews.com/new-york/nyc-crime/student-stabbed-chabad-lubavitch-crown-heights-article-1.2038761</t>
  </si>
  <si>
    <t>John Laco</t>
  </si>
  <si>
    <t>http://cdn.abclocal.go.com/content/wls/images/cms/automation/vod/429585_630x354.jpg</t>
  </si>
  <si>
    <t>3701 Fairview Ave</t>
  </si>
  <si>
    <t>Lake Station</t>
  </si>
  <si>
    <t>46405</t>
  </si>
  <si>
    <t>Lake Station Police Department</t>
  </si>
  <si>
    <t>After being instructed to drop his weapon, police allege Laco stepped out of the vehicle, pointed his weapon at the officers and rifled off multiple shots, misfiring and breaking a library window instead. Laco was struck and killed by police gunfire on the scene.</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</si>
  <si>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</si>
  <si>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</si>
  <si>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</si>
  <si>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</si>
  <si>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</si>
  <si>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Christopher Bernard Doss</t>
  </si>
  <si>
    <t>508 Roosevelt Ave.</t>
  </si>
  <si>
    <t>78210</t>
  </si>
  <si>
    <t>Police were serving a warrant on a homicide suspect when he reached for his gun, resulting in a deputy shooting him.</t>
  </si>
  <si>
    <t>http://www.ksat.com/content/pns/ksat/news/2014/12/08/police-respond-to-officer-involved-shooting.html</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</si>
  <si>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</si>
  <si>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</si>
  <si>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</si>
  <si>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</si>
  <si>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</si>
  <si>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</si>
  <si>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</si>
  <si>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</si>
  <si>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</si>
  <si>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</si>
  <si>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</si>
  <si>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</si>
  <si>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</si>
  <si>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Joshua David Merritt</t>
  </si>
  <si>
    <t>https://ncflindependent.files.wordpress.com/2014/12/merritt.jpg?w=300&amp;h=225</t>
  </si>
  <si>
    <t>97119 Pirate’s Way</t>
  </si>
  <si>
    <t>Yulee</t>
  </si>
  <si>
    <t>32097</t>
  </si>
  <si>
    <t>Nassau</t>
  </si>
  <si>
    <t>Nassau County Sheriff's Office</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</si>
  <si>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</si>
  <si>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</si>
  <si>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Guadalupe Ochoa-Manzo</t>
  </si>
  <si>
    <t>Springfield Street</t>
  </si>
  <si>
    <t>94603</t>
  </si>
  <si>
    <t>San Leandro Police Department</t>
  </si>
  <si>
    <t>Shot dead by San Leandro police after she allegedly rammed several police cars at the end of a chase.</t>
  </si>
  <si>
    <t>http://www.sfgate.com/crime/article/Woman-shot-dead-by-San-Leandro-police-IDd-5964308.php</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</si>
  <si>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</si>
  <si>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</si>
  <si>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</si>
  <si>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</si>
  <si>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</si>
  <si>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</si>
  <si>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</si>
  <si>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</si>
  <si>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</si>
  <si>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</si>
  <si>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</si>
  <si>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</si>
  <si>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</si>
  <si>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Craven</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</si>
  <si>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</si>
  <si>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</si>
  <si>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</si>
  <si>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</si>
  <si>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</si>
  <si>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</si>
  <si>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</si>
  <si>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</si>
  <si>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</si>
  <si>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David Scott Wear</t>
  </si>
  <si>
    <t>Hollywood Boulevard and North Highland Avenue</t>
  </si>
  <si>
    <t>When they arrived on scene, officers found a man armed with a knife. When he saw the officers, he approached them and an office- involved shooting occurred.</t>
  </si>
  <si>
    <t>Franklin Lee</t>
  </si>
  <si>
    <t>115 16th Avenue Northeast</t>
  </si>
  <si>
    <t>Cairo</t>
  </si>
  <si>
    <t>39828</t>
  </si>
  <si>
    <t>Cairo Police Department</t>
  </si>
  <si>
    <t>Pepper Spray</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</si>
  <si>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</si>
  <si>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</si>
  <si>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</si>
  <si>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</si>
  <si>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</si>
  <si>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Service</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</si>
  <si>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</si>
  <si>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</si>
  <si>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</si>
  <si>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</si>
  <si>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</si>
  <si>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</si>
  <si>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</si>
  <si>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</si>
  <si>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</si>
  <si>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</si>
  <si>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</si>
  <si>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</si>
  <si>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</si>
  <si>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</si>
  <si>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</si>
  <si>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</si>
  <si>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</si>
  <si>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</si>
  <si>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</si>
  <si>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</si>
  <si>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</si>
  <si>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</si>
  <si>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</si>
  <si>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</si>
  <si>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</si>
  <si>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</si>
  <si>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</si>
  <si>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</si>
  <si>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</si>
  <si>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</si>
  <si>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</si>
  <si>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</si>
  <si>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</si>
  <si>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</si>
  <si>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Gilbert Reyna</t>
  </si>
  <si>
    <t>6033 Camp Bowie Blvd</t>
  </si>
  <si>
    <t>A police officer late Tuesday fatally shot a robbery suspect who charged at officers with a baseball bat and screwdriver, police said.</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</si>
  <si>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</si>
  <si>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</si>
  <si>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</si>
  <si>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</si>
  <si>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</si>
  <si>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</si>
  <si>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85023</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</si>
  <si>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</si>
  <si>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</si>
  <si>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William Mark Jones</t>
  </si>
  <si>
    <t>http://www.revelsfh.com/obituaries/uploads/OI704925068_williamjones001.jpg</t>
  </si>
  <si>
    <t>1400 Snipes Road</t>
  </si>
  <si>
    <t>Red Springs</t>
  </si>
  <si>
    <t>Robeson</t>
  </si>
  <si>
    <t>Robeson County Sheriff's Office</t>
  </si>
  <si>
    <t>Authorities said Jones was shirtless, walking erratically and bleeding. The deputies used a stun gun on Jones after authorities said he was uncooperative. Jones then died.</t>
  </si>
  <si>
    <t>http://www.wncn.com/story/27530139/man-dies-after-being-shot-with-stun-gun-by-deputies</t>
  </si>
  <si>
    <t>Fiyaz Hussain</t>
  </si>
  <si>
    <t>3300 Pebble Trace Drive</t>
  </si>
  <si>
    <t>The deputies were approaching when the man suddenly jumped up between the two homes and began shooting. The training officer fired back.</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</si>
  <si>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</si>
  <si>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</si>
  <si>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</si>
  <si>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</si>
  <si>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John Pepper</t>
  </si>
  <si>
    <t>http://whns.images.worldnow.com/images/6120521_G.jpg</t>
  </si>
  <si>
    <t>Brogan Avenue</t>
  </si>
  <si>
    <t>29625</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</si>
  <si>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</si>
  <si>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</si>
  <si>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</si>
  <si>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</si>
  <si>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</si>
  <si>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</si>
  <si>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</si>
  <si>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</si>
  <si>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</si>
  <si>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</si>
  <si>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</si>
  <si>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</si>
  <si>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</si>
  <si>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</si>
  <si>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</si>
  <si>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</si>
  <si>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</si>
  <si>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</si>
  <si>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</si>
  <si>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</si>
  <si>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</si>
  <si>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</si>
  <si>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</si>
  <si>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</si>
  <si>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Samuel Torres</t>
  </si>
  <si>
    <t>5320 Schaefer Road</t>
  </si>
  <si>
    <t>Dearborn</t>
  </si>
  <si>
    <t>48126</t>
  </si>
  <si>
    <t>Dearborn Police Department</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</si>
  <si>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</si>
  <si>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</si>
  <si>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Detroit police officers trailed the man to Macy's Cleaners at 5320 Schaefer Road in Dearborn. Police say he pulled a gun on officers, who then shot and killed him inside the business.</t>
  </si>
  <si>
    <t>http://www.clickondetroit.com/news/detroit-police-shoot-kill-murder-suspect-in-dearborn/29970548</t>
  </si>
  <si>
    <t>Myles Roughsurface</t>
  </si>
  <si>
    <t>http://extras.mnginteractive.com/live/media/site567/2014/1201/20141201__TDT-L-SHOOTER-1202~p2_200.jpg</t>
  </si>
  <si>
    <t>Rd 3267</t>
  </si>
  <si>
    <t>Aztec</t>
  </si>
  <si>
    <t>87410</t>
  </si>
  <si>
    <t>San Juan</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</si>
  <si>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</si>
  <si>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</si>
  <si>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</si>
  <si>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</si>
  <si>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</si>
  <si>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</si>
  <si>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</si>
  <si>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</si>
  <si>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</si>
  <si>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</si>
  <si>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</si>
  <si>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</si>
  <si>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</si>
  <si>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</si>
  <si>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</si>
  <si>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</si>
  <si>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</si>
  <si>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</si>
  <si>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</si>
  <si>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</si>
  <si>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</si>
  <si>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</si>
  <si>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</si>
  <si>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</si>
  <si>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</si>
  <si>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</si>
  <si>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</si>
  <si>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Mendocino</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</si>
  <si>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</si>
  <si>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</si>
  <si>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http://www.pressdemocrat.com/home/3173492-181/fort-bragg-man-dies-after</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</si>
  <si>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</si>
  <si>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</si>
  <si>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</si>
  <si>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</si>
  <si>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</si>
  <si>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</si>
  <si>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</si>
  <si>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</si>
  <si>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</si>
  <si>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</si>
  <si>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</si>
  <si>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</si>
  <si>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</si>
  <si>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</si>
  <si>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</si>
  <si>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</si>
  <si>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</si>
  <si>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</si>
  <si>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</si>
  <si>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</si>
  <si>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</si>
  <si>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</si>
  <si>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</si>
  <si>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Robert Edwin Eaves</t>
  </si>
  <si>
    <t>http://media-cdn.timesfreepress.com/img/photos/2014/11/26/dedeff_t755_hfe3bdacfda1dab10e97dcd836c1bb67e33b147cf.jpg</t>
  </si>
  <si>
    <t>1009 Phillips St SW</t>
  </si>
  <si>
    <t>37311</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</si>
  <si>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</si>
  <si>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</si>
  <si>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</si>
  <si>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</si>
  <si>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</si>
  <si>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</si>
  <si>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</si>
  <si>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</si>
  <si>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</si>
  <si>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</si>
  <si>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</si>
  <si>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</si>
  <si>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</si>
  <si>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</si>
  <si>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</si>
  <si>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</si>
  <si>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</si>
  <si>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</si>
  <si>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</si>
  <si>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</si>
  <si>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</si>
  <si>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92596</t>
  </si>
  <si>
    <t>Hall fired a shot from his rifle after arguing with his wife, prompting 911 calls. When officers arrived Hall would not come out side. Eventually, Hall raised the rifle towards deputies - the deputies shot and killed him.</t>
  </si>
  <si>
    <t>http://www.myvalleynews.com/story/74801/</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</si>
  <si>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</si>
  <si>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</si>
  <si>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</si>
  <si>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</si>
  <si>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</si>
  <si>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</si>
  <si>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Donald R. Wendt</t>
  </si>
  <si>
    <t>http://tbo.com/storyimage/TB/20141124/ARTICLE/141129638/AR/0/AR-141129638.jpg</t>
  </si>
  <si>
    <t>3300 Oxford Drive West</t>
  </si>
  <si>
    <t>34205</t>
  </si>
  <si>
    <t>Bradenton Police Department</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</si>
  <si>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</si>
  <si>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</si>
  <si>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</si>
  <si>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</si>
  <si>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</si>
  <si>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</si>
  <si>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</si>
  <si>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</si>
  <si>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</si>
  <si>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</si>
  <si>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</si>
  <si>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</si>
  <si>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</si>
  <si>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</si>
  <si>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</si>
  <si>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</si>
  <si>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</si>
  <si>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Nestor Cruz-Ciriaco</t>
  </si>
  <si>
    <t>http://www.altavistamortuary.com/sitemaker/memsol_data/1012/1465585/1465585_profile_pic.jpg</t>
  </si>
  <si>
    <t>1600 Laguna St</t>
  </si>
  <si>
    <t>Seaside</t>
  </si>
  <si>
    <t>93955</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</si>
  <si>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</si>
  <si>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</si>
  <si>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</si>
  <si>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</si>
  <si>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</si>
  <si>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</si>
  <si>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</si>
  <si>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</si>
  <si>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</si>
  <si>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</si>
  <si>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</si>
  <si>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</si>
  <si>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</si>
  <si>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</si>
  <si>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</si>
  <si>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</si>
  <si>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</si>
  <si>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</si>
  <si>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</si>
  <si>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</si>
  <si>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</si>
  <si>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</si>
  <si>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</si>
  <si>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</si>
  <si>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</si>
  <si>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</si>
  <si>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</si>
  <si>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</si>
  <si>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</si>
  <si>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</si>
  <si>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</si>
  <si>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</si>
  <si>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</si>
  <si>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</si>
  <si>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</si>
  <si>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</si>
  <si>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</si>
  <si>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</si>
  <si>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</si>
  <si>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</si>
  <si>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</si>
  <si>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</si>
  <si>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</si>
  <si>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</si>
  <si>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</si>
  <si>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</si>
  <si>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</si>
  <si>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</si>
  <si>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</si>
  <si>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</si>
  <si>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</si>
  <si>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Charles Marcus McCauley</t>
  </si>
  <si>
    <t>http://www.gannett-cdn.com/-mm-/ab801debccc306d2cc35cbac20daebb2a1dd048c/c=1-0-300-398&amp;r=183&amp;c=0-0-180-238/local/-/media/LAGroup/Shreveport/2014/11/22/635522173605110281-charlesmccauley.jpg</t>
  </si>
  <si>
    <t>2911 Centenary Boulevard</t>
  </si>
  <si>
    <t>Shrevport</t>
  </si>
  <si>
    <t>71104</t>
  </si>
  <si>
    <t>Caddo</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</si>
  <si>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</si>
  <si>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</si>
  <si>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</si>
  <si>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</si>
  <si>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</si>
  <si>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</si>
  <si>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</si>
  <si>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</si>
  <si>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</si>
  <si>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</si>
  <si>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</si>
  <si>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</si>
  <si>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</si>
  <si>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</si>
  <si>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</si>
  <si>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Elton R. Loughrey Jr.</t>
  </si>
  <si>
    <t>http://kfvs12.images.worldnow.com/images/5941213_G.jpg</t>
  </si>
  <si>
    <t>Clark St</t>
  </si>
  <si>
    <t>Clarkton</t>
  </si>
  <si>
    <t>63837</t>
  </si>
  <si>
    <t>Dunklin</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</si>
  <si>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</si>
  <si>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</si>
  <si>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</si>
  <si>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Vincent Martinez</t>
  </si>
  <si>
    <t>http://images.onset.freedom.com/pressenterprise/gallery/nfd7ve-b88265671z.120141120172144000gls6f9lc.10.jpg</t>
  </si>
  <si>
    <t>10400 Keller Avenue</t>
  </si>
  <si>
    <t>92505</t>
  </si>
  <si>
    <t>Riverside Police Department</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</si>
  <si>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</si>
  <si>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</si>
  <si>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</si>
  <si>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</si>
  <si>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</si>
  <si>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</si>
  <si>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</si>
  <si>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</si>
  <si>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</si>
  <si>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</si>
  <si>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</si>
  <si>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</si>
  <si>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Fayetteville</t>
  </si>
  <si>
    <t>28311</t>
  </si>
  <si>
    <t>Fayetteville Police Department</t>
  </si>
  <si>
    <t>McBennett suffered from depression and was committed three times 6 months before his death. On the day of his death McBennett fired shots at officers - officers retaliated, killing McBennett.</t>
  </si>
  <si>
    <t>Kashawn Leonard</t>
  </si>
  <si>
    <t>2900 block Wire Grass Road</t>
  </si>
  <si>
    <t>Lumberton</t>
  </si>
  <si>
    <t>28358</t>
  </si>
  <si>
    <t>Police spokespeople drew a careful distinction between "following" (which they admitted to doing at 80 MPH) and "pursuing" (which they denied) the "suspicious" vehicle which then rammed head-on into an empty school bus. Dead were all four occupants: Kadaufei Worley, Tylek McNair, Kashawn Leonard, and Daylon Cummings.</t>
  </si>
  <si>
    <t>http://www.wral.com/guns-found-in-wreckage-at-site-of-fatal-robeson-crash/14196988/</t>
  </si>
  <si>
    <t>Kadaufei Worley</t>
  </si>
  <si>
    <t>Tylek McNair</t>
  </si>
  <si>
    <t>Daylon Cummings</t>
  </si>
  <si>
    <t>Thomas Read</t>
  </si>
  <si>
    <t>400 South Main Street</t>
  </si>
  <si>
    <t>Phillipsburg</t>
  </si>
  <si>
    <t>08865</t>
  </si>
  <si>
    <t>Warren</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</si>
  <si>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</si>
  <si>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</si>
  <si>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Cecil Chaney Tinker-Smith</t>
  </si>
  <si>
    <t>5765 Mosquito Lake Rd</t>
  </si>
  <si>
    <t>Deming</t>
  </si>
  <si>
    <t>98244</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</si>
  <si>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</si>
  <si>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</si>
  <si>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</si>
  <si>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</si>
  <si>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</si>
  <si>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</si>
  <si>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</si>
  <si>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</si>
  <si>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</si>
  <si>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</si>
  <si>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</si>
  <si>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</si>
  <si>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</si>
  <si>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</si>
  <si>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</si>
  <si>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</si>
  <si>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</si>
  <si>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</si>
  <si>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</si>
  <si>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</si>
  <si>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</si>
  <si>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</si>
  <si>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</si>
  <si>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</si>
  <si>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</si>
  <si>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</si>
  <si>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</si>
  <si>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Lenny Miles</t>
  </si>
  <si>
    <t>http://pioneernewsgroup.com/klamathmostwanted/wp-content/uploads/sites/14/2014/06/Miles-Lenny.jpg</t>
  </si>
  <si>
    <t>Shasta Way and Summers Lane</t>
  </si>
  <si>
    <t>Klamath Falls</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</si>
  <si>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</si>
  <si>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</si>
  <si>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</si>
  <si>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</si>
  <si>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</si>
  <si>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John R. Smelko</t>
  </si>
  <si>
    <t>http://media.cmgdigital.com/shared/lt/lt_cache/thumbnail/188/img/photos/2014/11/17/a4/51/IMG_06631.jpg</t>
  </si>
  <si>
    <t>1101 Huffman Ave</t>
  </si>
  <si>
    <t>45403</t>
  </si>
  <si>
    <t>Dayton Police Department</t>
  </si>
  <si>
    <t>After a disconnected 911 call officers arrived at a home to Smelko pointing a gun at them. The police then shot and killed Smelko.</t>
  </si>
  <si>
    <t>http://www.whio.com/news/news/crime-law/dayton-police-investigate-shooting-on-huffman-ave/nh8bY/</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</si>
  <si>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</si>
  <si>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</si>
  <si>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</si>
  <si>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</si>
  <si>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</si>
  <si>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</si>
  <si>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Sharrinder Garcha</t>
  </si>
  <si>
    <t>http://www.expressandstar.com/wpmvc/wp/wp-content/uploads/2014/12/Shooting-injured-cop1.jpg</t>
  </si>
  <si>
    <t>16315 County Highway J</t>
  </si>
  <si>
    <t>Chippewa Falls</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</si>
  <si>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</si>
  <si>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</si>
  <si>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</si>
  <si>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</si>
  <si>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</si>
  <si>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Wesley Castillo</t>
  </si>
  <si>
    <t>376 Center St.</t>
  </si>
  <si>
    <t>Chula Vista</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</si>
  <si>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</si>
  <si>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</si>
  <si>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</si>
  <si>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</si>
  <si>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William F. McNulty</t>
  </si>
  <si>
    <t>http://media.philly.com/images/william_f_mcnulty.jpg</t>
  </si>
  <si>
    <t>Harvey Road and Garfield Avenue</t>
  </si>
  <si>
    <t>Delaware State Police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</si>
  <si>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</si>
  <si>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</si>
  <si>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Shonda E. Mikelson</t>
  </si>
  <si>
    <t>http://www.keehrfuneralhome.com/obituaries/uploads/OI992847254_ShondaJohnsonMikelsonoval2014.png</t>
  </si>
  <si>
    <t>603 Main St.</t>
  </si>
  <si>
    <t>Boyceville</t>
  </si>
  <si>
    <t>54725</t>
  </si>
  <si>
    <t>Dunn</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</si>
  <si>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</si>
  <si>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</si>
  <si>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</si>
  <si>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</si>
  <si>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</si>
  <si>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</si>
  <si>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</si>
  <si>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</si>
  <si>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</si>
  <si>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</si>
  <si>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</si>
  <si>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</si>
  <si>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08618</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</si>
  <si>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</si>
  <si>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</si>
  <si>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Ramiro James Villegas</t>
  </si>
  <si>
    <t>https://s.yimg.com/lo/api/res/1.2/iE2VwQeSY4f8FyQnJbvkfg--/YXBwaWQ9eXZpZGVvZmVlZHM7Zmk9ZmlsbDtoPTUzODt3PTk1Ng--/http://media.zenfs.com/en-US/video/video.scripps.com/5EAA9B49E667440DAE5CEEBB0536928F_large_image.jpg</t>
  </si>
  <si>
    <t>CA 178 and Mt. Vernon</t>
  </si>
  <si>
    <t>93306</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</si>
  <si>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</si>
  <si>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</si>
  <si>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</si>
  <si>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</si>
  <si>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</si>
  <si>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</si>
  <si>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</si>
  <si>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</si>
  <si>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</si>
  <si>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</si>
  <si>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</si>
  <si>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</si>
  <si>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</si>
  <si>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</si>
  <si>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</si>
  <si>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</si>
  <si>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</si>
  <si>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</si>
  <si>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</si>
  <si>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Jose Avalos</t>
  </si>
  <si>
    <t>1975 Diamond Boulevard</t>
  </si>
  <si>
    <t>Concord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</si>
  <si>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</si>
  <si>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</si>
  <si>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</si>
  <si>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</si>
  <si>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</si>
  <si>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</si>
  <si>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</si>
  <si>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</si>
  <si>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</si>
  <si>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</si>
  <si>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</si>
  <si>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David Daniel McBrayer</t>
  </si>
  <si>
    <t>http://wbma.images.worldnow.com/images/5750208_G.jpg</t>
  </si>
  <si>
    <t>Nisbet St NW</t>
  </si>
  <si>
    <t>36265</t>
  </si>
  <si>
    <t>Calhoun</t>
  </si>
  <si>
    <t>McBrayar had a knife in his hand. He disobeyed officers orders to drop it. McBrayar then pointed the knife in an officer's direction prompting an officer to shoot and kill him.</t>
  </si>
  <si>
    <t>http://www.abc3340.com/story/27361816/officer-involved-shooting-killed-one-man</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</si>
  <si>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</si>
  <si>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</si>
  <si>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</si>
  <si>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</si>
  <si>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</si>
  <si>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</si>
  <si>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</si>
  <si>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</si>
  <si>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</si>
  <si>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</si>
  <si>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</si>
  <si>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</si>
  <si>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</si>
  <si>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Richard Lee Snouffer II</t>
  </si>
  <si>
    <t>1308 Rankin Mill Road</t>
  </si>
  <si>
    <t>McLeansville</t>
  </si>
  <si>
    <t>27301</t>
  </si>
  <si>
    <t>Guilford County Sheriff's Office</t>
  </si>
  <si>
    <t>Motorcyclist Snouffer was being chased at high speed by county deputies when his bike struck a road sign, propelling him into a cemetery fence and killing him.</t>
  </si>
  <si>
    <t>David Yearby</t>
  </si>
  <si>
    <t>U.S. 130</t>
  </si>
  <si>
    <t>North Brunswick</t>
  </si>
  <si>
    <t>Middlesex County Sheriff's Office</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</si>
  <si>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</si>
  <si>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</si>
  <si>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</si>
  <si>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</si>
  <si>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</si>
  <si>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</si>
  <si>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</si>
  <si>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</si>
  <si>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</si>
  <si>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</si>
  <si>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</si>
  <si>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</si>
  <si>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</si>
  <si>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</si>
  <si>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</si>
  <si>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</si>
  <si>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</si>
  <si>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</si>
  <si>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</si>
  <si>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</si>
  <si>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</si>
  <si>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</si>
  <si>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</si>
  <si>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</si>
  <si>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</si>
  <si>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</si>
  <si>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</si>
  <si>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</si>
  <si>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</si>
  <si>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</si>
  <si>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</si>
  <si>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</si>
  <si>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</si>
  <si>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</si>
  <si>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</si>
  <si>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</si>
  <si>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</si>
  <si>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</si>
  <si>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</si>
  <si>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85051</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</si>
  <si>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</si>
  <si>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</si>
  <si>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</si>
  <si>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</si>
  <si>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</si>
  <si>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</si>
  <si>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</si>
  <si>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</si>
  <si>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</si>
  <si>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</si>
  <si>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</si>
  <si>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</si>
  <si>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</si>
  <si>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</si>
  <si>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Carlos Davenport</t>
  </si>
  <si>
    <t>1100 Washington Ave.</t>
  </si>
  <si>
    <t>66102</t>
  </si>
  <si>
    <t>Suspect reportedly charged at officers with a sword who were responding to a 911 call of a man who was attempting to stab a woman.</t>
  </si>
  <si>
    <t>http://www.kansascity.com/news/local/crime/article3688180.html</t>
  </si>
  <si>
    <t>Joy Ann Sherman</t>
  </si>
  <si>
    <t>1221 South Burr St</t>
  </si>
  <si>
    <t>57301</t>
  </si>
  <si>
    <t>Davison</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</si>
  <si>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</si>
  <si>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</si>
  <si>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</si>
  <si>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</si>
  <si>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</si>
  <si>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</si>
  <si>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</si>
  <si>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</si>
  <si>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</si>
  <si>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</si>
  <si>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</si>
  <si>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</si>
  <si>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</si>
  <si>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</si>
  <si>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</si>
  <si>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</si>
  <si>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</si>
  <si>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</si>
  <si>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</si>
  <si>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</si>
  <si>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</si>
  <si>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</si>
  <si>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</si>
  <si>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</si>
  <si>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</si>
  <si>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</si>
  <si>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</si>
  <si>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Cinque D'Jahspora</t>
  </si>
  <si>
    <t>http://media.tumblr.com/03f86212c2c09bd0996d13d043e9d451/tumblr_inline_nfz9zkbP2A1ruklg0.jpg</t>
  </si>
  <si>
    <t>1104 N Parkway</t>
  </si>
  <si>
    <t>38305</t>
  </si>
  <si>
    <t>Jackson Police Department</t>
  </si>
  <si>
    <t>Shot and killed after stabbing a police officer.</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</si>
  <si>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</si>
  <si>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</si>
  <si>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</si>
  <si>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</si>
  <si>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</si>
  <si>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</si>
  <si>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William Forrest Spargur II</t>
  </si>
  <si>
    <t>http://www.chapelofthevalleymortuary.com/obituaries/uploads/OI1192741749_101.jpg</t>
  </si>
  <si>
    <t>Rancho Vista Boulevard and Cricket Lane</t>
  </si>
  <si>
    <t>Palmdale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</si>
  <si>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</si>
  <si>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</si>
  <si>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</si>
  <si>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Daniel Young</t>
  </si>
  <si>
    <t>100 E. 400 S.</t>
  </si>
  <si>
    <t>Jerome</t>
  </si>
  <si>
    <t>Young had a handgun. Officials have not said if Young threatened the deputies or released any other information about the events leading up to the shooting.</t>
  </si>
  <si>
    <t>Robert William Hampton III</t>
  </si>
  <si>
    <t>Terrace Drive and College Drive</t>
  </si>
  <si>
    <t>89503</t>
  </si>
  <si>
    <t>Washoe</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</si>
  <si>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</si>
  <si>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</si>
  <si>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Anthony Laviolette</t>
  </si>
  <si>
    <t>West Powerhouse Rd</t>
  </si>
  <si>
    <t>Yakima</t>
  </si>
  <si>
    <t>Yakima County Sheriff's Office</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</si>
  <si>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</si>
  <si>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Ernest F. McKnight Jr.</t>
  </si>
  <si>
    <t>Township Road 246</t>
  </si>
  <si>
    <t>Kitts Hall</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</si>
  <si>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</si>
  <si>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</si>
  <si>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</si>
  <si>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</si>
  <si>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</si>
  <si>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</si>
  <si>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</si>
  <si>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</si>
  <si>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</si>
  <si>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</si>
  <si>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</si>
  <si>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</si>
  <si>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</si>
  <si>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</si>
  <si>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</si>
  <si>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</si>
  <si>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</si>
  <si>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</si>
  <si>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</si>
  <si>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</si>
  <si>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</si>
  <si>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</si>
  <si>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</si>
  <si>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</si>
  <si>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</si>
  <si>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</si>
  <si>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</si>
  <si>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</si>
  <si>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</si>
  <si>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</si>
  <si>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</si>
  <si>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</si>
  <si>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</si>
  <si>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</si>
  <si>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</si>
  <si>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</si>
  <si>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</si>
  <si>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</si>
  <si>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</si>
  <si>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</si>
  <si>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</si>
  <si>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</si>
  <si>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</si>
  <si>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</si>
  <si>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</si>
  <si>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</si>
  <si>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</si>
  <si>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Jesus Zuriel Orduno Luviano</t>
  </si>
  <si>
    <t>Highwayy 111 and Shields Road</t>
  </si>
  <si>
    <t>Indio</t>
  </si>
  <si>
    <t>92201</t>
  </si>
  <si>
    <t>Indio Police Department</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</si>
  <si>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</si>
  <si>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</si>
  <si>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</si>
  <si>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</si>
  <si>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</si>
  <si>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</si>
  <si>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</si>
  <si>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</si>
  <si>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</si>
  <si>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</si>
  <si>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</si>
  <si>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</si>
  <si>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</si>
  <si>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</si>
  <si>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Francisco David Galvez</t>
  </si>
  <si>
    <t>http://ak-cache.legacy.net/legacy/images/Cobrands/Tucson/Photos/0008306697-01_20141106.jpg</t>
  </si>
  <si>
    <t>N 1st Ave &amp; E Navajo Rd</t>
  </si>
  <si>
    <t>85705</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</si>
  <si>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</si>
  <si>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</si>
  <si>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</si>
  <si>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 xml:space="preserve">Rodrigo Cabral, 27, was celebrating Halloween early Saturday morning in Visalia. He was in the middle of the road, according to police, when he was struck by a police car. </t>
  </si>
  <si>
    <t>http://abc30.com/news/man-struck-killed-by-visalia-police-car/376708/</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</si>
  <si>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</si>
  <si>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</si>
  <si>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</si>
  <si>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</si>
  <si>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</si>
  <si>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</si>
  <si>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</si>
  <si>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</si>
  <si>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</si>
  <si>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90802</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</si>
  <si>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</si>
  <si>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</si>
  <si>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Jaime Garcia</t>
  </si>
  <si>
    <t>400 N. Madeira Ave.</t>
  </si>
  <si>
    <t>Salinas</t>
  </si>
  <si>
    <t>93905</t>
  </si>
  <si>
    <t>Salinas Police Department</t>
  </si>
  <si>
    <t>Taser, Unknown Medical Issue</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</si>
  <si>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</si>
  <si>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</si>
  <si>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</si>
  <si>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</si>
  <si>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</si>
  <si>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</si>
  <si>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</si>
  <si>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</si>
  <si>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</si>
  <si>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</si>
  <si>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</si>
  <si>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</si>
  <si>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</si>
  <si>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</si>
  <si>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</si>
  <si>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</si>
  <si>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</si>
  <si>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</si>
  <si>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</si>
  <si>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</si>
  <si>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Clinton</t>
  </si>
  <si>
    <t>New York State Troopers</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</si>
  <si>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</si>
  <si>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</si>
  <si>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</si>
  <si>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</si>
  <si>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</si>
  <si>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</si>
  <si>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</si>
  <si>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</si>
  <si>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</si>
  <si>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</si>
  <si>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</si>
  <si>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Angel Frescas</t>
  </si>
  <si>
    <t>http://ksaz.images.worldnow.com/images/5435770_G.jpg</t>
  </si>
  <si>
    <t>2601 East Roosevelt Street</t>
  </si>
  <si>
    <t>85008</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</si>
  <si>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</si>
  <si>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</si>
  <si>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Roger Shipton</t>
  </si>
  <si>
    <t>500 El Mar Court</t>
  </si>
  <si>
    <t>Suisun City</t>
  </si>
  <si>
    <t>94585</t>
  </si>
  <si>
    <t>Suisun City Police Department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</si>
  <si>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</si>
  <si>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</si>
  <si>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Richard Thomas Bergeron</t>
  </si>
  <si>
    <t>http://bloximages.newyork1.vip.townnews.com/newsadvance.com/content/tncms/assets/v3/editorial/3/9e/39e0eda6-646b-11e4-add8-001a4bcf6878/545947fa7640e.image.jpg</t>
  </si>
  <si>
    <t>1625 Teass Terrace</t>
  </si>
  <si>
    <t>24523</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</si>
  <si>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</si>
  <si>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</si>
  <si>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</si>
  <si>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</si>
  <si>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</si>
  <si>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</si>
  <si>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</si>
  <si>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</si>
  <si>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</si>
  <si>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Jeremy Martin</t>
  </si>
  <si>
    <t>https://lintvkrqe.files.wordpress.com/2014/10/jeremy-martin-so.jpg?w=150&amp;h=112</t>
  </si>
  <si>
    <t>705 South Telshor Boulevard</t>
  </si>
  <si>
    <t>88011</t>
  </si>
  <si>
    <t>Doña Ana</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</si>
  <si>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</si>
  <si>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</si>
  <si>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</si>
  <si>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Christopher Mason McCray</t>
  </si>
  <si>
    <t>http://wbtw.images.worldnow.com/images/5444427_G.jpg</t>
  </si>
  <si>
    <t>All American Highway and Cliffdale Road</t>
  </si>
  <si>
    <t>28314</t>
  </si>
  <si>
    <t>North Carolina Highway Patrol</t>
  </si>
  <si>
    <t>McCray ran into the road on the highway around 8pm and a trooper hit him with his car.</t>
  </si>
  <si>
    <t>www.newsobserver.com/2014/10/28/4270642_teen-killed-by-ncshp-cruiser-in.html?rh=1</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</si>
  <si>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</si>
  <si>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</si>
  <si>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</si>
  <si>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</si>
  <si>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</si>
  <si>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Daniel Tyson</t>
  </si>
  <si>
    <t>1800 Jackson Street</t>
  </si>
  <si>
    <t>Hollywood</t>
  </si>
  <si>
    <t>33020</t>
  </si>
  <si>
    <t>Hollywood Police Department</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</si>
  <si>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</si>
  <si>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</si>
  <si>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</si>
  <si>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</si>
  <si>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</si>
  <si>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</si>
  <si>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</si>
  <si>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</si>
  <si>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</si>
  <si>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</si>
  <si>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John Wesley Helvie</t>
  </si>
  <si>
    <t>West 49th Street and 17th Court</t>
  </si>
  <si>
    <t>Hialeah</t>
  </si>
  <si>
    <t>Hialeah Police Department</t>
  </si>
  <si>
    <t>Police found the vehicle and a heavily armed man. Shortly after, he was shot and killed on the scene.</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</si>
  <si>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</si>
  <si>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</si>
  <si>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</si>
  <si>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</si>
  <si>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</si>
  <si>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</si>
  <si>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</si>
  <si>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</si>
  <si>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</si>
  <si>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</si>
  <si>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</si>
  <si>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</si>
  <si>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</si>
  <si>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</si>
  <si>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</si>
  <si>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</si>
  <si>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</si>
  <si>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</si>
  <si>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Florence White</t>
  </si>
  <si>
    <t>5000 Burlington Road</t>
  </si>
  <si>
    <t>Greensboro</t>
  </si>
  <si>
    <t>27405</t>
  </si>
  <si>
    <t>White was crossing the street around 2am when a sheriff struck and killed her with his car.</t>
  </si>
  <si>
    <t>http://www.wfmynews2.com/story/news/local/2014/10/25/pedestrian-dies-killed-after-being-hit-deputy/17900231/</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</si>
  <si>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</si>
  <si>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</si>
  <si>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</si>
  <si>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</si>
  <si>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</si>
  <si>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</si>
  <si>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</si>
  <si>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</si>
  <si>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</si>
  <si>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</si>
  <si>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</si>
  <si>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</si>
  <si>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</si>
  <si>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</si>
  <si>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</si>
  <si>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</si>
  <si>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Daniel Walsh</t>
  </si>
  <si>
    <t>Gothard Street and Ernest Drive</t>
  </si>
  <si>
    <t>Huntington Beach</t>
  </si>
  <si>
    <t>92648</t>
  </si>
  <si>
    <t>Huntington Beach Police Department</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</si>
  <si>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</si>
  <si>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</si>
  <si>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</si>
  <si>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</si>
  <si>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</si>
  <si>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</si>
  <si>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Edgar Amaro López</t>
  </si>
  <si>
    <t>9401 W Hermans Rd</t>
  </si>
  <si>
    <t>85746</t>
  </si>
  <si>
    <t>Lopez was shot and killed after being suspected as being a smuggler and armed with weapons.</t>
  </si>
  <si>
    <t>Rogelio Cisneros-Chavez</t>
  </si>
  <si>
    <t>http://main.abqjournal.netdna-cdn.com/wp-content/uploads/2013/10/R.-Cisneros-Chavez-131x175.jpg</t>
  </si>
  <si>
    <t>600 NM-76</t>
  </si>
  <si>
    <t>Española</t>
  </si>
  <si>
    <t>87532</t>
  </si>
  <si>
    <t>Rio Arriba</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</si>
  <si>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</si>
  <si>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</si>
  <si>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</si>
  <si>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</si>
  <si>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</si>
  <si>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</si>
  <si>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</si>
  <si>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</si>
  <si>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</si>
  <si>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</si>
  <si>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</si>
  <si>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</si>
  <si>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</si>
  <si>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</si>
  <si>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</si>
  <si>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</si>
  <si>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</si>
  <si>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</si>
  <si>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</si>
  <si>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</si>
  <si>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</si>
  <si>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</si>
  <si>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</si>
  <si>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</si>
  <si>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</si>
  <si>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</si>
  <si>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</si>
  <si>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</si>
  <si>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</si>
  <si>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</si>
  <si>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</si>
  <si>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</si>
  <si>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</si>
  <si>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</si>
  <si>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</si>
  <si>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</si>
  <si>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</si>
  <si>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</si>
  <si>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</si>
  <si>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</si>
  <si>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</si>
  <si>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</si>
  <si>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</si>
  <si>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Zale Thompson</t>
  </si>
  <si>
    <t>https://thenypost.files.wordpress.com/2014/10/1414185514092_wps_3_e_justice_photo_1_jpg_101041153-e1414293987917.jpg?w=248&amp;h=300</t>
  </si>
  <si>
    <t>Jamaica Ave &amp; 160th St</t>
  </si>
  <si>
    <t>Thompson, an Islamic extremist, attacked officers with a hatchet and was subsequently shot and killed.</t>
  </si>
  <si>
    <t>Jeremy Bustos</t>
  </si>
  <si>
    <t>https://pbs.twimg.com/media/B0qH-TzIgAAuoT4.jpg</t>
  </si>
  <si>
    <t>W Durango St &amp; S 111th Ave</t>
  </si>
  <si>
    <t>Avondale</t>
  </si>
  <si>
    <t>85323</t>
  </si>
  <si>
    <t>Avondale Police Department</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</si>
  <si>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</si>
  <si>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</si>
  <si>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</si>
  <si>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</si>
  <si>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</si>
  <si>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</si>
  <si>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</si>
  <si>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</si>
  <si>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</si>
  <si>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</si>
  <si>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</si>
  <si>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</si>
  <si>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</si>
  <si>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</si>
  <si>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</si>
  <si>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</si>
  <si>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</si>
  <si>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</si>
  <si>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</si>
  <si>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</si>
  <si>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</si>
  <si>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</si>
  <si>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</si>
  <si>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</si>
  <si>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</si>
  <si>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Jose Calzada</t>
  </si>
  <si>
    <t>5300 South</t>
  </si>
  <si>
    <t>Roy</t>
  </si>
  <si>
    <t>84067</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</si>
  <si>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</si>
  <si>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</si>
  <si>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</si>
  <si>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Laquan McDonald</t>
  </si>
  <si>
    <t>500 N Springfield Ave</t>
  </si>
  <si>
    <t>60624</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</si>
  <si>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</si>
  <si>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</si>
  <si>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</si>
  <si>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</si>
  <si>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</si>
  <si>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</si>
  <si>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</si>
  <si>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</si>
  <si>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</si>
  <si>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</si>
  <si>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</si>
  <si>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</si>
  <si>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</si>
  <si>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</si>
  <si>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</si>
  <si>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</si>
  <si>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</si>
  <si>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Barrera was involved in murdering two people. During a pursuit with Barrera an officer shot Barrera. Barrera died at a hospital.</t>
  </si>
  <si>
    <t>http://www.ocala.com/article/20150120/ARTICLES/150129987</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</si>
  <si>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</si>
  <si>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</si>
  <si>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</si>
  <si>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</si>
  <si>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</si>
  <si>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</si>
  <si>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</si>
  <si>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</si>
  <si>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</si>
  <si>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</si>
  <si>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</si>
  <si>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</si>
  <si>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</si>
  <si>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</si>
  <si>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</si>
  <si>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</si>
  <si>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</si>
  <si>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</si>
  <si>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</si>
  <si>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Benjamin McCoin</t>
  </si>
  <si>
    <t>http://lubbockonline.com/sites/default/files/imagecache/story_slideshow_thumb/13830921.jpg</t>
  </si>
  <si>
    <t>8602 Peach Street</t>
  </si>
  <si>
    <t>Lubbock</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</si>
  <si>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</si>
  <si>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</si>
  <si>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</si>
  <si>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</si>
  <si>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</si>
  <si>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200 block Hillbrook Dr</t>
  </si>
  <si>
    <t>Southaven</t>
  </si>
  <si>
    <t>38671</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</si>
  <si>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</si>
  <si>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</si>
  <si>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</si>
  <si>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</si>
  <si>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</si>
  <si>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</si>
  <si>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</si>
  <si>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</si>
  <si>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</si>
  <si>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</si>
  <si>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</si>
  <si>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</si>
  <si>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</si>
  <si>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</si>
  <si>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</si>
  <si>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</si>
  <si>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</si>
  <si>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</si>
  <si>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</si>
  <si>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</si>
  <si>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</si>
  <si>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</si>
  <si>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</si>
  <si>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</si>
  <si>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</si>
  <si>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</si>
  <si>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</si>
  <si>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</si>
  <si>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</si>
  <si>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</si>
  <si>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</si>
  <si>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</si>
  <si>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</si>
  <si>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</si>
  <si>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</si>
  <si>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</si>
  <si>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</si>
  <si>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</si>
  <si>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</si>
  <si>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</si>
  <si>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</si>
  <si>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</si>
  <si>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</si>
  <si>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</si>
  <si>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</si>
  <si>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</si>
  <si>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</si>
  <si>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</si>
  <si>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</si>
  <si>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</si>
  <si>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Jerry Leon Hermes Jr.</t>
  </si>
  <si>
    <t>http://www.gannett-cdn.com/-mm-/39011bf09ba772ac3abe954c6654c3f0e3373139/c=12-0-415-537&amp;r=537&amp;c=0-0-534-712/local/-/media/KENS/None/2014/10/13/635488022572675699-Jerry-Hermes-Jr.JPG</t>
  </si>
  <si>
    <t>2600 Wosnig Rd</t>
  </si>
  <si>
    <t>78124</t>
  </si>
  <si>
    <t>Guadalupe</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</si>
  <si>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</si>
  <si>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</si>
  <si>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</si>
  <si>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</si>
  <si>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</si>
  <si>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</si>
  <si>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</si>
  <si>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</si>
  <si>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</si>
  <si>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</si>
  <si>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</si>
  <si>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</si>
  <si>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</si>
  <si>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</si>
  <si>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</si>
  <si>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</si>
  <si>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</si>
  <si>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</si>
  <si>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</si>
  <si>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</si>
  <si>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</si>
  <si>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</si>
  <si>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Alan Gillotti Sr.</t>
  </si>
  <si>
    <t>Town Line Rd</t>
  </si>
  <si>
    <t>Ludlow</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</si>
  <si>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</si>
  <si>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</si>
  <si>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</si>
  <si>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Michelle D. Sloyan</t>
  </si>
  <si>
    <t>http://wmctv.images.worldnow.com/images/5171739_G.jpg</t>
  </si>
  <si>
    <t>2900 Bartlett Blvd</t>
  </si>
  <si>
    <t>Bartlett</t>
  </si>
  <si>
    <t>38133</t>
  </si>
  <si>
    <t>Bartlett Police Department</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</si>
  <si>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</si>
  <si>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http://www.wmcactionnews5.com/story/26767055/bartlett-police-cruiser-involved-in-car-crash?autostart=true</t>
  </si>
  <si>
    <t>Danny Floyd</t>
  </si>
  <si>
    <t>Danny Floyd, 63, and Michelle Sloyan, 49, died from injuries sustained in a crash. Floyd was turning at an intersection when Hines' cruiser crashed into him. A witness said the officer had his blue lights on until he sped through the intersection.</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</si>
  <si>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</si>
  <si>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</si>
  <si>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</si>
  <si>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</si>
  <si>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</si>
  <si>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</si>
  <si>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</si>
  <si>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</si>
  <si>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Shannon P. Bryant</t>
  </si>
  <si>
    <t>500 Northeast Greenfield Road</t>
  </si>
  <si>
    <t>64116</t>
  </si>
  <si>
    <t>Officers responded to reports of shots fired. Subject allegedly point a gun at three officers who then fired upon subject.</t>
  </si>
  <si>
    <t>http://www.kansascity.com/news/local/crime/article2912738.html</t>
  </si>
  <si>
    <t>Joseph Elliott</t>
  </si>
  <si>
    <t>5600 E Lancaster Ave</t>
  </si>
  <si>
    <t>76112</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</si>
  <si>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</si>
  <si>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</si>
  <si>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Qusean Whitten</t>
  </si>
  <si>
    <t>http://www.10tv.com/content/graphics/2014/06/10/missing-people-update/Qusean_Whitten-columbus-17-021214.jpg?__scale=w:660,h:500,t:1,c:ffffff,q:90,r:1</t>
  </si>
  <si>
    <t>4050 Alum Creek Dr</t>
  </si>
  <si>
    <t>Police said Whitten and 20-year-old Elisha Glass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</si>
  <si>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</si>
  <si>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Elisha Paul Glass</t>
  </si>
  <si>
    <t>http://ak-cache.legacy.net/legacy/images/Cobrands/Dispatch/Photos/0005927010-01-1_20141015.jpg</t>
  </si>
  <si>
    <t>Police said Glass and 18-year-old Qusean Whitten were among four people involved in the armed robbery of a store police had staked out. Police surrounded the suspects' vehicle and shot and killed Glass and Whitten as they tried to escape.</t>
  </si>
  <si>
    <t>Frank R. Kerr</t>
  </si>
  <si>
    <t>http://www.kvoa.com/images/thumbnails/01279C45D71912A27A71E897FF496DE2_787_442.jpg</t>
  </si>
  <si>
    <t>S 10th Ave &amp; W 36th St</t>
  </si>
  <si>
    <t>85713</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</si>
  <si>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</si>
  <si>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</si>
  <si>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</si>
  <si>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</si>
  <si>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</si>
  <si>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</si>
  <si>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</si>
  <si>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</si>
  <si>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</si>
  <si>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William Thomas Holt</t>
  </si>
  <si>
    <t>http://www.watsongiddensfuneralhome.com/obituaries/uploads/OI1699916608_IMG0749.jpg</t>
  </si>
  <si>
    <t>2500 Lowry Ave. NE</t>
  </si>
  <si>
    <t>Minneapolis</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</si>
  <si>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</si>
  <si>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</si>
  <si>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</si>
  <si>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</si>
  <si>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</si>
  <si>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</si>
  <si>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</si>
  <si>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</si>
  <si>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</si>
  <si>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</si>
  <si>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</si>
  <si>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</si>
  <si>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</si>
  <si>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</si>
  <si>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</si>
  <si>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</si>
  <si>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Ymauo Erwin</t>
  </si>
  <si>
    <t>4200 NW 57th Terrace</t>
  </si>
  <si>
    <t>64151</t>
  </si>
  <si>
    <t>Platte</t>
  </si>
  <si>
    <t>Victim was reportedly involved in a domestic disturbance, brandished a sword-like item and was shot by responding officer.</t>
  </si>
  <si>
    <t>http://www.kansascity.com/news/local/crime/article2650255.html</t>
  </si>
  <si>
    <t>Jason Rogers</t>
  </si>
  <si>
    <t>http://www.serenitytulsa.com/wp-content/uploads/2014/10/JASON-ROGERS.jpeg</t>
  </si>
  <si>
    <t>8829 E. 16th St</t>
  </si>
  <si>
    <t>74112</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</si>
  <si>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</si>
  <si>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</si>
  <si>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</si>
  <si>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</si>
  <si>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</si>
  <si>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</si>
  <si>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</si>
  <si>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Iretha Lilly</t>
  </si>
  <si>
    <t>3201 E State Highway 6</t>
  </si>
  <si>
    <t>McLennan County Sheriff’s Office</t>
  </si>
  <si>
    <t>The Texas Rangers are investigating the death of a 37-year-old woman who died Monday night after she was shocked with an electric stun gun while deputies tried to take her into custody earlier in the day.</t>
  </si>
  <si>
    <t>Latandra Ellington</t>
  </si>
  <si>
    <t>11120 Northwest Gainesville Road</t>
  </si>
  <si>
    <t>Florida Department of Corrections</t>
  </si>
  <si>
    <t>The inmate, Latandra Ellington, turned up dead on Oct. 1, 10 days after writing a letter to her aunt that detailed how a Lowell corrections officer — she knew him only as “Sgt. Q” — had repeatedly threatened to beat and kill her.</t>
  </si>
  <si>
    <t>Aljarreau Cross</t>
  </si>
  <si>
    <t>http://thumbnail.newsinc.com/27570190.sf.jpg</t>
  </si>
  <si>
    <t>700 Miller Ave</t>
  </si>
  <si>
    <t>89030</t>
  </si>
  <si>
    <t>Cross reportedly was running from an officer and fired gun shots at the officer. the officer then shot and killed Cross.</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</si>
  <si>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</si>
  <si>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</si>
  <si>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</si>
  <si>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</si>
  <si>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</si>
  <si>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</si>
  <si>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Armondo Ochoa</t>
  </si>
  <si>
    <t>5900 Bonhomme Rd</t>
  </si>
  <si>
    <t>77036</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</si>
  <si>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</si>
  <si>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</si>
  <si>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Balantine Mbegbu</t>
  </si>
  <si>
    <t>http://tribexmarketing.com/wp-content/uploads/2014/10/arizona.jpg</t>
  </si>
  <si>
    <t>7001 N 27th Ave</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</si>
  <si>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</si>
  <si>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</si>
  <si>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Tino Martinez</t>
  </si>
  <si>
    <t>http://www.fatalencounters.org/wp-content/uploads/2013/10/Tino-Martinez.jpg</t>
  </si>
  <si>
    <t>S Shields St &amp; W Drake Rd</t>
  </si>
  <si>
    <t>80526</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</si>
  <si>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</si>
  <si>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</si>
  <si>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</si>
  <si>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</si>
  <si>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</si>
  <si>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</si>
  <si>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</si>
  <si>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</si>
  <si>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</si>
  <si>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</si>
  <si>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</si>
  <si>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</si>
  <si>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</si>
  <si>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</si>
  <si>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</si>
  <si>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</si>
  <si>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</si>
  <si>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</si>
  <si>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</si>
  <si>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</si>
  <si>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Johnny Martinez</t>
  </si>
  <si>
    <t>http://www.fatalencounters.org/wp-content/uploads/2013/10/JohnnyMartinez.jpg</t>
  </si>
  <si>
    <t>1000 Block 75th Street</t>
  </si>
  <si>
    <t>Gunshot, Taser, Pepper spray</t>
  </si>
  <si>
    <t>Police were called to break up a fight and, after using a stun gun and pepper spray, shot the suspect, killing him.</t>
  </si>
  <si>
    <t>http://losangeles.cbslocal.com/2014/10/04/suspect-injured-during-deputy-involved-shooting-in-los-angeles/</t>
  </si>
  <si>
    <t>Carl Blossomgame</t>
  </si>
  <si>
    <t>685 West 6th Street</t>
  </si>
  <si>
    <t>92410</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</si>
  <si>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</si>
  <si>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</si>
  <si>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</si>
  <si>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</si>
  <si>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</si>
  <si>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</si>
  <si>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</si>
  <si>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</si>
  <si>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</si>
  <si>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</si>
  <si>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</si>
  <si>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</si>
  <si>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</si>
  <si>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</si>
  <si>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</si>
  <si>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</si>
  <si>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</si>
  <si>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</si>
  <si>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</si>
  <si>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</si>
  <si>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</si>
  <si>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</si>
  <si>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</si>
  <si>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</si>
  <si>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</si>
  <si>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</si>
  <si>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</si>
  <si>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</si>
  <si>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Rafael Mejia</t>
  </si>
  <si>
    <t>7000 Osbun Road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</si>
  <si>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</si>
  <si>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</si>
  <si>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</si>
  <si>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</si>
  <si>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</si>
  <si>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</si>
  <si>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</si>
  <si>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</si>
  <si>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</si>
  <si>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</si>
  <si>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</si>
  <si>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</si>
  <si>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</si>
  <si>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</si>
  <si>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</si>
  <si>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</si>
  <si>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</si>
  <si>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</si>
  <si>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</si>
  <si>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</si>
  <si>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</si>
  <si>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</si>
  <si>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</si>
  <si>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</si>
  <si>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</si>
  <si>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</si>
  <si>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</si>
  <si>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</si>
  <si>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</si>
  <si>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</si>
  <si>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</si>
  <si>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</si>
  <si>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</si>
  <si>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</si>
  <si>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</si>
  <si>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</si>
  <si>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</si>
  <si>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</si>
  <si>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</si>
  <si>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</si>
  <si>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</si>
  <si>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</si>
  <si>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</si>
  <si>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Rafael Laureano</t>
  </si>
  <si>
    <t>http://assets.nydailynews.com/polopoly_fs/1.1960363.1412219976!/img/httpImage/image.jpg_gen/derivatives/article_970/copshoot2n-1-web.jpg?enlarged</t>
  </si>
  <si>
    <t>820 Ocean Parkway</t>
  </si>
  <si>
    <t>11230</t>
  </si>
  <si>
    <t>Rafael Laureano died when he was hit by a bullet from police officers who were firing at Francisco Carvajal who had attacked Laureano and his girlfriend with a knife.</t>
  </si>
  <si>
    <t>http://www.huffingtonpost.com/2014/10/02/nypd-rafael-laureano_n_5922608.html</t>
  </si>
  <si>
    <t>Francisco Carvajal</t>
  </si>
  <si>
    <t>Carvajal was killed when he was shot by police officers as he attacked Rafael Laureano and his girlfriend with a knife. Laureano was accidentally shot and killed as well.</t>
  </si>
  <si>
    <t>Oliver Jarrod Gregoire</t>
  </si>
  <si>
    <t>http://bloximages.chicago2.vip.townnews.com/baytownsun.com/content/tncms/assets/v3/editorial/8/89/8896d42e-4a99-11e4-93c2-5f7e2d2f9ef0/542df6bba5ae8.image.jpg?resize=300%2C405</t>
  </si>
  <si>
    <t>4400 Wood Duck Ln</t>
  </si>
  <si>
    <t>77523</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</si>
  <si>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</si>
  <si>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</si>
  <si>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http://www.houstonchronicle.com/news/houston-texas/houston/article/Parents-ask-for-answers-in-Taser-death-5803093.php</t>
  </si>
  <si>
    <t>Scott Alan Trimble</t>
  </si>
  <si>
    <t>2118 W 148th St S</t>
  </si>
  <si>
    <t>Mitchellville</t>
  </si>
  <si>
    <t>50169</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</si>
  <si>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</si>
  <si>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</si>
  <si>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</si>
  <si>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</si>
  <si>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</si>
  <si>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</si>
  <si>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</si>
  <si>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</si>
  <si>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</si>
  <si>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</si>
  <si>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</si>
  <si>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</si>
  <si>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</si>
  <si>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</si>
  <si>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2100 SE 1st St</t>
  </si>
  <si>
    <t>33033</t>
  </si>
  <si>
    <t>Homestead Police Department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</si>
  <si>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</si>
  <si>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</si>
  <si>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</si>
  <si>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</si>
  <si>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</si>
  <si>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</si>
  <si>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</si>
  <si>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</si>
  <si>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</si>
  <si>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</si>
  <si>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</si>
  <si>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</si>
  <si>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38343</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</si>
  <si>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</si>
  <si>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</si>
  <si>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</si>
  <si>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</si>
  <si>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</si>
  <si>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</si>
  <si>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</si>
  <si>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</si>
  <si>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</si>
  <si>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</si>
  <si>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</si>
  <si>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Steven Paul Presley</t>
  </si>
  <si>
    <t>Walnut St</t>
  </si>
  <si>
    <t>Blossom</t>
  </si>
  <si>
    <t>75416</t>
  </si>
  <si>
    <t>Lamar</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</si>
  <si>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</si>
  <si>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</si>
  <si>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</si>
  <si>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</si>
  <si>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</si>
  <si>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</si>
  <si>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</si>
  <si>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</si>
  <si>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</si>
  <si>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</si>
  <si>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</si>
  <si>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</si>
  <si>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</si>
  <si>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</si>
  <si>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</si>
  <si>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</si>
  <si>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</si>
  <si>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</si>
  <si>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</si>
  <si>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</si>
  <si>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</si>
  <si>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</si>
  <si>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</si>
  <si>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</si>
  <si>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</si>
  <si>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</si>
  <si>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</si>
  <si>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</si>
  <si>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</si>
  <si>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</si>
  <si>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</si>
  <si>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</si>
  <si>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</si>
  <si>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</si>
  <si>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Cameron Tillman</t>
  </si>
  <si>
    <t>http://www.rawstory.com/rs/wp-content/uploads/2014/09/wwltv_tillman_140924a-3-800x430.jpg</t>
  </si>
  <si>
    <t>100 Kirkglen Loop</t>
  </si>
  <si>
    <t>70363</t>
  </si>
  <si>
    <t>Terrebonne Parish Sheriff's Department</t>
  </si>
  <si>
    <t>Police received call that armed individuals had entered an abandoned house. Tillman was shot multiple times and killed, but police have so far refused to release details of shooting, other than to say a weapon was found near the scene. Three other suspects attempted to flee and were apprehended. Tillman family members say the 14-year-old African-American was unarmed and only answered the door because police knocked and was shot in the back "four or five times."</t>
  </si>
  <si>
    <t>http://www.rawstory.com/rs/2014/09/louisiana-deputy-fatally-shot-14-year-old-four-or-five-times-in-the-back-family/</t>
  </si>
  <si>
    <t>James A. Cave</t>
  </si>
  <si>
    <t>http://bloximages.chicago2.vip.townnews.com/qctimes.com/content/tncms/assets/v3/editorial/5/ae/5ae56afd-94fc-56f9-b512-2c35b3979b9f/5421f3f7aeda0.preview-620.jpg</t>
  </si>
  <si>
    <t>2814 Fair Ave.</t>
  </si>
  <si>
    <t>Davenport</t>
  </si>
  <si>
    <t>52803</t>
  </si>
  <si>
    <t>Scott</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</si>
  <si>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</si>
  <si>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</si>
  <si>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</si>
  <si>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John Wayne Gill</t>
  </si>
  <si>
    <t>http://www.gannett-cdn.com/-mm-/58bc45bd72e8a97510d9a92c9eeb7685a8d5132a/c=0-3-285-383&amp;r=537&amp;c=0-0-534-712/local/-/media/JacksonMS/None/2014/09/23/1411494900000-JWGill.png</t>
  </si>
  <si>
    <t>2109 Jesse Hall Memorial Rd</t>
  </si>
  <si>
    <t>Magnolia</t>
  </si>
  <si>
    <t>John, an inmate, was found dead. Coroner could not rule out the possibility of a beating.</t>
  </si>
  <si>
    <t>http://www.clarionledger.com/story/news/2014/09/23/family-dead-inmate-questions-reports-died/16101043/</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</si>
  <si>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</si>
  <si>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</si>
  <si>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</si>
  <si>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</si>
  <si>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</si>
  <si>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</si>
  <si>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Brian Eugene Rice</t>
  </si>
  <si>
    <t>http://www.killedbypolice.net/victims/140808.jpg</t>
  </si>
  <si>
    <t>501 McClain St</t>
  </si>
  <si>
    <t>Goose Creek</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</si>
  <si>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</si>
  <si>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</si>
  <si>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</si>
  <si>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</si>
  <si>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Joseph Adam Lee</t>
  </si>
  <si>
    <t>http://www.elkharttruth.com/image/2014/09/22/635x500/JosephLee-jpg.jpg</t>
  </si>
  <si>
    <t>403 E. Chapman Ave</t>
  </si>
  <si>
    <t>Elkhart</t>
  </si>
  <si>
    <t>46516</t>
  </si>
  <si>
    <t>Elkhart Police Department</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</si>
  <si>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</si>
  <si>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Gustavo Segura Acosta</t>
  </si>
  <si>
    <t>http://media.fresnobee.com/smedia/2014/09/23/14/39/W5zfa.AuHeEm.8.jpg</t>
  </si>
  <si>
    <t>2500 South Kirk Avenue</t>
  </si>
  <si>
    <t>93706</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</si>
  <si>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</si>
  <si>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</si>
  <si>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</si>
  <si>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</si>
  <si>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</si>
  <si>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</si>
  <si>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</si>
  <si>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</si>
  <si>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Daniel Diaz</t>
  </si>
  <si>
    <t>NW Blossom Drive</t>
  </si>
  <si>
    <t>97526</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</si>
  <si>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</si>
  <si>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</si>
  <si>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</si>
  <si>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</si>
  <si>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</si>
  <si>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</si>
  <si>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</si>
  <si>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</si>
  <si>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</si>
  <si>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</si>
  <si>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</si>
  <si>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</si>
  <si>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</si>
  <si>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</si>
  <si>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</si>
  <si>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</si>
  <si>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</si>
  <si>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</si>
  <si>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</si>
  <si>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</si>
  <si>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</si>
  <si>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</si>
  <si>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</si>
  <si>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</si>
  <si>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</si>
  <si>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</si>
  <si>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</si>
  <si>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</si>
  <si>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</si>
  <si>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</si>
  <si>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</si>
  <si>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</si>
  <si>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</si>
  <si>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</si>
  <si>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</si>
  <si>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</si>
  <si>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</si>
  <si>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</si>
  <si>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</si>
  <si>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</si>
  <si>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</si>
  <si>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</si>
  <si>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</si>
  <si>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</si>
  <si>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</si>
  <si>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</si>
  <si>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</si>
  <si>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</si>
  <si>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</si>
  <si>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</si>
  <si>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</si>
  <si>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</si>
  <si>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</si>
  <si>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</si>
  <si>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</si>
  <si>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Michael M. Willis Jr.</t>
  </si>
  <si>
    <t>http://bloximages.newyork1.vip.townnews.com/stltoday.com/content/tncms/assets/v3/editorial/e/e9/ee90632a-7099-59cc-b16b-ac9d8cebcb44/541cb1f2adb4b.preview-620.jpg</t>
  </si>
  <si>
    <t>8803 Lucas and Hunt Rd</t>
  </si>
  <si>
    <t>St. Louis County Police Department</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</si>
  <si>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</si>
  <si>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</si>
  <si>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</si>
  <si>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</si>
  <si>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</si>
  <si>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31415</t>
  </si>
  <si>
    <t>Savannah-Chatham Metropolitan Police Department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</si>
  <si>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</si>
  <si>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</si>
  <si>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</si>
  <si>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</si>
  <si>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</si>
  <si>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</si>
  <si>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</si>
  <si>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</si>
  <si>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</si>
  <si>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</si>
  <si>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</si>
  <si>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</si>
  <si>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</si>
  <si>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</si>
  <si>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</si>
  <si>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</si>
  <si>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</si>
  <si>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</si>
  <si>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</si>
  <si>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Eureka</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</si>
  <si>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</si>
  <si>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</si>
  <si>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</si>
  <si>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</si>
  <si>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</si>
  <si>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</si>
  <si>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</si>
  <si>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</si>
  <si>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</si>
  <si>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</si>
  <si>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</si>
  <si>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</si>
  <si>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</si>
  <si>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</si>
  <si>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</si>
  <si>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</si>
  <si>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</si>
  <si>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http://www.fresnobee.com/2014/09/16/4126706_fresno-murder-suspect-critically.html?rh=1</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</si>
  <si>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</si>
  <si>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</si>
  <si>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</si>
  <si>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</si>
  <si>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</si>
  <si>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</si>
  <si>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</si>
  <si>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</si>
  <si>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Michael Bonty</t>
  </si>
  <si>
    <t>http://www.alaskanfuneral.com/sitemaker/memsol_data/1526/1427437/1427437_profile_pic.png?1417751805</t>
  </si>
  <si>
    <t>1201 N Jack Nicklaus Dr</t>
  </si>
  <si>
    <t>Wasilla</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</si>
  <si>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</si>
  <si>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</si>
  <si>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</si>
  <si>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</si>
  <si>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</si>
  <si>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</si>
  <si>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</si>
  <si>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</si>
  <si>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</si>
  <si>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</si>
  <si>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</si>
  <si>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</si>
  <si>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</si>
  <si>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</si>
  <si>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Caesar Adams</t>
  </si>
  <si>
    <t>901 Gretna Boulevard</t>
  </si>
  <si>
    <t>70053</t>
  </si>
  <si>
    <t>Adams and another suspect shot an officer. The officer shot and killed Adams and injured the other suspect. The motive is not clear why Adams and the other suspect shot the officer.</t>
  </si>
  <si>
    <t>Richard “Pedie” Perez III</t>
  </si>
  <si>
    <t>http://richmondconfidential.org/wp-content/uploads/2014/09/IMG_5935.JPG-620x786.jpeg</t>
  </si>
  <si>
    <t>3322 Cutting Boulevard</t>
  </si>
  <si>
    <t>94804</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</si>
  <si>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</si>
  <si>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</si>
  <si>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</si>
  <si>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</si>
  <si>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</si>
  <si>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</si>
  <si>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</si>
  <si>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</si>
  <si>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</si>
  <si>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</si>
  <si>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</si>
  <si>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</si>
  <si>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</si>
  <si>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</si>
  <si>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Christopher Lee Lucas</t>
  </si>
  <si>
    <t>http://www.killedbypolice.net/victims/2231.jpg</t>
  </si>
  <si>
    <t>14425 South Bitterbrush Lane</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</si>
  <si>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</si>
  <si>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</si>
  <si>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</si>
  <si>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</si>
  <si>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</si>
  <si>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</si>
  <si>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</si>
  <si>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Jesse Gibbons</t>
  </si>
  <si>
    <t>http://media.graytvinc.com/images/353*198/jesse+gibbons+web.jpg</t>
  </si>
  <si>
    <t>Lancaster Avenue</t>
  </si>
  <si>
    <t>40508</t>
  </si>
  <si>
    <t>Lexington Police Department, Madison County Sheriff's Office, and Kentucky State Police Department</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</si>
  <si>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</si>
  <si>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</si>
  <si>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</si>
  <si>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</si>
  <si>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</si>
  <si>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</si>
  <si>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</si>
  <si>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</si>
  <si>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</si>
  <si>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Darrien Nathaniel Hunt</t>
  </si>
  <si>
    <t>http://i1.huffpost.com/gen/2057758/thumbs/n-DARRIEN-HUNT-large570.jpg</t>
  </si>
  <si>
    <t>Crossroads Boulevard and Redwood Road</t>
  </si>
  <si>
    <t>Saratoga Springs</t>
  </si>
  <si>
    <t>84043</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</si>
  <si>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</si>
  <si>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</si>
  <si>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</si>
  <si>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Elijah Jackson</t>
  </si>
  <si>
    <t>http://www.gannett-cdn.com/-mm-/bcef3913a9a4abe8a4ba8f15ad49fb3b85ffc32c/c=0-0-534-712&amp;r=537&amp;c=0-0-534-712/local/-/media/WBIR/WBIR/2014/09/12/1410537066000-elijah-jackson.jpg</t>
  </si>
  <si>
    <t>Mountain Mist Ln</t>
  </si>
  <si>
    <t>37918</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</si>
  <si>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</si>
  <si>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</si>
  <si>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Jeffrey Johnson</t>
  </si>
  <si>
    <t>http://www.bigcountryhomepage.com/media/lib/203/8/1/5/8156af68-cf5e-43bb-90f5-d4b0aeb8e1f9/Story.jpg</t>
  </si>
  <si>
    <t>7457 West Lake Road</t>
  </si>
  <si>
    <t>Abilene</t>
  </si>
  <si>
    <t>79601</t>
  </si>
  <si>
    <t>Taylor</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</si>
  <si>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</si>
  <si>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</si>
  <si>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</si>
  <si>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Gerald S. Cole</t>
  </si>
  <si>
    <t>2508 Sweetbriar Dr</t>
  </si>
  <si>
    <t>San Angelo</t>
  </si>
  <si>
    <t>76904</t>
  </si>
  <si>
    <t>Tom Green</t>
  </si>
  <si>
    <t>San Angelo Police Department</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</si>
  <si>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</si>
  <si>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</si>
  <si>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</si>
  <si>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</si>
  <si>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</si>
  <si>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</si>
  <si>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</si>
  <si>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</si>
  <si>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</si>
  <si>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</si>
  <si>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</si>
  <si>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</si>
  <si>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</si>
  <si>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</si>
  <si>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</si>
  <si>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Shawn Brown</t>
  </si>
  <si>
    <t>564 N Pennsylvania Ave</t>
  </si>
  <si>
    <t>08401</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</si>
  <si>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</si>
  <si>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</si>
  <si>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</si>
  <si>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</si>
  <si>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</si>
  <si>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</si>
  <si>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</si>
  <si>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</si>
  <si>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</si>
  <si>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Alphonse Edward Perkins</t>
  </si>
  <si>
    <t>1100 West 81st Place</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</si>
  <si>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</si>
  <si>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</si>
  <si>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</si>
  <si>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</si>
  <si>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</si>
  <si>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</si>
  <si>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</si>
  <si>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</si>
  <si>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</si>
  <si>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</si>
  <si>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</si>
  <si>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</si>
  <si>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</si>
  <si>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</si>
  <si>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</si>
  <si>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</si>
  <si>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</si>
  <si>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</si>
  <si>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</si>
  <si>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</si>
  <si>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</si>
  <si>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</si>
  <si>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</si>
  <si>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</si>
  <si>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</si>
  <si>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</si>
  <si>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</si>
  <si>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</si>
  <si>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</si>
  <si>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</si>
  <si>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</si>
  <si>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</si>
  <si>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</si>
  <si>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</si>
  <si>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</si>
  <si>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</si>
  <si>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</si>
  <si>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</si>
  <si>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</si>
  <si>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</si>
  <si>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</si>
  <si>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</si>
  <si>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</si>
  <si>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</si>
  <si>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</si>
  <si>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</si>
  <si>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</si>
  <si>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</si>
  <si>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</si>
  <si>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</si>
  <si>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</si>
  <si>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</si>
  <si>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</si>
  <si>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</si>
  <si>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</si>
  <si>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</si>
  <si>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</si>
  <si>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</si>
  <si>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</si>
  <si>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</si>
  <si>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</si>
  <si>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</si>
  <si>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Bien Cam Tran</t>
  </si>
  <si>
    <t>East 12th Street at Third Avenue</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</si>
  <si>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</si>
  <si>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</si>
  <si>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</si>
  <si>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</si>
  <si>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</si>
  <si>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</si>
  <si>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</si>
  <si>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</si>
  <si>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</si>
  <si>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</si>
  <si>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</si>
  <si>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</si>
  <si>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James Bowman</t>
  </si>
  <si>
    <t>East Ninth Street and Sutro Street</t>
  </si>
  <si>
    <t>89512</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</si>
  <si>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</si>
  <si>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</si>
  <si>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</si>
  <si>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</si>
  <si>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</si>
  <si>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</si>
  <si>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Toledo Police Department, Ohio Highway Patrol, and FBI</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</si>
  <si>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</si>
  <si>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</si>
  <si>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Kendrick Brown</t>
  </si>
  <si>
    <t>http://imgick.cleveland.com/home/cleve-media/pgmain/img/plain-dealer/photo/2014/09/02/cleveland-police-fatal-shooting-b20a0b71f201f510.jpg</t>
  </si>
  <si>
    <t>3400 E.140th</t>
  </si>
  <si>
    <t>44120</t>
  </si>
  <si>
    <t>Officer ordered suspect to lower weapon. He refused shot him 3 times.</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</si>
  <si>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</si>
  <si>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</si>
  <si>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</si>
  <si>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</si>
  <si>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</si>
  <si>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</si>
  <si>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</si>
  <si>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</si>
  <si>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</si>
  <si>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</si>
  <si>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</si>
  <si>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</si>
  <si>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</si>
  <si>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</si>
  <si>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</si>
  <si>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</si>
  <si>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Richard Wray "Rick" Aceves</t>
  </si>
  <si>
    <t>http://ak-cache.legacy.net/legacy/images/Cobrands/AZCentral/Photos/0008279677-02-1_20140920.jpg</t>
  </si>
  <si>
    <t>W Bethany Home Rd &amp; N 15th Ave</t>
  </si>
  <si>
    <t>85015</t>
  </si>
  <si>
    <t>Aceves was shooting a gun prompting neighbors to call police. When police arrived a shootout began. Officers ultimately shot and killed Aceves.</t>
  </si>
  <si>
    <t>http://www.kpho.com/story/26424240/phoenix-police-shoot-kill-heavily-armed-man</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</si>
  <si>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</si>
  <si>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</si>
  <si>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</si>
  <si>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</si>
  <si>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</si>
  <si>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</si>
  <si>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</si>
  <si>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</si>
  <si>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</si>
  <si>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</si>
  <si>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</si>
  <si>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</si>
  <si>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</si>
  <si>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</si>
  <si>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</si>
  <si>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</si>
  <si>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</si>
  <si>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</si>
  <si>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</si>
  <si>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</si>
  <si>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</si>
  <si>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</si>
  <si>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</si>
  <si>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Reno Police Department</t>
  </si>
  <si>
    <t>Officers appeared to have shot the man during a gun battle that ensued after he was chased from a CVS Pharmacy, where the man allegedly shot a patron and robbed the store.</t>
  </si>
  <si>
    <t>http://www.rgj.com/story/news/crime/2014/09/01/reno-robbery-suspect-fatally-shot-police/14933497/</t>
  </si>
  <si>
    <t>Jose Walter Garza</t>
  </si>
  <si>
    <t>5301 Santa Maria Ave</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</si>
  <si>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</si>
  <si>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</si>
  <si>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</si>
  <si>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</si>
  <si>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</si>
  <si>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</si>
  <si>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</si>
  <si>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</si>
  <si>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</si>
  <si>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</si>
  <si>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</si>
  <si>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</si>
  <si>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</si>
  <si>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</si>
  <si>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</si>
  <si>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</si>
  <si>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</si>
  <si>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</si>
  <si>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</si>
  <si>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</si>
  <si>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</si>
  <si>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</si>
  <si>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</si>
  <si>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</si>
  <si>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</si>
  <si>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</si>
  <si>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</si>
  <si>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</si>
  <si>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</si>
  <si>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</si>
  <si>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Enebelio Garcia</t>
  </si>
  <si>
    <t>http://a-a-abailbonds.com/wp-content/gallery/most-wanted/enebelio-garcia1.jpg</t>
  </si>
  <si>
    <t>1400 Krause Lane</t>
  </si>
  <si>
    <t>New Braunfels</t>
  </si>
  <si>
    <t>78130</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</si>
  <si>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</si>
  <si>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</si>
  <si>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</si>
  <si>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Jayson Matthew Withers</t>
  </si>
  <si>
    <t>http://media.oregonlive.com/pacific-northwest-news/photo/withers2jpeg-80a04c3cc234c7c0.jpeg</t>
  </si>
  <si>
    <t>2500 Westgate</t>
  </si>
  <si>
    <t>Pendleton</t>
  </si>
  <si>
    <t>Umatilla</t>
  </si>
  <si>
    <t>Umatilla County Sheriff's Office</t>
  </si>
  <si>
    <t>Officer shot and killed an inmate Friday morning after he and another prisoner wouldn't stop attacking a third inmate.</t>
  </si>
  <si>
    <t>http://www.oregonlive.com/pacific-northwest-news/index.ssf/2014/08/inmate_shot_and_killed_at_east.html</t>
  </si>
  <si>
    <t>John O'Connell</t>
  </si>
  <si>
    <t>http://www.stgeorgeutah.com/wp-content/uploads/2014/09/Michael-John-OConnell.jpg</t>
  </si>
  <si>
    <t>I-15</t>
  </si>
  <si>
    <t>Littlefield</t>
  </si>
  <si>
    <t>86432</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</si>
  <si>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</si>
  <si>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</si>
  <si>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</si>
  <si>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</si>
  <si>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</si>
  <si>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</si>
  <si>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</si>
  <si>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</si>
  <si>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</si>
  <si>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</si>
  <si>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</si>
  <si>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</si>
  <si>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</si>
  <si>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</si>
  <si>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</si>
  <si>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Redding</t>
  </si>
  <si>
    <t>96002</t>
  </si>
  <si>
    <t>Shasta</t>
  </si>
  <si>
    <t>Redding Police Department</t>
  </si>
  <si>
    <t>Erik Charles Lebak was suicidal. He was armed with a handgun and a shotgun and shot multiple times by two Redding Police Department officers who responded to the scene.</t>
  </si>
  <si>
    <t>Terry Sellars</t>
  </si>
  <si>
    <t>http://dailyhaze.com/wp-content/uploads/2014/08/Summary-of-Police-Related-Shootings-From-August-2014-Terry-Sellers.jpg</t>
  </si>
  <si>
    <t>5800 Garden Lakes Fern</t>
  </si>
  <si>
    <t>34203</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</si>
  <si>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</si>
  <si>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</si>
  <si>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</si>
  <si>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Kerry Wesson</t>
  </si>
  <si>
    <t>12200 Santa Fe Avenue</t>
  </si>
  <si>
    <t>Lynwood</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</si>
  <si>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</si>
  <si>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</si>
  <si>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</si>
  <si>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</si>
  <si>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</si>
  <si>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</si>
  <si>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</si>
  <si>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</si>
  <si>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</si>
  <si>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</si>
  <si>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</si>
  <si>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</si>
  <si>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</si>
  <si>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</si>
  <si>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</si>
  <si>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</si>
  <si>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</si>
  <si>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Mark Jeffery Sharpe</t>
  </si>
  <si>
    <t>4700 Broadway</t>
  </si>
  <si>
    <t>Live Oak</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</si>
  <si>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</si>
  <si>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</si>
  <si>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</si>
  <si>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</si>
  <si>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</si>
  <si>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Freddie LeBlanc</t>
  </si>
  <si>
    <t>http://d1t3gia0in9tdj.cloudfront.net/photo/tributes/t/8/r/207x207/2449189/b3361865-bf96-40c6-b5a2-c2eb25a0fb90.jpg</t>
  </si>
  <si>
    <t>31000 Old Baton Rouge Hwy</t>
  </si>
  <si>
    <t>Hammond</t>
  </si>
  <si>
    <t>70403</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</si>
  <si>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</si>
  <si>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</si>
  <si>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</si>
  <si>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</si>
  <si>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</si>
  <si>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</si>
  <si>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</si>
  <si>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</si>
  <si>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</si>
  <si>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</si>
  <si>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</si>
  <si>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</si>
  <si>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</si>
  <si>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</si>
  <si>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</si>
  <si>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</si>
  <si>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</si>
  <si>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</si>
  <si>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</si>
  <si>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</si>
  <si>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</si>
  <si>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</si>
  <si>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</si>
  <si>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</si>
  <si>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</si>
  <si>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</si>
  <si>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</si>
  <si>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</si>
  <si>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</si>
  <si>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</si>
  <si>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</si>
  <si>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</si>
  <si>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</si>
  <si>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</si>
  <si>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</si>
  <si>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</si>
  <si>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</si>
  <si>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</si>
  <si>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Guadalupe Esquivel</t>
  </si>
  <si>
    <t>http://www.everythinglubbock.com/media/lib/197/0/d/d/0dd46e98-7fc0-4c57-a677-e414ee9fc6e9/Story.jpg</t>
  </si>
  <si>
    <t>2800 Cornell Street</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</si>
  <si>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</si>
  <si>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</si>
  <si>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</si>
  <si>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</si>
  <si>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</si>
  <si>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</si>
  <si>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</si>
  <si>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</si>
  <si>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Rondre Hornbeak</t>
  </si>
  <si>
    <t>http://www.ardmoreite.com/storyimage/OK/20140829/NEWS/140829618/AR/0/Rondre-Lamar-Hornbeak.jpg&amp;MaxW=315&amp;MaxH=315</t>
  </si>
  <si>
    <t>1109 Holiday Drive</t>
  </si>
  <si>
    <t>73401</t>
  </si>
  <si>
    <t>Police were called for a domestic assault. Hornbeak was arrested and was transported to jail. Upon arrival Hornbeak was unresponsive. Cause of death is pending until autopsy.</t>
  </si>
  <si>
    <t>http://www.ardmoreite.com/article/20140824/NEWS/140829830/10054/NEWS</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</si>
  <si>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</si>
  <si>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</si>
  <si>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</si>
  <si>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</si>
  <si>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</si>
  <si>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</si>
  <si>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</si>
  <si>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</si>
  <si>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</si>
  <si>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</si>
  <si>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</si>
  <si>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Timothy Shad Griffis</t>
  </si>
  <si>
    <t>http://www.mentalhealthportland.org/wp-content/uploads/2014/09/Timothy-Griffis-300x225.jpg</t>
  </si>
  <si>
    <t>100 Southwest Jamie Glen</t>
  </si>
  <si>
    <t>Lake City</t>
  </si>
  <si>
    <t>32055</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</si>
  <si>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</si>
  <si>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</si>
  <si>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</si>
  <si>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</si>
  <si>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</si>
  <si>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</si>
  <si>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</si>
  <si>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</si>
  <si>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</si>
  <si>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</si>
  <si>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Anthony Lamar Brown</t>
  </si>
  <si>
    <t>http://www.wpbf.com/image/view/-/27706740/highRes/2/-/maxh/480/maxw/640/-/hv3a3oz/-/Anthony-Lamar-Brown-copy-jpg.jpg</t>
  </si>
  <si>
    <t>500 15th St</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</si>
  <si>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</si>
  <si>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</si>
  <si>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</si>
  <si>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</si>
  <si>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</si>
  <si>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</si>
  <si>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</si>
  <si>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</si>
  <si>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</si>
  <si>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</si>
  <si>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</si>
  <si>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</si>
  <si>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</si>
  <si>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</si>
  <si>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</si>
  <si>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</si>
  <si>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</si>
  <si>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</si>
  <si>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</si>
  <si>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35th Avenue and Camelback Road</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</si>
  <si>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</si>
  <si>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</si>
  <si>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</si>
  <si>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</si>
  <si>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</si>
  <si>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</si>
  <si>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</si>
  <si>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</si>
  <si>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</si>
  <si>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</si>
  <si>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</si>
  <si>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</si>
  <si>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</si>
  <si>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</si>
  <si>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</si>
  <si>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</si>
  <si>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</si>
  <si>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</si>
  <si>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</si>
  <si>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</si>
  <si>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</si>
  <si>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</si>
  <si>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</si>
  <si>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</si>
  <si>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</si>
  <si>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</si>
  <si>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</si>
  <si>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</si>
  <si>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</si>
  <si>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</si>
  <si>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Austin Dukette</t>
  </si>
  <si>
    <t>http://www.gannett-cdn.com/-mm-/cabbe24fad981be7ffdb8262b85fc733a1c0bda2/c=133-93-398-446&amp;r=537&amp;c=0-0-534-712/local/-/media/FortMyers/2014/08/27/dukette.jpg</t>
  </si>
  <si>
    <t>626 Kismet Pkwy</t>
  </si>
  <si>
    <t>Cape Coral</t>
  </si>
  <si>
    <t>33909</t>
  </si>
  <si>
    <t>Lee County Sheriff's Office</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</si>
  <si>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</si>
  <si>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</si>
  <si>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</si>
  <si>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</si>
  <si>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</si>
  <si>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</si>
  <si>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</si>
  <si>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</si>
  <si>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</si>
  <si>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</si>
  <si>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</si>
  <si>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</si>
  <si>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</si>
  <si>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</si>
  <si>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</si>
  <si>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</si>
  <si>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</si>
  <si>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</si>
  <si>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</si>
  <si>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</si>
  <si>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</si>
  <si>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</si>
  <si>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</si>
  <si>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</si>
  <si>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</si>
  <si>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</si>
  <si>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</si>
  <si>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</si>
  <si>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</si>
  <si>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</si>
  <si>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</si>
  <si>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</si>
  <si>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</si>
  <si>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</si>
  <si>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</si>
  <si>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David Ellis</t>
  </si>
  <si>
    <t>Magee St and Torresdale Ave</t>
  </si>
  <si>
    <t>19135</t>
  </si>
  <si>
    <t>Victim shot at police officers who returned fire, killing him.</t>
  </si>
  <si>
    <t>Maria Fernanda Godinez</t>
  </si>
  <si>
    <t>http://i.dailymail.co.uk/i/pix/2014/08/20/article-0-20AA910700000578-766_634x628.jpg</t>
  </si>
  <si>
    <t>118 South Orange Avenue</t>
  </si>
  <si>
    <t>32801</t>
  </si>
  <si>
    <t>Orlando police said the woman who was shot and killed in a club in downtown Orlando was struck by a stray bullet from an officer's gun.</t>
  </si>
  <si>
    <t>http://www.clickorlando.com/news/woman-killed-police-officer-shot-at-orlando-nightclub/27608730</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</si>
  <si>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</si>
  <si>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</si>
  <si>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</si>
  <si>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</si>
  <si>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</si>
  <si>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</si>
  <si>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</si>
  <si>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</si>
  <si>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</si>
  <si>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</si>
  <si>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</si>
  <si>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</si>
  <si>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</si>
  <si>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</si>
  <si>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</si>
  <si>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</si>
  <si>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</si>
  <si>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</si>
  <si>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</si>
  <si>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</si>
  <si>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</si>
  <si>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</si>
  <si>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</si>
  <si>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</si>
  <si>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</si>
  <si>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</si>
  <si>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</si>
  <si>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</si>
  <si>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</si>
  <si>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</si>
  <si>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</si>
  <si>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</si>
  <si>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</si>
  <si>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</si>
  <si>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</si>
  <si>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</si>
  <si>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</si>
  <si>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</si>
  <si>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Yolo</t>
  </si>
  <si>
    <t>Police called to disturbance at apartment, Towe wielding long knife, charged police, who shot him.</t>
  </si>
  <si>
    <t>http://www.sacbee.com/2014/08/18/6636671/officer-kills-man-allegedly-charging.html</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</si>
  <si>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</si>
  <si>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</si>
  <si>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</si>
  <si>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</si>
  <si>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</si>
  <si>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</si>
  <si>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</si>
  <si>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</si>
  <si>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</si>
  <si>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</si>
  <si>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</si>
  <si>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</si>
  <si>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</si>
  <si>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</si>
  <si>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</si>
  <si>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</si>
  <si>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</si>
  <si>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</si>
  <si>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</si>
  <si>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Travis Donald Wegener</t>
  </si>
  <si>
    <t>http://mediaassets.knoxnews.com/photo/2014/08/16/Screen%20Shot%202014-08-16%20at%205.38.38%20PM_1408227286767_7404272_ver1.0_640_480.png</t>
  </si>
  <si>
    <t>5206 E Inskip Rd</t>
  </si>
  <si>
    <t>37912</t>
  </si>
  <si>
    <t>Knoxville Police Department</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</si>
  <si>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</si>
  <si>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</si>
  <si>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</si>
  <si>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</si>
  <si>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</si>
  <si>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</si>
  <si>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</si>
  <si>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</si>
  <si>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</si>
  <si>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</si>
  <si>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</si>
  <si>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</si>
  <si>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Diana Showman</t>
  </si>
  <si>
    <t>http://ak-cache.legacy.net/legacy/images/cobrands/mercurynews/photos/wb0073759-1_20140818.jpgx?w=200&amp;h=200&amp;option=1&amp;fc=fff</t>
  </si>
  <si>
    <t>700 Blossom Hill Road</t>
  </si>
  <si>
    <t>95123</t>
  </si>
  <si>
    <t>Showman herself called police in the mid-morning, claiming to be armed with an Uzi and threatening her family. She had a long history of mental health issues. When officers arrived Showman met them outside, brandishing only a cordless drill. Officers felt threatened and they shot her to death.</t>
  </si>
  <si>
    <t>http://www.sfgate.com/crime/article/Teen-shot-by-San-Jose-cop-while-holding-drill-ID-d-5696601.php</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</si>
  <si>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</si>
  <si>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</si>
  <si>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</si>
  <si>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</si>
  <si>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</si>
  <si>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</si>
  <si>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</si>
  <si>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</si>
  <si>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</si>
  <si>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</si>
  <si>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</si>
  <si>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</si>
  <si>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</si>
  <si>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</si>
  <si>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http://www.nydailynews.com/news/crime/u-s-marshal-shoots-kills-florida-fugitive-wanted-murder-officials-article-1.1902036</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</si>
  <si>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</si>
  <si>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</si>
  <si>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</si>
  <si>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</si>
  <si>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</si>
  <si>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</si>
  <si>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</si>
  <si>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</si>
  <si>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</si>
  <si>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</si>
  <si>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</si>
  <si>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</si>
  <si>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</si>
  <si>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</si>
  <si>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</si>
  <si>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</si>
  <si>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</si>
  <si>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</si>
  <si>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</si>
  <si>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</si>
  <si>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</si>
  <si>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</si>
  <si>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</si>
  <si>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</si>
  <si>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</si>
  <si>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Reagan Lee Jones</t>
  </si>
  <si>
    <t>600 Firestone Ave.</t>
  </si>
  <si>
    <t>35661</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</si>
  <si>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</si>
  <si>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</si>
  <si>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</si>
  <si>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</si>
  <si>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</si>
  <si>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</si>
  <si>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</si>
  <si>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</si>
  <si>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</si>
  <si>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</si>
  <si>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</si>
  <si>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</si>
  <si>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</si>
  <si>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</si>
  <si>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</si>
  <si>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</si>
  <si>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Gabriel Lopez-Gonzalez</t>
  </si>
  <si>
    <t>http://bloximages.chicago2.vip.townnews.com/sanfernandosun.com/content/tncms/assets/v3/editorial/9/77/97724cfc-2a47-11e4-92c3-001a4bcf887a/53f7bd89a31e9.image.jpg</t>
  </si>
  <si>
    <t>800 South Brand Blvd</t>
  </si>
  <si>
    <t>San Fernando</t>
  </si>
  <si>
    <t>91340</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</si>
  <si>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</si>
  <si>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</si>
  <si>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Jordan Keith Willis</t>
  </si>
  <si>
    <t>162 Rolling Hills Cir</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</si>
  <si>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</si>
  <si>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</si>
  <si>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</si>
  <si>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</si>
  <si>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</si>
  <si>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</si>
  <si>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</si>
  <si>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</si>
  <si>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</si>
  <si>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</si>
  <si>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</si>
  <si>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</si>
  <si>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</si>
  <si>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</si>
  <si>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</si>
  <si>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</si>
  <si>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</si>
  <si>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</si>
  <si>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</si>
  <si>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</si>
  <si>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</si>
  <si>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</si>
  <si>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</si>
  <si>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</si>
  <si>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</si>
  <si>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</si>
  <si>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</si>
  <si>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</si>
  <si>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</si>
  <si>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</si>
  <si>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</si>
  <si>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</si>
  <si>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</si>
  <si>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</si>
  <si>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</si>
  <si>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</si>
  <si>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</si>
  <si>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</si>
  <si>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</si>
  <si>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</si>
  <si>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</si>
  <si>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</si>
  <si>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</si>
  <si>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</si>
  <si>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</si>
  <si>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</si>
  <si>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</si>
  <si>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</si>
  <si>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</si>
  <si>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</si>
  <si>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Jose Manuel Gonzalez</t>
  </si>
  <si>
    <t>3600 Espanola Dr</t>
  </si>
  <si>
    <t>75220</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</si>
  <si>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</si>
  <si>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</si>
  <si>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Melvin Leblanc</t>
  </si>
  <si>
    <t>Crawford Ave</t>
  </si>
  <si>
    <t>Crowley</t>
  </si>
  <si>
    <t>70526</t>
  </si>
  <si>
    <t>Acadia</t>
  </si>
  <si>
    <t>Crowley Police Department</t>
  </si>
  <si>
    <t>Leblanc fire shots at officers. Officers responded by firing back, killing Leblanc.</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</si>
  <si>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</si>
  <si>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</si>
  <si>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</si>
  <si>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</si>
  <si>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</si>
  <si>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</si>
  <si>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Juan Garcia Ahuezoteco</t>
  </si>
  <si>
    <t>http://cdn.abclocal.go.com/content/ktrk/images/cms/081114-ktrk-Juan-Garcia-Ahuezoteco.JPG</t>
  </si>
  <si>
    <t>W FM 646 Rd and Ohio Ave</t>
  </si>
  <si>
    <t>League City</t>
  </si>
  <si>
    <t>77539</t>
  </si>
  <si>
    <t>Dickinson Police Department</t>
  </si>
  <si>
    <t>Two suspects (Ahuezoteco and Molina) in a Dodge Durango fled a traffic stop by local officers, setting off a brief vehicle chase at speeds around 100 MPH. After a swerving minor crash the suspects rammed into four members of the Guerrero family in an Accord. All six were killed by the violent impact.</t>
  </si>
  <si>
    <t>http://www.galvestondailynews.com/free/article_59690302-2104-11e4-a858-001a4bcf6878.html</t>
  </si>
  <si>
    <t>Alejandro Molina</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</si>
  <si>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</si>
  <si>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</si>
  <si>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</si>
  <si>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</si>
  <si>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</si>
  <si>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</si>
  <si>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</si>
  <si>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Pammi Mroczek</t>
  </si>
  <si>
    <t>http://d1t3gia0in9tdj.cloudfront.net/photo/tributes/t/8/r/207x207/2380709/64de41c4-4302-4615-bf54-7285bcd23f8d.jpg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</si>
  <si>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</si>
  <si>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</si>
  <si>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</si>
  <si>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</si>
  <si>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</si>
  <si>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</si>
  <si>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Daniel Brennan</t>
  </si>
  <si>
    <t>http://www.dalyfuneralhome.com/include/storage/198640/DeathRecordStub/1928259/converted/150x215-2906395.jpg</t>
  </si>
  <si>
    <t>Malcoln Franklin</t>
  </si>
  <si>
    <t>500 Block Sibley Blvd</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</si>
  <si>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</si>
  <si>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</si>
  <si>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</si>
  <si>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</si>
  <si>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</si>
  <si>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</si>
  <si>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</si>
  <si>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</si>
  <si>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</si>
  <si>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</si>
  <si>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</si>
  <si>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</si>
  <si>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</si>
  <si>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</si>
  <si>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</si>
  <si>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</si>
  <si>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</si>
  <si>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</si>
  <si>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</si>
  <si>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</si>
  <si>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</si>
  <si>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</si>
  <si>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</si>
  <si>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</si>
  <si>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</si>
  <si>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</si>
  <si>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</si>
  <si>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</si>
  <si>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</si>
  <si>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</si>
  <si>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</si>
  <si>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</si>
  <si>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</si>
  <si>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</si>
  <si>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</si>
  <si>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</si>
  <si>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</si>
  <si>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</si>
  <si>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</si>
  <si>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</si>
  <si>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</si>
  <si>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</si>
  <si>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</si>
  <si>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</si>
  <si>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</si>
  <si>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</si>
  <si>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</si>
  <si>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</si>
  <si>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</si>
  <si>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</si>
  <si>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</si>
  <si>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</si>
  <si>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</si>
  <si>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</si>
  <si>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</si>
  <si>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</si>
  <si>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</si>
  <si>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</si>
  <si>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</si>
  <si>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</si>
  <si>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</si>
  <si>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</si>
  <si>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</si>
  <si>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</si>
  <si>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</si>
  <si>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</si>
  <si>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</si>
  <si>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</si>
  <si>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</si>
  <si>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</si>
  <si>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</si>
  <si>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</si>
  <si>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</si>
  <si>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</si>
  <si>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</si>
  <si>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</si>
  <si>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</si>
  <si>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</si>
  <si>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</si>
  <si>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Michael Laray Dozer</t>
  </si>
  <si>
    <t>http://d3vs4613l1445x.cloudfront.net/archive/x983253680/michael-dozer-JPG/g30e220000000000000cd6e289ef5e4a18d0e8aeb9080943a37b8c2636a.jpg</t>
  </si>
  <si>
    <t>2100 E Brundage Ln</t>
  </si>
  <si>
    <t>93307</t>
  </si>
  <si>
    <t>Dozer was acting erratically at a gas station when he walked towards an officer. Finding him to appear "aggressive", the officer shot and killed him.</t>
  </si>
  <si>
    <t>http://www.bakersfieldnow.com/news/local/Roads-closed-after-Bakersfield-OIS-270208541.html</t>
  </si>
  <si>
    <t>James Pickard Jr.</t>
  </si>
  <si>
    <t>http://www.kitv.com/image/view/-/27435374/medRes/1/-/maxh/460/maxw/620/-/11dguk6z/-/-Pickard01-0120-jpg.jpg</t>
  </si>
  <si>
    <t>2100 Komo Mai Dr</t>
  </si>
  <si>
    <t>Pearl City</t>
  </si>
  <si>
    <t>96782</t>
  </si>
  <si>
    <t>Pickard stole a car, hit a police car and reversed towards officers. Officers then shot and killed Pickard.</t>
  </si>
  <si>
    <t>http://khon2.com/2014/08/06/hpd-investigating-early-morning-shoot-out-in-pearl-city/</t>
  </si>
  <si>
    <t>Jeremey Lake</t>
  </si>
  <si>
    <t>http://assets.nydailynews.com/polopoly_fs/1.1894247!/img/httpImage/image.jpg_gen/derivatives/article_970/tulsa7n-3-web.jpg</t>
  </si>
  <si>
    <t>100 North Maybelle</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</si>
  <si>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</si>
  <si>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</si>
  <si>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John H. Crawford III</t>
  </si>
  <si>
    <t>http://hw.infowars.com/wp-content/uploads/2014/08/crawford1.jpg</t>
  </si>
  <si>
    <t>3360 Pentagon Blvd.</t>
  </si>
  <si>
    <t>Beavercreek</t>
  </si>
  <si>
    <t>45431</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</si>
  <si>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</si>
  <si>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</si>
  <si>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</si>
  <si>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</si>
  <si>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</si>
  <si>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</si>
  <si>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</si>
  <si>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</si>
  <si>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</si>
  <si>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</si>
  <si>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</si>
  <si>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</si>
  <si>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</si>
  <si>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</si>
  <si>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</si>
  <si>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</si>
  <si>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</si>
  <si>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</si>
  <si>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</si>
  <si>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</si>
  <si>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</si>
  <si>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</si>
  <si>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</si>
  <si>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</si>
  <si>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</si>
  <si>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</si>
  <si>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</si>
  <si>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</si>
  <si>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Amir Brooks</t>
  </si>
  <si>
    <t>http://img.washingtonpost.com/rw/2010-2019/WashingtonPost/2014/08/06/Local/Images/IMG_190207564970797.jpg?uuid=EVPVbh18EeSC-SzW-o2lxA</t>
  </si>
  <si>
    <t>36th Street and Alabama Avenue SE</t>
  </si>
  <si>
    <t>20020</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</si>
  <si>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</si>
  <si>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</si>
  <si>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Manuel Flores</t>
  </si>
  <si>
    <t>http://www.kob.com/kobtvimages/repository/2014-08/Picture1.jpg</t>
  </si>
  <si>
    <t>4330 Coors Blvd SW</t>
  </si>
  <si>
    <t>Bernalillo County Sheriff's Office</t>
  </si>
  <si>
    <t>Flores rammed a deputies car twice, trapping the deputy inside. The deputy feared for his life and shot and killed Flores .</t>
  </si>
  <si>
    <t>http://www.kob.com/article/stories/s3523792.shtml#.VGvPJzTF98E</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</si>
  <si>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</si>
  <si>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</si>
  <si>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</si>
  <si>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</si>
  <si>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</si>
  <si>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Jacorey Calhoun</t>
  </si>
  <si>
    <t>http://www.mentalhealthportland.org/wp-content/uploads/2014/09/Jacorey-Calhoun.jpg</t>
  </si>
  <si>
    <t>105th Avenue and Edes Avenue</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</si>
  <si>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</si>
  <si>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http://www.sfgate.com/crime/article/Alameda-County-sheriff-s-deputy-who-shot-suspect-5698358.php</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</si>
  <si>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</si>
  <si>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</si>
  <si>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</si>
  <si>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</si>
  <si>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</si>
  <si>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</si>
  <si>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</si>
  <si>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</si>
  <si>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</si>
  <si>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</si>
  <si>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</si>
  <si>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</si>
  <si>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</si>
  <si>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</si>
  <si>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</si>
  <si>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</si>
  <si>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</si>
  <si>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</si>
  <si>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</si>
  <si>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</si>
  <si>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</si>
  <si>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</si>
  <si>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</si>
  <si>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</si>
  <si>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</si>
  <si>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</si>
  <si>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</si>
  <si>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</si>
  <si>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</si>
  <si>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</si>
  <si>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</si>
  <si>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</si>
  <si>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</si>
  <si>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</si>
  <si>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</si>
  <si>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</si>
  <si>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</si>
  <si>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</si>
  <si>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</si>
  <si>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</si>
  <si>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</si>
  <si>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Mark L. Lanza</t>
  </si>
  <si>
    <t>35th and Northern Avenue</t>
  </si>
  <si>
    <t>Lanza shot at officers after he burglarized a condo. Officers then shot and killed Lanza.</t>
  </si>
  <si>
    <t>http://www.azcentral.com/story/news/local/phoenix/2014/08/04/phoenix-police-shooting-mark-lanza-abrk/13587871/</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</si>
  <si>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</si>
  <si>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</si>
  <si>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</si>
  <si>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</si>
  <si>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</si>
  <si>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</si>
  <si>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</si>
  <si>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</si>
  <si>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</si>
  <si>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</si>
  <si>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</si>
  <si>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</si>
  <si>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</si>
  <si>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Anthony Callaway</t>
  </si>
  <si>
    <t>Washington Road and Desert Drive</t>
  </si>
  <si>
    <t>East Point</t>
  </si>
  <si>
    <t>30337</t>
  </si>
  <si>
    <t>Fulton County Sheriff's Office</t>
  </si>
  <si>
    <t>Callaway shot a police dog after refusing to comply with orders. Deputies then shot and killed Callaway.</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</si>
  <si>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</si>
  <si>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</si>
  <si>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</si>
  <si>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</si>
  <si>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</si>
  <si>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</si>
  <si>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</si>
  <si>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Frank Mendoza</t>
  </si>
  <si>
    <t>http://tribktla.files.wordpress.com/2014/08/mendoza.jpg?w=300&amp;h=168</t>
  </si>
  <si>
    <t>9000 Rosehedge Dr</t>
  </si>
  <si>
    <t>Ramirez took Mendoza's wife hostage. Mendoza engaged in a gun fight with with Ramirez. SWAT accidentally shot and killed Mednoza and also shot and killed Ramirez.</t>
  </si>
  <si>
    <t>http://ktla.com/2014/08/07/pico-rivera-deputy-involved-shooting-autopsy-results-to-be-discussed-at-news-conference/</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</si>
  <si>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</si>
  <si>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</si>
  <si>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</si>
  <si>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</si>
  <si>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</si>
  <si>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</si>
  <si>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</si>
  <si>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</si>
  <si>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</si>
  <si>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Donn Eastman</t>
  </si>
  <si>
    <t>http://ww3.hdnux.com/photos/31/37/74/6684438/5/622x350.jpg</t>
  </si>
  <si>
    <t>2500 Nacogdoches Rd</t>
  </si>
  <si>
    <t>78217</t>
  </si>
  <si>
    <t>Eastman tried to break into a car. When officers approached Eastman, he fired a gun at them. Officers then shot and killed Eastman.</t>
  </si>
  <si>
    <t>http://www.mysanantonio.com/news/local/article/Man-killed-by-officer-had-past-murder-conviction-5667993.php#photo-6684438</t>
  </si>
  <si>
    <t>David A. Mendoza</t>
  </si>
  <si>
    <t>Oakwood Knolls Drive</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</si>
  <si>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</si>
  <si>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</si>
  <si>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</si>
  <si>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</si>
  <si>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</si>
  <si>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</si>
  <si>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</si>
  <si>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</si>
  <si>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</si>
  <si>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</si>
  <si>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</si>
  <si>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</si>
  <si>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</si>
  <si>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Andrew J. Michaelis</t>
  </si>
  <si>
    <t>http://wwwcache.wral.com/asset/news/local/2014/07/30/13854873/1406932073-michaelis-640x360.jpg</t>
  </si>
  <si>
    <t>5100 New Moon Drive</t>
  </si>
  <si>
    <t>28306</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</si>
  <si>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</si>
  <si>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</si>
  <si>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Jesse Vigil</t>
  </si>
  <si>
    <t>Horizon Drive and Boulder Highway</t>
  </si>
  <si>
    <t>89002</t>
  </si>
  <si>
    <t>Vigil was asked questions by officers when he became combative and stabbed an officer in the thigh. Vigil was shot and killed.</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</si>
  <si>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</si>
  <si>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</si>
  <si>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</si>
  <si>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</si>
  <si>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</si>
  <si>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</si>
  <si>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Brad D. Jensen</t>
  </si>
  <si>
    <t>4200 Desert Pl</t>
  </si>
  <si>
    <t>Jensen refused orders to drop a knife. Officers shot and killed Jensen.</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</si>
  <si>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</si>
  <si>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</si>
  <si>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</si>
  <si>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</si>
  <si>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</si>
  <si>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</si>
  <si>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</si>
  <si>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</si>
  <si>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</si>
  <si>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</si>
  <si>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</si>
  <si>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</si>
  <si>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</si>
  <si>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</si>
  <si>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</si>
  <si>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</si>
  <si>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</si>
  <si>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</si>
  <si>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89120</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</si>
  <si>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</si>
  <si>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</si>
  <si>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</si>
  <si>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</si>
  <si>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</si>
  <si>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</si>
  <si>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</si>
  <si>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</si>
  <si>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</si>
  <si>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</si>
  <si>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</si>
  <si>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</si>
  <si>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</si>
  <si>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</si>
  <si>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</si>
  <si>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</si>
  <si>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</si>
  <si>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</si>
  <si>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</si>
  <si>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</si>
  <si>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</si>
  <si>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Paul Burkons</t>
  </si>
  <si>
    <t>Adams Boulevard and Buckingham Road</t>
  </si>
  <si>
    <t>90016</t>
  </si>
  <si>
    <t>Burkons was lying naked in the street (looking for a reportedly naked man) when the officers accidentally ran him over - killing him.</t>
  </si>
  <si>
    <t>http://stage.sfvmedia.com/sfv/naked-man-fatally-run-police/</t>
  </si>
  <si>
    <t>Matthew Robinson</t>
  </si>
  <si>
    <t>http://mediaassets.redding.com/photo/2014/07/28/Robinson_cropped_1406591440591_7107493_ver1.0_900_675.jpg</t>
  </si>
  <si>
    <t>2750 Eureka Way</t>
  </si>
  <si>
    <t>96001</t>
  </si>
  <si>
    <t>Unknown Medical Issue</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</si>
  <si>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</si>
  <si>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</si>
  <si>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</si>
  <si>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</si>
  <si>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</si>
  <si>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</si>
  <si>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</si>
  <si>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</si>
  <si>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</si>
  <si>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</si>
  <si>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</si>
  <si>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</si>
  <si>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</si>
  <si>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</si>
  <si>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</si>
  <si>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</si>
  <si>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</si>
  <si>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</si>
  <si>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</si>
  <si>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</si>
  <si>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</si>
  <si>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</si>
  <si>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</si>
  <si>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</si>
  <si>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</si>
  <si>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</si>
  <si>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</si>
  <si>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</si>
  <si>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</si>
  <si>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</si>
  <si>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</si>
  <si>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</si>
  <si>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</si>
  <si>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Luis Jobel</t>
  </si>
  <si>
    <t>6700 Hayvenhurst Ave</t>
  </si>
  <si>
    <t>Jobel was a vandal suspect. He was unarmed but did not comply with officers. It was not reported why officers shot and killed Jobel. Jobel may have thrown rocks at officers.</t>
  </si>
  <si>
    <t>http://www.nbclosangeles.com/news/local/Officer-Involved-Shooting-in-Van-Nuys-268572702.html</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</si>
  <si>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</si>
  <si>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</si>
  <si>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</si>
  <si>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</si>
  <si>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</si>
  <si>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</si>
  <si>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</si>
  <si>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</si>
  <si>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</si>
  <si>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</si>
  <si>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</si>
  <si>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</si>
  <si>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</si>
  <si>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</si>
  <si>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Hampton</t>
  </si>
  <si>
    <t>30228</t>
  </si>
  <si>
    <t>Henry</t>
  </si>
  <si>
    <t>Henry County Police Department</t>
  </si>
  <si>
    <t>Knowles was acting disturbed and had a gun at her side. She made an 'offensive' movement towards the gun and officers shot and killed her.</t>
  </si>
  <si>
    <t>http://www.wsbtv.com/news/news/local/investigators-scene-officer-involved-shooting-henr/ngnDZ/</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</si>
  <si>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</si>
  <si>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</si>
  <si>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</si>
  <si>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</si>
  <si>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</si>
  <si>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</si>
  <si>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</si>
  <si>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David Newmeyer</t>
  </si>
  <si>
    <t>http://www.ocalapost.com/wp-content/uploads/2014/07/David-Newmeyer.jpg</t>
  </si>
  <si>
    <t>15135 U.S. 19</t>
  </si>
  <si>
    <t>Cross City</t>
  </si>
  <si>
    <t>32628</t>
  </si>
  <si>
    <t>Dixie</t>
  </si>
  <si>
    <t>Dixie County Sheriff's Office</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</si>
  <si>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</si>
  <si>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</si>
  <si>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Charles Leon Johnson II</t>
  </si>
  <si>
    <t>http://augustacrime.com/wp-content/uploads/2014/07/Charles-Leon-Johnson-II-cop-shooting-180x271.jpg</t>
  </si>
  <si>
    <t>941 Georgia 140</t>
  </si>
  <si>
    <t>Adairsville</t>
  </si>
  <si>
    <t>30103</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</si>
  <si>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</si>
  <si>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</si>
  <si>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</si>
  <si>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</si>
  <si>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</si>
  <si>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</si>
  <si>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</si>
  <si>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</si>
  <si>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</si>
  <si>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</si>
  <si>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</si>
  <si>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</si>
  <si>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</si>
  <si>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</si>
  <si>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</si>
  <si>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</si>
  <si>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</si>
  <si>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</si>
  <si>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</si>
  <si>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</si>
  <si>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</si>
  <si>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</si>
  <si>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</si>
  <si>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</si>
  <si>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</si>
  <si>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</si>
  <si>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</si>
  <si>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</si>
  <si>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</si>
  <si>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</si>
  <si>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</si>
  <si>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</si>
  <si>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</si>
  <si>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</si>
  <si>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Richard Duncalf</t>
  </si>
  <si>
    <t>22915 86th Ave S</t>
  </si>
  <si>
    <t>98031</t>
  </si>
  <si>
    <t>Duncalf supposedly assaulted an officer and fled. He then reportedly fired at officers. Officers returned fire killing Duncalf. An eyewitness however disputes the official police report.</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</si>
  <si>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</si>
  <si>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</si>
  <si>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</si>
  <si>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</si>
  <si>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</si>
  <si>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</si>
  <si>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</si>
  <si>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</si>
  <si>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</si>
  <si>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</si>
  <si>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</si>
  <si>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</si>
  <si>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Jonathan L. Williams</t>
  </si>
  <si>
    <t>http://www.gannett-cdn.com/-mm-/fe8262a9eb90969f5425a9591bbda2e647ffed15/c=9-0-459-600&amp;r=537&amp;c=0-0-534-712/local/-/media/Phoenix/GenericImages/2014/07/21/1405978069000-williams.jpg</t>
  </si>
  <si>
    <t>1612 N Scottsdale Rd</t>
  </si>
  <si>
    <t>Williams reportedly fired a gun at an officer. An officer returned fire, killing Williams.</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</si>
  <si>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</si>
  <si>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</si>
  <si>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</si>
  <si>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</si>
  <si>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</si>
  <si>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</si>
  <si>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</si>
  <si>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</si>
  <si>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</si>
  <si>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</si>
  <si>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89032</t>
  </si>
  <si>
    <t>Johnson was in a confrontation with officers when he pulled out a fake gun. Officers responded by shooting and killing Johnson.</t>
  </si>
  <si>
    <t>Andre Milton</t>
  </si>
  <si>
    <t>168th Avenue and East 14th Street</t>
  </si>
  <si>
    <t>94578</t>
  </si>
  <si>
    <t>Milton was violently beating his girlfriends head against against a car when a deputy shot and killed him.</t>
  </si>
  <si>
    <t>http://www.mercurynews.com/crime-courts/ci_26204391/woman-attacked-before-fatal-police-shooting-is-out</t>
  </si>
  <si>
    <t>Eric Garner</t>
  </si>
  <si>
    <t>43</t>
  </si>
  <si>
    <t>http://d.ibtimes.co.uk/en/full/1392076/garners.jpg</t>
  </si>
  <si>
    <t>Victory Boulevard and Bay Street</t>
  </si>
  <si>
    <t>10301</t>
  </si>
  <si>
    <t>Asphyxiation</t>
  </si>
  <si>
    <t>The 400-pound asthmatic Staten Island dad died after an officer put him in a chokehold and other officers appeared to slam his head against the sidewalk, video of the incident shows. Evidently, the cops suspected him of selling untaxed cigarettes.</t>
  </si>
  <si>
    <t>http://youtu.be/5LSBpwmMnVM</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</si>
  <si>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</si>
  <si>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</si>
  <si>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</si>
  <si>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</si>
  <si>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</si>
  <si>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</si>
  <si>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</si>
  <si>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</si>
  <si>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</si>
  <si>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</si>
  <si>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</si>
  <si>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</si>
  <si>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</si>
  <si>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</si>
  <si>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</si>
  <si>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</si>
  <si>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</si>
  <si>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</si>
  <si>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</si>
  <si>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</si>
  <si>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</si>
  <si>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</si>
  <si>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Alex Gregory Martinez</t>
  </si>
  <si>
    <t>http://www.kcra.com/image/view/-/27033456/medRes/1/-/maxh/220/maxw/220/-/3vlvm2z/-/2-new-suspects-jpg.jpg</t>
  </si>
  <si>
    <t>1440 E Hammer Ln</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</si>
  <si>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</si>
  <si>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</si>
  <si>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</si>
  <si>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</si>
  <si>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</si>
  <si>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</si>
  <si>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</si>
  <si>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</si>
  <si>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</si>
  <si>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</si>
  <si>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</si>
  <si>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</si>
  <si>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Germantown</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</si>
  <si>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</si>
  <si>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</si>
  <si>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</si>
  <si>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</si>
  <si>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</si>
  <si>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</si>
  <si>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</si>
  <si>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</si>
  <si>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</si>
  <si>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</si>
  <si>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</si>
  <si>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</si>
  <si>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</si>
  <si>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</si>
  <si>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</si>
  <si>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</si>
  <si>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</si>
  <si>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</si>
  <si>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</si>
  <si>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</si>
  <si>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</si>
  <si>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Wichita Falls</t>
  </si>
  <si>
    <t>76306</t>
  </si>
  <si>
    <t>Wichita Falls Police Department</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</si>
  <si>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</si>
  <si>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</si>
  <si>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</si>
  <si>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</si>
  <si>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</si>
  <si>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</si>
  <si>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</si>
  <si>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</si>
  <si>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</si>
  <si>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</si>
  <si>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</si>
  <si>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</si>
  <si>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</si>
  <si>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</si>
  <si>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</si>
  <si>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</si>
  <si>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Adrian Eugene King</t>
  </si>
  <si>
    <t>146 3rd Ave W</t>
  </si>
  <si>
    <t>28792</t>
  </si>
  <si>
    <t>King stabbed an officer prompting the wounded officer's partner to shoot and kill King.</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</si>
  <si>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</si>
  <si>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</si>
  <si>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</si>
  <si>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</si>
  <si>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</si>
  <si>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</si>
  <si>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</si>
  <si>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</si>
  <si>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Ronald Hewett</t>
  </si>
  <si>
    <t>3950 Juvenile Center Rd</t>
  </si>
  <si>
    <t>Castle Hayne</t>
  </si>
  <si>
    <t>New Hanover</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</si>
  <si>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</si>
  <si>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</si>
  <si>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</si>
  <si>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</si>
  <si>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</si>
  <si>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</si>
  <si>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</si>
  <si>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</si>
  <si>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</si>
  <si>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</si>
  <si>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Valerie Abbott Harrington</t>
  </si>
  <si>
    <t>http://wbtw.images.worldnow.com/images/4207982_G.jpg</t>
  </si>
  <si>
    <t>Ashcraft Circle</t>
  </si>
  <si>
    <t>Pawleys Island</t>
  </si>
  <si>
    <t>29585</t>
  </si>
  <si>
    <t>Georgetown</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</si>
  <si>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</si>
  <si>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</si>
  <si>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</si>
  <si>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</si>
  <si>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</si>
  <si>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</si>
  <si>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</si>
  <si>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</si>
  <si>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</si>
  <si>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</si>
  <si>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</si>
  <si>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</si>
  <si>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</si>
  <si>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New Iberia</t>
  </si>
  <si>
    <t>70560</t>
  </si>
  <si>
    <t>Iberia</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</si>
  <si>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</si>
  <si>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</si>
  <si>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</si>
  <si>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</si>
  <si>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</si>
  <si>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</si>
  <si>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</si>
  <si>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</si>
  <si>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</si>
  <si>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</si>
  <si>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</si>
  <si>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Joseph K. Greer</t>
  </si>
  <si>
    <t>http://www.obitssetx.com/files/photos/big1405700480Untitled-Scanned-38.jpg</t>
  </si>
  <si>
    <t>1700 E Railroad St</t>
  </si>
  <si>
    <t>Vidor</t>
  </si>
  <si>
    <t>77662</t>
  </si>
  <si>
    <t>Vidor Police Department</t>
  </si>
  <si>
    <t>Greer pulled out a knife on officers. Officers then shot and killed Greer.</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</si>
  <si>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</si>
  <si>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</si>
  <si>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</si>
  <si>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</si>
  <si>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</si>
  <si>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</si>
  <si>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</si>
  <si>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</si>
  <si>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</si>
  <si>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</si>
  <si>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</si>
  <si>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</si>
  <si>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</si>
  <si>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</si>
  <si>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</si>
  <si>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</si>
  <si>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</si>
  <si>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</si>
  <si>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Brandon Ray Brown</t>
  </si>
  <si>
    <t>http://ak-cache.legacy.com/legacy/Images/Cobrands/DignityMemorial/Photos/7562d85b-b669-4113-aae4-1584c6782193.jpg</t>
  </si>
  <si>
    <t>2000 187th Place Southeast</t>
  </si>
  <si>
    <t>Bothell</t>
  </si>
  <si>
    <t>98012</t>
  </si>
  <si>
    <t>Shot while advancing on a deputy holding a cane overhead. Deputies were responding to a report of a domestic disturbance.</t>
  </si>
  <si>
    <t>http://seattletimes.com/html/localnews/2015590013_deputyshooting13m.html</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</si>
  <si>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</si>
  <si>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</si>
  <si>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</si>
  <si>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</si>
  <si>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</si>
  <si>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</si>
  <si>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</si>
  <si>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</si>
  <si>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</si>
  <si>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</si>
  <si>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</si>
  <si>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</si>
  <si>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</si>
  <si>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</si>
  <si>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</si>
  <si>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</si>
  <si>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</si>
  <si>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</si>
  <si>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</si>
  <si>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</si>
  <si>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</si>
  <si>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</si>
  <si>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</si>
  <si>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</si>
  <si>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</si>
  <si>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</si>
  <si>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</si>
  <si>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</si>
  <si>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</si>
  <si>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</si>
  <si>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</si>
  <si>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</si>
  <si>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</si>
  <si>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</si>
  <si>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</si>
  <si>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</si>
  <si>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</si>
  <si>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</si>
  <si>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</si>
  <si>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</si>
  <si>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</si>
  <si>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</si>
  <si>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</si>
  <si>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</si>
  <si>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Jeanetta Marie Riley</t>
  </si>
  <si>
    <t>http://www.lakeviewfuneral.com/sitemaker/memsol_data/819/1360516/1360516_profile_pic.jpg?1415398437</t>
  </si>
  <si>
    <t>520 N 3rd Ave</t>
  </si>
  <si>
    <t>83864</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</si>
  <si>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</si>
  <si>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</si>
  <si>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</si>
  <si>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</si>
  <si>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</si>
  <si>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</si>
  <si>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</si>
  <si>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</si>
  <si>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</si>
  <si>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James McKinney</t>
  </si>
  <si>
    <t>500 W A St</t>
  </si>
  <si>
    <t>Hayward</t>
  </si>
  <si>
    <t>94541</t>
  </si>
  <si>
    <t>Hayward Police Department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</si>
  <si>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</si>
  <si>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</si>
  <si>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Rajko Utvic</t>
  </si>
  <si>
    <t>37</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</si>
  <si>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</si>
  <si>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</si>
  <si>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</si>
  <si>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</si>
  <si>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</si>
  <si>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</si>
  <si>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</si>
  <si>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</si>
  <si>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</si>
  <si>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</si>
  <si>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</si>
  <si>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</si>
  <si>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</si>
  <si>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</si>
  <si>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</si>
  <si>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</si>
  <si>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</si>
  <si>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</si>
  <si>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</si>
  <si>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</si>
  <si>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</si>
  <si>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</si>
  <si>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</si>
  <si>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</si>
  <si>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</si>
  <si>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</si>
  <si>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</si>
  <si>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</si>
  <si>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</si>
  <si>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</si>
  <si>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</si>
  <si>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</si>
  <si>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</si>
  <si>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</si>
  <si>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</si>
  <si>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Donna Platz</t>
  </si>
  <si>
    <t>http://www.edderfuneralhome.com/obituaries/uploads/OI1873435158_DonnaPlatzObitPic.jpeg</t>
  </si>
  <si>
    <t>Sterrettania Road and State Route 98</t>
  </si>
  <si>
    <t>Fairview</t>
  </si>
  <si>
    <t>16415</t>
  </si>
  <si>
    <t>Erie</t>
  </si>
  <si>
    <t>Trooper Frederick Schimp, 48, reportedly failed to stop at an intersection hitting and killing Platz.</t>
  </si>
  <si>
    <t>Citation</t>
  </si>
  <si>
    <t>http://www.erietvnews.com/story/25945965/two-pa-state-troopers-involved-in-fatal-accident</t>
  </si>
  <si>
    <t>Icarus Randolph</t>
  </si>
  <si>
    <t>26</t>
  </si>
  <si>
    <t>http://media.kansas.com/smedia/2014/07/07/18/46/6a1gd.Em.80.jpg</t>
  </si>
  <si>
    <t>7815 E Clay St</t>
  </si>
  <si>
    <t>67207</t>
  </si>
  <si>
    <t>Wichita Police Department.</t>
  </si>
  <si>
    <t>911 called about a suicidal individual. Randolph had a knife moving towards officers and shots were fired, killing Randolph.</t>
  </si>
  <si>
    <t>http://www.kansas.com/2014/07/07/3542623/police-chief-man-killed-in-shooting.html</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</si>
  <si>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</si>
  <si>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</si>
  <si>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</si>
  <si>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</si>
  <si>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</si>
  <si>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</si>
  <si>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</si>
  <si>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Norman L. Scott</t>
  </si>
  <si>
    <t>65th Avenue Way</t>
  </si>
  <si>
    <t>Cannon Falls</t>
  </si>
  <si>
    <t>55009</t>
  </si>
  <si>
    <t>Goodhue</t>
  </si>
  <si>
    <t>A state trooper was responding to an accident when he collided with the Scott’s vehicle, killing both Norman L. Scott, 78, and his wife, Geneva M. Scott, 79.</t>
  </si>
  <si>
    <t>http://www.twincities.com/localnews/ci_26091563/1-dead-cannon-falls-accident</t>
  </si>
  <si>
    <t>Geneva M. Scott</t>
  </si>
  <si>
    <t>Kevin Courtner</t>
  </si>
  <si>
    <t>I-40 East and I-75</t>
  </si>
  <si>
    <t>Lenoir City</t>
  </si>
  <si>
    <t>37771</t>
  </si>
  <si>
    <t>Loudon</t>
  </si>
  <si>
    <t>Tennessee Highway Patrol</t>
  </si>
  <si>
    <t>Courtner was involved in a short pursuit with THP. When he was apprehended he was combative. Short time later he was pronounced dead.</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</si>
  <si>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</si>
  <si>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</si>
  <si>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</si>
  <si>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</si>
  <si>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</si>
  <si>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</si>
  <si>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</si>
  <si>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Ryan Ronquillo</t>
  </si>
  <si>
    <t>20</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</si>
  <si>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</si>
  <si>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</si>
  <si>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</si>
  <si>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</si>
  <si>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</si>
  <si>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</si>
  <si>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</si>
  <si>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</si>
  <si>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</si>
  <si>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</si>
  <si>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Lewis L. Williams</t>
  </si>
  <si>
    <t>70 Claire Dr SE</t>
  </si>
  <si>
    <t>Williams suffered from dementia. He allegedly attacked an officer with an ax, prompting the officer to shoot and kill Williams.</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</si>
  <si>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</si>
  <si>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</si>
  <si>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</si>
  <si>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</si>
  <si>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</si>
  <si>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</si>
  <si>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</si>
  <si>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</si>
  <si>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</si>
  <si>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</si>
  <si>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</si>
  <si>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Jerry Brown</t>
  </si>
  <si>
    <t>http://www.tampabay.com/resources/images/dti/rendered/2014/07/b4s_passhootfolo070314_13451564_8col.jpg</t>
  </si>
  <si>
    <t>4128 Gall Blvd.</t>
  </si>
  <si>
    <t>Zephyrhills</t>
  </si>
  <si>
    <t>33542</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</si>
  <si>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</si>
  <si>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</si>
  <si>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Michael Jones Keys Sr.</t>
  </si>
  <si>
    <t>3600 Wilson Blvd</t>
  </si>
  <si>
    <t>Keys was acting suicidal when he pointed a revolver at officers, resulting getting shot and killed.</t>
  </si>
  <si>
    <t>http://jacksonville.com/news/crime/2014-07-01/story/man-killed-police-involved-shooting-tuesday-jacksonville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</si>
  <si>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</si>
  <si>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</si>
  <si>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</si>
  <si>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</si>
  <si>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</si>
  <si>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</si>
  <si>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</si>
  <si>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</si>
  <si>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</si>
  <si>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</si>
  <si>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</si>
  <si>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</si>
  <si>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</si>
  <si>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</si>
  <si>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</si>
  <si>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</si>
  <si>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</si>
  <si>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</si>
  <si>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</si>
  <si>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</si>
  <si>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Brian Demarcus West</t>
  </si>
  <si>
    <t>http://www.gannett-cdn.com/-mm-/40cbf3e85e71f59ca15b8bb0e855baea285c2b29/c=43-0-256-283&amp;r=537&amp;c=0-0-534-712/local/-/media/WTSP/WTSP/2014/06/29/1404079418000-mugshot-water1.JPG</t>
  </si>
  <si>
    <t>West 3rd Street and North Florida Avenue</t>
  </si>
  <si>
    <t>33805</t>
  </si>
  <si>
    <t>West jumped from his vehicle during a police chase. The officer tried to evade a collision, hitting West in the process. West died from his injuries.</t>
  </si>
  <si>
    <t>http://www.wtsp.com/story/news/local/2014/06/29/armed-carjacking-suspect-dies-from-injuries/11712569/</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</si>
  <si>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</si>
  <si>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</si>
  <si>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</si>
  <si>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</si>
  <si>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</si>
  <si>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</si>
  <si>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</si>
  <si>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Paul M. Edmundson</t>
  </si>
  <si>
    <t>520 S Tower Ave</t>
  </si>
  <si>
    <t>Centralia</t>
  </si>
  <si>
    <t>98531</t>
  </si>
  <si>
    <t>Centralia Police Department</t>
  </si>
  <si>
    <t>An officer was trying to detain Edmundson for stealing a burrito, he was combative and pulled out a gun. The officer shot and killed Edmundson.</t>
  </si>
  <si>
    <t>http://www.lewiscountysirens.com/?aul M. Edmundson=26104</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</si>
  <si>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</si>
  <si>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</si>
  <si>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</si>
  <si>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</si>
  <si>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</si>
  <si>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</si>
  <si>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</si>
  <si>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</si>
  <si>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</si>
  <si>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</si>
  <si>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</si>
  <si>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</si>
  <si>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</si>
  <si>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</si>
  <si>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</si>
  <si>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</si>
  <si>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</si>
  <si>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79705</t>
  </si>
  <si>
    <t>Garnett was robbing a restaurant. An off-duty detective confronted Garnett. Garnett pointed a gun at the detective, prompting him to shoot Garnett.</t>
  </si>
  <si>
    <t>http://www.newswest9.com/story/25896979/employees-at-midland-restaurant-react-to-officer-involved-shooting</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</si>
  <si>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</si>
  <si>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</si>
  <si>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</si>
  <si>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</si>
  <si>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</si>
  <si>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</si>
  <si>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</si>
  <si>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</si>
  <si>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</si>
  <si>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</si>
  <si>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</si>
  <si>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</si>
  <si>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</si>
  <si>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</si>
  <si>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</si>
  <si>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</si>
  <si>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</si>
  <si>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</si>
  <si>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</si>
  <si>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</si>
  <si>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</si>
  <si>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</si>
  <si>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</si>
  <si>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Dominic Graffeo</t>
  </si>
  <si>
    <t>Hawthorne Street</t>
  </si>
  <si>
    <t>Chelsea</t>
  </si>
  <si>
    <t>02150</t>
  </si>
  <si>
    <t>Chelsea Police Department</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</si>
  <si>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Graffeo may have overdosed on heroin. The cause of death remains under investigation.</t>
  </si>
  <si>
    <t>http://www.bostonglobe.com/metro/2014/06/27/chelsea-man-dies-after-struggle-with-police-may-have-been-suffering-from-drug-overdose/Xqq2hFZB3LTkjSJ1jRvKbL/story.html</t>
  </si>
  <si>
    <t>David J. Kingsbury</t>
  </si>
  <si>
    <t>128 Mill St.</t>
  </si>
  <si>
    <t>01108</t>
  </si>
  <si>
    <t>Hampden</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</si>
  <si>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</si>
  <si>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</si>
  <si>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</si>
  <si>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</si>
  <si>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</si>
  <si>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</si>
  <si>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</si>
  <si>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</si>
  <si>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</si>
  <si>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</si>
  <si>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Samuel Johnson</t>
  </si>
  <si>
    <t>3701 Stocker St</t>
  </si>
  <si>
    <t>90008</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</si>
  <si>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</si>
  <si>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</si>
  <si>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</si>
  <si>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</si>
  <si>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19962</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</si>
  <si>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</si>
  <si>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</si>
  <si>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</si>
  <si>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</si>
  <si>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</si>
  <si>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</si>
  <si>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</si>
  <si>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</si>
  <si>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</si>
  <si>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</si>
  <si>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</si>
  <si>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</si>
  <si>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Antoine Dominique Hunter</t>
  </si>
  <si>
    <t>https://tribktla.files.wordpress.com/2014/06/antoinuehunter.jpeg</t>
  </si>
  <si>
    <t>North Poinsettia Avenue and East Palmer Street</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</si>
  <si>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</si>
  <si>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</si>
  <si>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</si>
  <si>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</si>
  <si>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</si>
  <si>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</si>
  <si>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</si>
  <si>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</si>
  <si>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</si>
  <si>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</si>
  <si>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</si>
  <si>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</si>
  <si>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</si>
  <si>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</si>
  <si>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</si>
  <si>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</si>
  <si>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Samuel Shields</t>
  </si>
  <si>
    <t>http://media.nbcwashington.com/images/698*349/20140622+Jail.jpg</t>
  </si>
  <si>
    <t>13400 Dille Drive</t>
  </si>
  <si>
    <t>Upper Marlboro</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</si>
  <si>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</si>
  <si>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</si>
  <si>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</si>
  <si>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</si>
  <si>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</si>
  <si>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</si>
  <si>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</si>
  <si>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http://www.nbcdfw.com/news/local/One-Dead-in-Shooting-Outside-Duncanville-Restaurant-264153141.html</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</si>
  <si>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</si>
  <si>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</si>
  <si>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</si>
  <si>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</si>
  <si>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</si>
  <si>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</si>
  <si>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Jose Cardenas Beltran</t>
  </si>
  <si>
    <t>http://cbsnews2.cbsistatic.com/hub/i/r/2014/06/23/41706df4-c728-4497-b944-e50739b30717/thumbnail/620x350/2aa20601154a171960c608ca6686f37a/untitled.png</t>
  </si>
  <si>
    <t>4202 Cold Creek Way</t>
  </si>
  <si>
    <t>95838</t>
  </si>
  <si>
    <t>Officers called to scene of drunk man threatening his brother with a knife. Officers demanded suspect drop the knife, and opened fire when he threatened to throw it at them.</t>
  </si>
  <si>
    <t>http://www.sacbee.com/news/local/crime/article2606125.html</t>
  </si>
  <si>
    <t>James Moala Kofu</t>
  </si>
  <si>
    <t>http://bloximages.chicago2.vip.townnews.com/highlandnews.net/content/tncms/assets/v3/editorial/f/78/f78ef8ee-fae3-11e3-aa01-001a4bcf887a/53a83c0272a69.image.jpg</t>
  </si>
  <si>
    <t>800 blk. N. Davidson Avenue</t>
  </si>
  <si>
    <t>Police investigating a murder were approached by two armed men, one of whom pointed a sawed-off rifle at the officers. Officers shot and killed one of the men.</t>
  </si>
  <si>
    <t>http://ktla.com/2014/06/21/armed-man-shot-killed-by-officers-second-man-arrested-san-bernardino-police/</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</si>
  <si>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</si>
  <si>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</si>
  <si>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</si>
  <si>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</si>
  <si>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</si>
  <si>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</si>
  <si>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</si>
  <si>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</si>
  <si>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</si>
  <si>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</si>
  <si>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</si>
  <si>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</si>
  <si>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</si>
  <si>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</si>
  <si>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</si>
  <si>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</si>
  <si>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</si>
  <si>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</si>
  <si>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</si>
  <si>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</si>
  <si>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</si>
  <si>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Ismael Sadiq</t>
  </si>
  <si>
    <t>http://kdfw.images.worldnow.com/images/4022777_G.jpg</t>
  </si>
  <si>
    <t>3347 West Walnut Street</t>
  </si>
  <si>
    <t>75042</t>
  </si>
  <si>
    <t>Suspect charged police officer with a knife.</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</si>
  <si>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</si>
  <si>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</si>
  <si>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</si>
  <si>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</si>
  <si>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</si>
  <si>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</si>
  <si>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</si>
  <si>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Ray Dakota Scholfield</t>
  </si>
  <si>
    <t>http://www.krcrtv.com/image/view/-/26643012/highRes/2/-/d876rh/-/Ray-Dakota-Scholfield--33713-jpg.jpg</t>
  </si>
  <si>
    <t>1616 Willis Street</t>
  </si>
  <si>
    <t>The suspect stabbed his cousin to death with a knife, then came at officers with the weapon.</t>
  </si>
  <si>
    <t>http://www.redding.com/news/local-news/redding-police-identify-officers-involved-in-fatal-shooting_35014164</t>
  </si>
  <si>
    <t>1500 Post Oak Drive</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</si>
  <si>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</si>
  <si>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</si>
  <si>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</si>
  <si>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</si>
  <si>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</si>
  <si>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</si>
  <si>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</si>
  <si>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</si>
  <si>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</si>
  <si>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</si>
  <si>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</si>
  <si>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</si>
  <si>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</si>
  <si>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</si>
  <si>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</si>
  <si>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</si>
  <si>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</si>
  <si>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</si>
  <si>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</si>
  <si>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</si>
  <si>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</si>
  <si>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</si>
  <si>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</si>
  <si>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</si>
  <si>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</si>
  <si>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Jason Carulla</t>
  </si>
  <si>
    <t>http://media3.s-nbcnews.com/i/newscms/2014_25/523641/140621-jason-carulla-1835_3186a9343b1aeb38d1dfe1b619a83560.jpg</t>
  </si>
  <si>
    <t>3099 NW 79th St</t>
  </si>
  <si>
    <t>33147</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</si>
  <si>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</si>
  <si>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</si>
  <si>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</si>
  <si>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</si>
  <si>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</si>
  <si>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</si>
  <si>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</si>
  <si>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</si>
  <si>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</si>
  <si>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</si>
  <si>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</si>
  <si>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</si>
  <si>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</si>
  <si>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</si>
  <si>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</si>
  <si>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</si>
  <si>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</si>
  <si>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</si>
  <si>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</si>
  <si>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</si>
  <si>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</si>
  <si>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</si>
  <si>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</si>
  <si>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</si>
  <si>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</si>
  <si>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</si>
  <si>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</si>
  <si>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</si>
  <si>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</si>
  <si>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</si>
  <si>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</si>
  <si>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</si>
  <si>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</si>
  <si>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</si>
  <si>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</si>
  <si>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</si>
  <si>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</si>
  <si>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</si>
  <si>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John Schneider</t>
  </si>
  <si>
    <t>http://media.cmgdigital.com/shared/lt/lt_cache/thumbnail/188/img/photos/2014/06/16/7e/56/suspect.PNG</t>
  </si>
  <si>
    <t>2999 Lawrenceville Hwy</t>
  </si>
  <si>
    <t>Gwinnett Police Department</t>
  </si>
  <si>
    <t>Schneider robbed a bank, and was shot and killed after a he attacked an officer.</t>
  </si>
  <si>
    <t>http://patch.com/georgia/loganville/update-officer-shot-killed-robbery-suspect-as-man-attacked-him</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</si>
  <si>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</si>
  <si>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</si>
  <si>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</si>
  <si>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</si>
  <si>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</si>
  <si>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</si>
  <si>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</si>
  <si>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Eric Harris</t>
  </si>
  <si>
    <t>http://media2.abc2news.com/photo/2014/06/26/Candlelight_vigil_held_for_man_shot_by_p_1743830004_6540131_ver1.0_640_480.jpg</t>
  </si>
  <si>
    <t>5000 Beaufort Ave</t>
  </si>
  <si>
    <t>21215</t>
  </si>
  <si>
    <t>Two suspects were shooting at each other when an officer arrived. The officer fired at them, killing Harris.</t>
  </si>
  <si>
    <t>http://www.baltimoresun.com/news/maryland/crime/blog/bs-md-ci-police-involved-shooting-20140615-story.html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</si>
  <si>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</si>
  <si>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</si>
  <si>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</si>
  <si>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</si>
  <si>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Anthony Skyles Jr.</t>
  </si>
  <si>
    <t>http://www.clickorlando.com/image/view/-/26502788/highRes/2/-/ho0cnc/-/Anthony-Skyles-jpg.jpg</t>
  </si>
  <si>
    <t>285 Lorraine Dr.</t>
  </si>
  <si>
    <t>Altamonte Springs</t>
  </si>
  <si>
    <t>32714</t>
  </si>
  <si>
    <t>Seminole</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</si>
  <si>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</si>
  <si>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</si>
  <si>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</si>
  <si>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</si>
  <si>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</si>
  <si>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</si>
  <si>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</si>
  <si>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</si>
  <si>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</si>
  <si>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</si>
  <si>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</si>
  <si>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</si>
  <si>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</si>
  <si>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</si>
  <si>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</si>
  <si>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Victor Hernandez</t>
  </si>
  <si>
    <t>700 7th St</t>
  </si>
  <si>
    <t>Hernandez reportedly had a gun. Officers contacted him and shots ensued, ending in Hernandez's death.</t>
  </si>
  <si>
    <t>http://www.greeleytribune.com/news/11822434-113/police-greeley-gunfire-injured</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</si>
  <si>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</si>
  <si>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</si>
  <si>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</si>
  <si>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</si>
  <si>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</si>
  <si>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</si>
  <si>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</si>
  <si>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Frank Rhodes</t>
  </si>
  <si>
    <t>12400 Holliman Cir</t>
  </si>
  <si>
    <t>Rhodes reportedly fired gunshots. When officers arrived it ended with Rhodes being shot and killed.</t>
  </si>
  <si>
    <t>http://www.wlox.com/story/25778330/gulfport-shooting-victims-family-speaks-out</t>
  </si>
  <si>
    <t>Joe Hernandez</t>
  </si>
  <si>
    <t>2000 Loving Ave</t>
  </si>
  <si>
    <t>76164</t>
  </si>
  <si>
    <t>Hernandez was a burglary suspect and he pointed a gun at officers. Hernandez was shot and killed.</t>
  </si>
  <si>
    <t>http://www.star-telegram.com/2014/06/16/5904394/teen-fatally-shot-by-fort-worth.html</t>
  </si>
  <si>
    <t>Anthony Gustave Nelson</t>
  </si>
  <si>
    <t>40</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</si>
  <si>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</si>
  <si>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</si>
  <si>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</si>
  <si>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</si>
  <si>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</si>
  <si>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</si>
  <si>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</si>
  <si>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</si>
  <si>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Rolando Martinez</t>
  </si>
  <si>
    <t>http://www.mynews13.com/content/dam/news/images/2014/06/2/rolando-martinez-mugshot-061314.jpg</t>
  </si>
  <si>
    <t>Douglas Ave &amp; W Highland St</t>
  </si>
  <si>
    <t>Sanford Police Department</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</si>
  <si>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</si>
  <si>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</si>
  <si>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</si>
  <si>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</si>
  <si>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</si>
  <si>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</si>
  <si>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</si>
  <si>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</si>
  <si>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</si>
  <si>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</si>
  <si>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</si>
  <si>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</si>
  <si>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</si>
  <si>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</si>
  <si>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</si>
  <si>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</si>
  <si>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</si>
  <si>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</si>
  <si>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</si>
  <si>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</si>
  <si>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</si>
  <si>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</si>
  <si>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</si>
  <si>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</si>
  <si>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</si>
  <si>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</si>
  <si>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</si>
  <si>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</si>
  <si>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</si>
  <si>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</si>
  <si>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</si>
  <si>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</si>
  <si>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</si>
  <si>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</si>
  <si>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Steven Kellog Neuroth</t>
  </si>
  <si>
    <t>125 E Commercial St </t>
  </si>
  <si>
    <t>Willits</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</si>
  <si>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</si>
  <si>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</si>
  <si>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</si>
  <si>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</si>
  <si>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</si>
  <si>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</si>
  <si>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</si>
  <si>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</si>
  <si>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</si>
  <si>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</si>
  <si>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</si>
  <si>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</si>
  <si>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Yonkers</t>
  </si>
  <si>
    <t>10703</t>
  </si>
  <si>
    <t>Yonkers Police Department</t>
  </si>
  <si>
    <t>Tellone was suspect of breaking into cars when he got into a struggle with officers. During the struggle he suffered an apparent heart attack and died.</t>
  </si>
  <si>
    <t>http://www.lohud.com/story/news/crime/2014/06/13/yonkers-police-identify-man-died-foot-chase/10416385/</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</si>
  <si>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</si>
  <si>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</si>
  <si>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</si>
  <si>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</si>
  <si>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</si>
  <si>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</si>
  <si>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Michael V. Gutierrez</t>
  </si>
  <si>
    <t>500 S Hunts Ln</t>
  </si>
  <si>
    <t>Colton Police Department</t>
  </si>
  <si>
    <t>Gutierrez was shot and killed by police after engaging in an altercation that left two officers injured. A gun was recovered at the scene.</t>
  </si>
  <si>
    <t>http://www.pe.com/articles/police-696161-officers-officer.html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</si>
  <si>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</si>
  <si>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</si>
  <si>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</si>
  <si>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</si>
  <si>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</si>
  <si>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</si>
  <si>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</si>
  <si>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</si>
  <si>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</si>
  <si>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</si>
  <si>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</si>
  <si>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</si>
  <si>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</si>
  <si>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</si>
  <si>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</si>
  <si>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</si>
  <si>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</si>
  <si>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</si>
  <si>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</si>
  <si>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</si>
  <si>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</si>
  <si>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</si>
  <si>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</si>
  <si>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</si>
  <si>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</si>
  <si>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</si>
  <si>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</si>
  <si>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</si>
  <si>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</si>
  <si>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</si>
  <si>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</si>
  <si>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</si>
  <si>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</si>
  <si>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</si>
  <si>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</si>
  <si>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</si>
  <si>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</si>
  <si>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</si>
  <si>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</si>
  <si>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Carlsbad</t>
  </si>
  <si>
    <t>88220</t>
  </si>
  <si>
    <t>Eddy</t>
  </si>
  <si>
    <t>Carlsbad Police Department</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</si>
  <si>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</si>
  <si>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</si>
  <si>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</si>
  <si>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</si>
  <si>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</si>
  <si>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</si>
  <si>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</si>
  <si>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</si>
  <si>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</si>
  <si>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</si>
  <si>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</si>
  <si>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</si>
  <si>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</si>
  <si>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</si>
  <si>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</si>
  <si>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</si>
  <si>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</si>
  <si>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</si>
  <si>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</si>
  <si>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</si>
  <si>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</si>
  <si>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</si>
  <si>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Lonnie Flemming</t>
  </si>
  <si>
    <t>http://media.timesfreepress.com/img/photos/2014/06/09/Flemming_Lonnie_t607_t618.jpg?ba5b5b122dd3d37cc13d83e92a6a0ec0d5bfa32a</t>
  </si>
  <si>
    <t>Selma Avenue and Chestnut Street</t>
  </si>
  <si>
    <t>East Knoxville</t>
  </si>
  <si>
    <t>37914</t>
  </si>
  <si>
    <t>Flemming shot an officer more than once. The officer returned multiple shots, killing Flemming.</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</si>
  <si>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</si>
  <si>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</si>
  <si>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</si>
  <si>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</si>
  <si>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</si>
  <si>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</si>
  <si>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</si>
  <si>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</si>
  <si>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</si>
  <si>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</si>
  <si>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David Latham</t>
  </si>
  <si>
    <t>http://media.hamptonroads.com/cache/images/1526611.jpg</t>
  </si>
  <si>
    <t>400 Block West 30th St.</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</si>
  <si>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</si>
  <si>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</si>
  <si>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</si>
  <si>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Kristopher Barkus</t>
  </si>
  <si>
    <t>http://www.wtae.com/image/view/-/26384086/highRes/1/-/maxh/480/maxw/640/-/k8uubqz/-/Kristopher-Barkus.jpg</t>
  </si>
  <si>
    <t>September Dr</t>
  </si>
  <si>
    <t>16002</t>
  </si>
  <si>
    <t>Pennsylvania State Police Department</t>
  </si>
  <si>
    <t>Barkus pointed an air-powered pellet gun at an off-duty officer and then at his own head. The officer then shot and killed Barkus.</t>
  </si>
  <si>
    <t>http://www.wtae.com/news/da-trooper-justified-in-shooting-neighbor-to-death-in-butler-township/26743476</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</si>
  <si>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</si>
  <si>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</si>
  <si>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</si>
  <si>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</si>
  <si>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</si>
  <si>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Dennis Ronald Marx</t>
  </si>
  <si>
    <t>http://www.gannett-cdn.com/-mm-/92b485b71c8f8d570056dd7142c9efaf43da99c7/c=0-0-3264-2448&amp;r=x513&amp;c=680x510/local/-/media/WXIA/WXIA/2014/06/06//1402083321000-Dennise-Ronald-Marx.JPG</t>
  </si>
  <si>
    <t>100 W Courthouse Square</t>
  </si>
  <si>
    <t>Cumming</t>
  </si>
  <si>
    <t>30040</t>
  </si>
  <si>
    <t>Forsyth</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</si>
  <si>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</si>
  <si>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</si>
  <si>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</si>
  <si>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Thomas L. White</t>
  </si>
  <si>
    <t>28</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</si>
  <si>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</si>
  <si>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</si>
  <si>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</si>
  <si>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</si>
  <si>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</si>
  <si>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</si>
  <si>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</si>
  <si>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</si>
  <si>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</si>
  <si>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</si>
  <si>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</si>
  <si>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</si>
  <si>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</si>
  <si>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Glen Griggs</t>
  </si>
  <si>
    <t>http://media.cmgdigital.com/shared/lt/lt_cache/thumbnail/400/img/photos/2014/06/06/7e/6c/griggs.jpg</t>
  </si>
  <si>
    <t>499 N Fair Oaks Ave</t>
  </si>
  <si>
    <t>94085</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</si>
  <si>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</si>
  <si>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</si>
  <si>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</si>
  <si>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</si>
  <si>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</si>
  <si>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</si>
  <si>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</si>
  <si>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</si>
  <si>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</si>
  <si>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</si>
  <si>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</si>
  <si>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</si>
  <si>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Thomas Dewitt Johnson</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</si>
  <si>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</si>
  <si>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</si>
  <si>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</si>
  <si>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</si>
  <si>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</si>
  <si>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</si>
  <si>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</si>
  <si>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</si>
  <si>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</si>
  <si>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</si>
  <si>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</si>
  <si>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</si>
  <si>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</si>
  <si>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</si>
  <si>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Timothy Ronald Lloyd</t>
  </si>
  <si>
    <t>1900 S Maxwell</t>
  </si>
  <si>
    <t>McPherson</t>
  </si>
  <si>
    <t>67460</t>
  </si>
  <si>
    <t>McPherson Police Department</t>
  </si>
  <si>
    <t>Lloyd charged at an officer. The officer then shot and killed Lloyd.</t>
  </si>
  <si>
    <t>http://www.kansas.com/news/article1145227.html</t>
  </si>
  <si>
    <t>Yanira Serrano-Garcia</t>
  </si>
  <si>
    <t>18</t>
  </si>
  <si>
    <t>https://www.indybay.org/uploads/2014/06/04/yanira_serrano_garcia_half_moon_bay.jpg</t>
  </si>
  <si>
    <t>2001 Miramontes Point Rd</t>
  </si>
  <si>
    <t>Half Moon Bay</t>
  </si>
  <si>
    <t>94019</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</si>
  <si>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</si>
  <si>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</si>
  <si>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Frank McQueen</t>
  </si>
  <si>
    <t>http://cdn.abclocal.go.com/content/wpvi/images/cms/89862_1280x720.jpg</t>
  </si>
  <si>
    <t>1200 Culhane St</t>
  </si>
  <si>
    <t>McQueen is alleged to have shot at an officer. Police fired multiple rounds, killing McQueen at the scene. Investigations into the incident are ongoing.</t>
  </si>
  <si>
    <t>Deborah A. McCollum</t>
  </si>
  <si>
    <t>Andrews Circle</t>
  </si>
  <si>
    <t>29803</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</si>
  <si>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</si>
  <si>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</si>
  <si>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</si>
  <si>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</si>
  <si>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</si>
  <si>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</si>
  <si>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</si>
  <si>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</si>
  <si>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</si>
  <si>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</si>
  <si>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</si>
  <si>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</si>
  <si>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</si>
  <si>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</si>
  <si>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</si>
  <si>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</si>
  <si>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</si>
  <si>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Michael Kleinbeck</t>
  </si>
  <si>
    <t>3145 County Road 6450</t>
  </si>
  <si>
    <t>67301</t>
  </si>
  <si>
    <t>Kleinbeck reportedly had a gun with him on what may or may not have been his own property. Deputies and high way patrol engaged in a fight. Kleinbeck was shot and killed.</t>
  </si>
  <si>
    <t>http://cjonline.com/news/2014-06-02/man-killed-officer-involved-shooting</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</si>
  <si>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</si>
  <si>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</si>
  <si>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</si>
  <si>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</si>
  <si>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</si>
  <si>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</si>
  <si>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</si>
  <si>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</si>
  <si>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</si>
  <si>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</si>
  <si>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</si>
  <si>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</si>
  <si>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</si>
  <si>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</si>
  <si>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</si>
  <si>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</si>
  <si>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</si>
  <si>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</si>
  <si>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</si>
  <si>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</si>
  <si>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</si>
  <si>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</si>
  <si>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</si>
  <si>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</si>
  <si>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</si>
  <si>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</si>
  <si>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</si>
  <si>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</si>
  <si>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</si>
  <si>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</si>
  <si>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</si>
  <si>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</si>
  <si>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</si>
  <si>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</si>
  <si>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</si>
  <si>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</si>
  <si>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</si>
  <si>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</si>
  <si>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</si>
  <si>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</si>
  <si>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</si>
  <si>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Mark Anthony Blocker</t>
  </si>
  <si>
    <t>3416 Curtis Drive</t>
  </si>
  <si>
    <t>Blocker had a pellet gun that looked like a real gun. Officers felt threatened and shot and killed Blocker.</t>
  </si>
  <si>
    <t>http://www.wjla.com/articles/2014/05/mark-anthony-blocker-20-shot-and-killed-by-police-103651.html</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</si>
  <si>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</si>
  <si>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</si>
  <si>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</si>
  <si>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</si>
  <si>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</si>
  <si>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</si>
  <si>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</si>
  <si>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</si>
  <si>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</si>
  <si>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</si>
  <si>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</si>
  <si>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</si>
  <si>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</si>
  <si>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</si>
  <si>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95776</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</si>
  <si>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</si>
  <si>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</si>
  <si>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Larry Smith</t>
  </si>
  <si>
    <t>47 Tranquility Lane</t>
  </si>
  <si>
    <t>Hazard</t>
  </si>
  <si>
    <t>41701</t>
  </si>
  <si>
    <t>Smith aimed a gun at troopers - they responded by shooting and killing Smith</t>
  </si>
  <si>
    <t>http://www.wkyt.com/wymt/home/headlines/Police-on-scene-of-standoff-in-Perry-County-261341691.html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</si>
  <si>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</si>
  <si>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</si>
  <si>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</si>
  <si>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</si>
  <si>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</si>
  <si>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</si>
  <si>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</si>
  <si>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</si>
  <si>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</si>
  <si>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</si>
  <si>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</si>
  <si>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</si>
  <si>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</si>
  <si>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</si>
  <si>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</si>
  <si>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</si>
  <si>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</si>
  <si>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</si>
  <si>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</si>
  <si>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</si>
  <si>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</si>
  <si>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</si>
  <si>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</si>
  <si>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</si>
  <si>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</si>
  <si>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</si>
  <si>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</si>
  <si>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</si>
  <si>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</si>
  <si>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</si>
  <si>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</si>
  <si>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</si>
  <si>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</si>
  <si>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</si>
  <si>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</si>
  <si>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</si>
  <si>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</si>
  <si>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</si>
  <si>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</si>
  <si>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</si>
  <si>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</si>
  <si>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</si>
  <si>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</si>
  <si>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</si>
  <si>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</si>
  <si>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Jeremy Vann</t>
  </si>
  <si>
    <t>https://localtvwreg.files.wordpress.com/2014/05/teon-katchens.jpg?w=400&amp;h=225&amp;crop=1</t>
  </si>
  <si>
    <t>875 State Line Rd</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</si>
  <si>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</si>
  <si>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</si>
  <si>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</si>
  <si>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</si>
  <si>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</si>
  <si>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</si>
  <si>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</si>
  <si>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</si>
  <si>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</si>
  <si>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</si>
  <si>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</si>
  <si>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</si>
  <si>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</si>
  <si>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</si>
  <si>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</si>
  <si>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</si>
  <si>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</si>
  <si>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</si>
  <si>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</si>
  <si>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</si>
  <si>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</si>
  <si>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</si>
  <si>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Terry Heath</t>
  </si>
  <si>
    <t>http://media.cmgdigital.com/shared/img/photos/2014/05/21/00/76/HEATH--TERRY-DARNELL.jpg</t>
  </si>
  <si>
    <t>820 Wyoming St</t>
  </si>
  <si>
    <t>45410</t>
  </si>
  <si>
    <t>Heath lunged at officers with a knife and was shot and killed.</t>
  </si>
  <si>
    <t>Noel Enrique Aguilar</t>
  </si>
  <si>
    <t>http://images.onset.freedom.com/ocregister/gallery/n69dp0-b8884839z.120140527173447000g5d2g164.10.jpg</t>
  </si>
  <si>
    <t>303 E 9th St</t>
  </si>
  <si>
    <t>90813</t>
  </si>
  <si>
    <t>Aguilar got into a fire fight with a deputy. The deputy got shot and recovered, Aguilar died.</t>
  </si>
  <si>
    <t>http://www.nbclosangeles.com/news/local/Los-Angeles-County-Sheriffs-Deputy-Shooting-Compton-260673091.html</t>
  </si>
  <si>
    <t>Montez Dewayne Hambric</t>
  </si>
  <si>
    <t>http://www.wxii12.com/image/view/-/26166194/highRes/1/-/maxh/480/maxw/640/-/ux004e/-/WXII-Montez-Dewayne-Hambric.jpg</t>
  </si>
  <si>
    <t>500 W. 7th Street</t>
  </si>
  <si>
    <t>Winston Salem</t>
  </si>
  <si>
    <t>27101</t>
  </si>
  <si>
    <t>Winston Salem Police Department</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</si>
  <si>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</si>
  <si>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</si>
  <si>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</si>
  <si>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</si>
  <si>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</si>
  <si>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</si>
  <si>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</si>
  <si>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</si>
  <si>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</si>
  <si>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</si>
  <si>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</si>
  <si>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</si>
  <si>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</si>
  <si>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</si>
  <si>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</si>
  <si>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</si>
  <si>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</si>
  <si>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</si>
  <si>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</si>
  <si>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</si>
  <si>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</si>
  <si>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Christian Sierra</t>
  </si>
  <si>
    <t>103 Frazer Drive</t>
  </si>
  <si>
    <t>Purcellville</t>
  </si>
  <si>
    <t>20132</t>
  </si>
  <si>
    <t>Loudoun</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</si>
  <si>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</si>
  <si>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</si>
  <si>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</si>
  <si>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Carlos Ocana</t>
  </si>
  <si>
    <t>http://www.trbimg.com/img-53b4b2e4/turbine/la-me-ln-skid-row-fatal-arrest-20140702-001/750/750x422</t>
  </si>
  <si>
    <t>5th and San Pedro</t>
  </si>
  <si>
    <t>Fall to death</t>
  </si>
  <si>
    <t>Ocana tried to avoid being arrested when we was tasered from a rooftop billboard. He fell to his death.</t>
  </si>
  <si>
    <t>http://www.latimes.com/local/lanow/la-me-ln-skid-row-death-20140702-story.html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</si>
  <si>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</si>
  <si>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</si>
  <si>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</si>
  <si>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</si>
  <si>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</si>
  <si>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</si>
  <si>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</si>
  <si>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</si>
  <si>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</si>
  <si>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</si>
  <si>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</si>
  <si>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</si>
  <si>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</si>
  <si>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</si>
  <si>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</si>
  <si>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</si>
  <si>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</si>
  <si>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Craig J. McKinnis</t>
  </si>
  <si>
    <t>http://www.ksjails.info/images2/CRAIG-MCKINNIS-232857956473858.jpg</t>
  </si>
  <si>
    <t>500 Stewart Avenue</t>
  </si>
  <si>
    <t>66101</t>
  </si>
  <si>
    <t>There is little media coverage on this case. Officers stopped McKinnis’ car on a traffic violation and found he had a criminal warrant. McKinnis allegedly resisted arrest and tried to flee. "After a brief struggle, officers realized the man needed medical attention and called for emergency responders." McKinnis may have had a medical emergency during the struggle. He later died at the hospital.</t>
  </si>
  <si>
    <t>http://www.wibw.com/home/headlines/Kansas-Man-Dies-After-Struggle-With-Police-260416911.html</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</si>
  <si>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</si>
  <si>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</si>
  <si>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</si>
  <si>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</si>
  <si>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</si>
  <si>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</si>
  <si>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</si>
  <si>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</si>
  <si>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</si>
  <si>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</si>
  <si>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</si>
  <si>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</si>
  <si>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</si>
  <si>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</si>
  <si>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</si>
  <si>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</si>
  <si>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</si>
  <si>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</si>
  <si>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</si>
  <si>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</si>
  <si>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</si>
  <si>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</si>
  <si>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</si>
  <si>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</si>
  <si>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</si>
  <si>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</si>
  <si>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</si>
  <si>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</si>
  <si>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</si>
  <si>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</si>
  <si>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</si>
  <si>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</si>
  <si>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</si>
  <si>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</si>
  <si>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</si>
  <si>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</si>
  <si>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</si>
  <si>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</si>
  <si>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</si>
  <si>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</si>
  <si>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</si>
  <si>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</si>
  <si>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</si>
  <si>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</si>
  <si>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</si>
  <si>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</si>
  <si>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</si>
  <si>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</si>
  <si>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</si>
  <si>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</si>
  <si>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</si>
  <si>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</si>
  <si>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Luis Arturo Hernandez Jr.</t>
  </si>
  <si>
    <t>http://www.wbaltv.com/image/view/-/26079326/highRes/1/-/maxh/220/maxw/220/-/6wuh1vz/-/Luis-Arturo-Hernandez.jpg</t>
  </si>
  <si>
    <t>Cedar Lane</t>
  </si>
  <si>
    <t>Bel Air</t>
  </si>
  <si>
    <t>21015</t>
  </si>
  <si>
    <t>Harford</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</si>
  <si>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</si>
  <si>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</si>
  <si>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</si>
  <si>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</si>
  <si>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</si>
  <si>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</si>
  <si>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</si>
  <si>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</si>
  <si>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</si>
  <si>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</si>
  <si>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</si>
  <si>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</si>
  <si>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</si>
  <si>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</si>
  <si>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</si>
  <si>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</si>
  <si>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</si>
  <si>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</si>
  <si>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</si>
  <si>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</si>
  <si>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</si>
  <si>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</si>
  <si>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</si>
  <si>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</si>
  <si>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</si>
  <si>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Juvon Allen</t>
  </si>
  <si>
    <t>2300 Rebsamen Park Rd</t>
  </si>
  <si>
    <t>Little Rock</t>
  </si>
  <si>
    <t>72202</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</si>
  <si>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</si>
  <si>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</si>
  <si>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</si>
  <si>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Sheila Vawter</t>
  </si>
  <si>
    <t>7650 West Old US Highway 90</t>
  </si>
  <si>
    <t>Vawter advanced toward an officer with a knife, resulting in the officer shooting and killing her.</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</si>
  <si>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</si>
  <si>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</si>
  <si>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</si>
  <si>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</si>
  <si>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</si>
  <si>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</si>
  <si>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</si>
  <si>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Ashley DiPiazza</t>
  </si>
  <si>
    <t>http://wkow.images.worldnow.com/images/3782398_G.jpg</t>
  </si>
  <si>
    <t>1100 MacArthur Road</t>
  </si>
  <si>
    <t>53714</t>
  </si>
  <si>
    <t>Dane</t>
  </si>
  <si>
    <t>DiPiazza was shot and killed by officers after she refused to comply with the officer's orders to drop the gun.</t>
  </si>
  <si>
    <t>http://host.madison.com/news/local/crime_and_courts/woman-shot-and-killed-by-madison-police-after-failing-to/article_c7abe3d4-5701-5272-87c6-cf90ef6d652e.html</t>
  </si>
  <si>
    <t>Thomas N. Saunders</t>
  </si>
  <si>
    <t>Neal St</t>
  </si>
  <si>
    <t>Pearisburg</t>
  </si>
  <si>
    <t>24134</t>
  </si>
  <si>
    <t>Giles</t>
  </si>
  <si>
    <t>Pearisburg Police Department</t>
  </si>
  <si>
    <t>Saunders pointed a gun at an officer, prompting the officer to shoot and kill Saunders.</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</si>
  <si>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</si>
  <si>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</si>
  <si>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</si>
  <si>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</si>
  <si>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</si>
  <si>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</si>
  <si>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</si>
  <si>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</si>
  <si>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</si>
  <si>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</si>
  <si>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</si>
  <si>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</si>
  <si>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</si>
  <si>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</si>
  <si>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</si>
  <si>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</si>
  <si>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</si>
  <si>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</si>
  <si>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</si>
  <si>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</si>
  <si>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</si>
  <si>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</si>
  <si>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</si>
  <si>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Quentin Byrd</t>
  </si>
  <si>
    <t>http://headlinesamerica.com/wp-content/uploads/2014/05/barnesville17n-2-web.jpg</t>
  </si>
  <si>
    <t>502 Atlanta St</t>
  </si>
  <si>
    <t>Barnesville</t>
  </si>
  <si>
    <t>30204</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</si>
  <si>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</si>
  <si>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</si>
  <si>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</si>
  <si>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Justin Sullivan</t>
  </si>
  <si>
    <t>http://static3.nydailynews.com/polopoly_fs/1.1795820.1400292787!/img/httpImage/image.jpg_gen/derivatives/article_970/barnesville17n-5-web.jpg</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</si>
  <si>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</si>
  <si>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</si>
  <si>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</si>
  <si>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</si>
  <si>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</si>
  <si>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</si>
  <si>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</si>
  <si>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</si>
  <si>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</si>
  <si>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</si>
  <si>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</si>
  <si>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</si>
  <si>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</si>
  <si>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</si>
  <si>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</si>
  <si>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</si>
  <si>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Clearwater</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</si>
  <si>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</si>
  <si>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</si>
  <si>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</si>
  <si>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</si>
  <si>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</si>
  <si>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</si>
  <si>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</si>
  <si>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</si>
  <si>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</si>
  <si>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</si>
  <si>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</si>
  <si>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</si>
  <si>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</si>
  <si>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</si>
  <si>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</si>
  <si>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</si>
  <si>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</si>
  <si>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</si>
  <si>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</si>
  <si>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</si>
  <si>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</si>
  <si>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</si>
  <si>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Joshua Powell</t>
  </si>
  <si>
    <t>http://mediaassets.timesrecordnews.com/photo/2014/06/19/Josh_Powell_6406127_ver1.0_640_480.jpg</t>
  </si>
  <si>
    <t>2000 Gloria Ln</t>
  </si>
  <si>
    <t>76309</t>
  </si>
  <si>
    <t>Powell reportedly had a weapon. An officer shot and killed him after Powell refused to drop the weapon.</t>
  </si>
  <si>
    <t>http://www.timesrecordnews.com/news/wfpd_shooting</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</si>
  <si>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</si>
  <si>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</si>
  <si>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</si>
  <si>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</si>
  <si>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</si>
  <si>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</si>
  <si>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</si>
  <si>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</si>
  <si>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</si>
  <si>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</si>
  <si>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</si>
  <si>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</si>
  <si>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</si>
  <si>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</si>
  <si>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</si>
  <si>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</si>
  <si>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</si>
  <si>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</si>
  <si>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</si>
  <si>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</si>
  <si>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</si>
  <si>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</si>
  <si>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</si>
  <si>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</si>
  <si>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</si>
  <si>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</si>
  <si>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</si>
  <si>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</si>
  <si>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</si>
  <si>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</si>
  <si>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</si>
  <si>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</si>
  <si>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</si>
  <si>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</si>
  <si>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</si>
  <si>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</si>
  <si>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</si>
  <si>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</si>
  <si>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</si>
  <si>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</si>
  <si>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</si>
  <si>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</si>
  <si>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</si>
  <si>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</si>
  <si>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</si>
  <si>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</si>
  <si>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</si>
  <si>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Tommy J. Yancy Jr.</t>
  </si>
  <si>
    <t>http://b71b8ec5eac944ae1557-26ee6ff324193e600e1b1c904635a64b.r31.cf3.rackcdn.com/3185-Veteran-Tommy-Yancy-Allegedly-Beaten-to-Death-By.jpg</t>
  </si>
  <si>
    <t>Imperial Avenue and East 15th Street</t>
  </si>
  <si>
    <t>Imperial</t>
  </si>
  <si>
    <t>92251</t>
  </si>
  <si>
    <t>Pulled over for a missing front license plate. He was attcked by K9 unit, tasered, and then beaten to death.</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</si>
  <si>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</si>
  <si>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</si>
  <si>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</si>
  <si>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</si>
  <si>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</si>
  <si>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</si>
  <si>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</si>
  <si>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Leon Haywood</t>
  </si>
  <si>
    <t>Lavoy Steed</t>
  </si>
  <si>
    <t>http://laynemortuary.frontrunnerpro.com/include/storage/174097/DeathRecordStub/1869527/converted/150x178-2731543.jpg</t>
  </si>
  <si>
    <t>Gary Smith</t>
  </si>
  <si>
    <t>5400 W Madison St</t>
  </si>
  <si>
    <t>60644</t>
  </si>
  <si>
    <t>Smith raised his gun at an officer. The officer then shot and killed Smith</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</si>
  <si>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</si>
  <si>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</si>
  <si>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</si>
  <si>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</si>
  <si>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</si>
  <si>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</si>
  <si>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</si>
  <si>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</si>
  <si>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</si>
  <si>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</si>
  <si>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</si>
  <si>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</si>
  <si>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</si>
  <si>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</si>
  <si>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</si>
  <si>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</si>
  <si>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</si>
  <si>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</si>
  <si>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</si>
  <si>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</si>
  <si>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</si>
  <si>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http://atlasleft.org/washington-man-cries-for-help-as-hes-beaten-to-death-by-police-video/</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</si>
  <si>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</si>
  <si>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</si>
  <si>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</si>
  <si>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</si>
  <si>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</si>
  <si>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</si>
  <si>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</si>
  <si>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</si>
  <si>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</si>
  <si>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</si>
  <si>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</si>
  <si>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</si>
  <si>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</si>
  <si>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</si>
  <si>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</si>
  <si>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</si>
  <si>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</si>
  <si>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</si>
  <si>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</si>
  <si>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</si>
  <si>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</si>
  <si>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</si>
  <si>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</si>
  <si>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</si>
  <si>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</si>
  <si>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</si>
  <si>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Devante Kyshon Hinds</t>
  </si>
  <si>
    <t>http://ak-cache.legacy.net/legacy/images/cobrands/birmingham/Photos/photo_20140515_AL0043951_1_img046_20140515.jpg?v=0x000000002d48cd5a</t>
  </si>
  <si>
    <t>9248 Parkway East</t>
  </si>
  <si>
    <t>After a drug deal Hinds allegedly tried to run over an officer with his car - he was subsequently shot and killed.</t>
  </si>
  <si>
    <t>http://www.wset.com/story/25484112/jefferson-county-sheriffs-office-release-identity-of-birmingham-man-shot-and-killed-by-deputy</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</si>
  <si>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</si>
  <si>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</si>
  <si>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</si>
  <si>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</si>
  <si>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</si>
  <si>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</si>
  <si>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</si>
  <si>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</si>
  <si>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</si>
  <si>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</si>
  <si>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</si>
  <si>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</si>
  <si>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</si>
  <si>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</si>
  <si>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</si>
  <si>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</si>
  <si>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</si>
  <si>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</si>
  <si>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</si>
  <si>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</si>
  <si>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</si>
  <si>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</si>
  <si>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</si>
  <si>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</si>
  <si>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</si>
  <si>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</si>
  <si>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</si>
  <si>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</si>
  <si>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</si>
  <si>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</si>
  <si>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</si>
  <si>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</si>
  <si>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</si>
  <si>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Jose Rodriquez-Moncada</t>
  </si>
  <si>
    <t>24</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</si>
  <si>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</si>
  <si>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</si>
  <si>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</si>
  <si>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</si>
  <si>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</si>
  <si>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</si>
  <si>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James "Jim" Palmer</t>
  </si>
  <si>
    <t>6095 California St</t>
  </si>
  <si>
    <t>Brooksville</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</si>
  <si>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</si>
  <si>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</si>
  <si>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</si>
  <si>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</si>
  <si>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</si>
  <si>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</si>
  <si>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</si>
  <si>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</si>
  <si>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</si>
  <si>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</si>
  <si>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</si>
  <si>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</si>
  <si>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</si>
  <si>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</si>
  <si>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</si>
  <si>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</si>
  <si>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</si>
  <si>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</si>
  <si>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</si>
  <si>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</si>
  <si>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</si>
  <si>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</si>
  <si>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</si>
  <si>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</si>
  <si>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</si>
  <si>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</si>
  <si>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Perlie Golden</t>
  </si>
  <si>
    <t>http://i1.ytimg.com/vi/E1xbxg8PgtE/0.jpg</t>
  </si>
  <si>
    <t>1400 block Pin Oak Street</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</si>
  <si>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</si>
  <si>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</si>
  <si>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</si>
  <si>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</si>
  <si>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</si>
  <si>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</si>
  <si>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</si>
  <si>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</si>
  <si>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</si>
  <si>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</si>
  <si>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</si>
  <si>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</si>
  <si>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</si>
  <si>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</si>
  <si>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</si>
  <si>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</si>
  <si>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</si>
  <si>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</si>
  <si>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</si>
  <si>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</si>
  <si>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Justin Griffin</t>
  </si>
  <si>
    <t>http://www.gannett-cdn.com/-mm-/856ab7ca2fe1e4186defbcde33f4855d0df49320/c=0-8-480-370&amp;r=x404&amp;c=534x401/local/-/media/JacksonMS/JacksonMS/2014/05/06//1399407600000-Justin-Griffin.jpg</t>
  </si>
  <si>
    <t>2240 Westbrook Road</t>
  </si>
  <si>
    <t>39211</t>
  </si>
  <si>
    <t>Hinds</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</si>
  <si>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</si>
  <si>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</si>
  <si>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</si>
  <si>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</si>
  <si>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</si>
  <si>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</si>
  <si>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</si>
  <si>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</si>
  <si>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</si>
  <si>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</si>
  <si>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</si>
  <si>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</si>
  <si>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</si>
  <si>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</si>
  <si>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</si>
  <si>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Oscar Herrera</t>
  </si>
  <si>
    <t>http://viafoura.s3.amazonaws.com/www.sfgate.com/viafoura_9ssxs92jf5kwc0c8w4go4gwg8sc80o8_l.jpg</t>
  </si>
  <si>
    <t>1700 Dublin Meadows Street</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</si>
  <si>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</si>
  <si>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</si>
  <si>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</si>
  <si>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</si>
  <si>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</si>
  <si>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</si>
  <si>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</si>
  <si>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</si>
  <si>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</si>
  <si>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</si>
  <si>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</si>
  <si>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Jerome Dexter Christmas</t>
  </si>
  <si>
    <t>http://ksla.images.worldnow.com/images/25422732_BG2.jpg</t>
  </si>
  <si>
    <t>1100 Highland Ave</t>
  </si>
  <si>
    <t>71101</t>
  </si>
  <si>
    <t>After refusing to follow officer orders, Christmas allegedly began struggling with officers, forcing them to subdue him using a taser. He soon became unconscious, and suffered a cardiac arrest while struggling with police.</t>
  </si>
  <si>
    <t>Armand Martin</t>
  </si>
  <si>
    <t>50</t>
  </si>
  <si>
    <t>https://lintvkrqe.files.wordpress.com/2014/05/armand-martin.jpg</t>
  </si>
  <si>
    <t>10500 Coyote Canyon NW</t>
  </si>
  <si>
    <t>87114</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</si>
  <si>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</si>
  <si>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</si>
  <si>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Londrell E. Johnson</t>
  </si>
  <si>
    <t>http://bloximages.chicago2.vip.townnews.com/host.madison.com/content/tncms/assets/v3/editorial/e/5a/e5ae19d0-f857-5872-84d1-1af38d67e742/53e6d10ac8032.preview-620.jpg</t>
  </si>
  <si>
    <t>2617 E. Washington Ave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</si>
  <si>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</si>
  <si>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</si>
  <si>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</si>
  <si>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</si>
  <si>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</si>
  <si>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</si>
  <si>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</si>
  <si>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Berrien</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</si>
  <si>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</si>
  <si>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</si>
  <si>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</si>
  <si>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</si>
  <si>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</si>
  <si>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</si>
  <si>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</si>
  <si>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</si>
  <si>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</si>
  <si>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</si>
  <si>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</si>
  <si>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</si>
  <si>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</si>
  <si>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</si>
  <si>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</si>
  <si>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</si>
  <si>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</si>
  <si>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</si>
  <si>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</si>
  <si>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</si>
  <si>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</si>
  <si>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</si>
  <si>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</si>
  <si>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</si>
  <si>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</si>
  <si>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</si>
  <si>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</si>
  <si>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Dion Julius Brown</t>
  </si>
  <si>
    <t>http://bloximages.newyork1.vip.townnews.com/fayobserver.com/content/tncms/assets/v3/editorial/f/2b/f2b182b6-cfc7-11e3-aab1-0017a43b2370/535fe896c82dd.image.jpg</t>
  </si>
  <si>
    <t>311 2nd St</t>
  </si>
  <si>
    <t>Tabor City</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</si>
  <si>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</si>
  <si>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</si>
  <si>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</si>
  <si>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</si>
  <si>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</si>
  <si>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</si>
  <si>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</si>
  <si>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</si>
  <si>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</si>
  <si>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</si>
  <si>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</si>
  <si>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</si>
  <si>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</si>
  <si>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</si>
  <si>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Green, a schizophrenic, threatened police with a gun. Police responded and shot and killed Green.</t>
  </si>
  <si>
    <t>http://www.reviewjournal.com/news/las-vegas/drug-problems-mental-illness-plagued-man-killed-metro</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</si>
  <si>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</si>
  <si>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</si>
  <si>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</si>
  <si>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</si>
  <si>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</si>
  <si>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Amber Noelle Smith</t>
  </si>
  <si>
    <t>http://wlbt.images.worldnow.com/images/25329990_BG2.jpg</t>
  </si>
  <si>
    <t>126 Caledonian Boulevard</t>
  </si>
  <si>
    <t>Brandon</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</si>
  <si>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</si>
  <si>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</si>
  <si>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</si>
  <si>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</si>
  <si>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</si>
  <si>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</si>
  <si>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</si>
  <si>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</si>
  <si>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</si>
  <si>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</si>
  <si>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</si>
  <si>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</si>
  <si>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</si>
  <si>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</si>
  <si>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</si>
  <si>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</si>
  <si>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</si>
  <si>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Ronald Michael Davis</t>
  </si>
  <si>
    <t>31</t>
  </si>
  <si>
    <t>Interstate 75 Athens-Boonesboro exit</t>
  </si>
  <si>
    <t>40324</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</si>
  <si>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</si>
  <si>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</si>
  <si>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</si>
  <si>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</si>
  <si>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</si>
  <si>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</si>
  <si>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</si>
  <si>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</si>
  <si>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Kandice M. Honiker</t>
  </si>
  <si>
    <t>1900 V St</t>
  </si>
  <si>
    <t>95340</t>
  </si>
  <si>
    <t>Merced Police Department</t>
  </si>
  <si>
    <t>Honiker pointed a gun at officers after committing a robbery. She was shot and killed.</t>
  </si>
  <si>
    <t>http://www.mercedsunstar.com/2014/06/11/3693287/merced-police-officers-cleared.html</t>
  </si>
  <si>
    <t>Samantha Ramsey</t>
  </si>
  <si>
    <t>http://wxix.images.worldnow.com/images/25350687_BG2.jpg</t>
  </si>
  <si>
    <t>River Road</t>
  </si>
  <si>
    <t>Boone County</t>
  </si>
  <si>
    <t>41048</t>
  </si>
  <si>
    <t>Boone County Sheriff's Department</t>
  </si>
  <si>
    <t>Deputy Tyler Brockman shot Ramsey four times through her windshield while she was trying to leave a field party in April. He said she tried to run him over.</t>
  </si>
  <si>
    <t>http://www.cincinnati.com/story/news/crime/2014/05/02/ksp-investigate-samantha-ramsey-death/8628801/</t>
  </si>
  <si>
    <t>Tyrone Davis</t>
  </si>
  <si>
    <t>http://media.tumblr.com/c4c02f172a468124c1146d5cb8762b76/tumblr_inline_nh38a5voco1ruklg0.jpg</t>
  </si>
  <si>
    <t>1221 Martin Luther King Junior Road</t>
  </si>
  <si>
    <t>Natchez</t>
  </si>
  <si>
    <t>Adams County Sheriff's Office</t>
  </si>
  <si>
    <t>A Natchez man died Wednesday night shortly after being shocked with a stun gun by an Adams County Sheriff's Office deputy during a traffic stop for reckless driving.</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</si>
  <si>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</si>
  <si>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</si>
  <si>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</si>
  <si>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</si>
  <si>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</si>
  <si>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</si>
  <si>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</si>
  <si>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</si>
  <si>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Wooten fired at authorities, led them on a small chase, held his cousin and girlfriend hostage, and after a violent standoff Wooten was shot and killed.</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</si>
  <si>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</si>
  <si>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</si>
  <si>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</si>
  <si>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</si>
  <si>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</si>
  <si>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Mariah Boucher</t>
  </si>
  <si>
    <t>Miller Ave. and Oakshire Ave.</t>
  </si>
  <si>
    <t>Modesto</t>
  </si>
  <si>
    <t>95354</t>
  </si>
  <si>
    <t>Modesto Police Department</t>
  </si>
  <si>
    <t>Local police tried to pull Mariah Boucher over for a traffic infraction -- they wouldn't say what -- but she refused to pull over. The officer initiated a pursuit and learned the car was called in as stolen. The police said they then broke off the chase and promptly found the car, wrecked, in flames, with Boucher and passengers Kameron Jackson and Donovan King dead at the scene.</t>
  </si>
  <si>
    <t>http://www.modbee.com/incoming/article3163832.html</t>
  </si>
  <si>
    <t>Kameron Jackson</t>
  </si>
  <si>
    <t>Donovan King</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</si>
  <si>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</si>
  <si>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</si>
  <si>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</si>
  <si>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</si>
  <si>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</si>
  <si>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</si>
  <si>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</si>
  <si>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</si>
  <si>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</si>
  <si>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</si>
  <si>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</si>
  <si>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</si>
  <si>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</si>
  <si>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</si>
  <si>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</si>
  <si>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</si>
  <si>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</si>
  <si>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</si>
  <si>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</si>
  <si>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</si>
  <si>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</si>
  <si>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</si>
  <si>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</si>
  <si>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</si>
  <si>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</si>
  <si>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</si>
  <si>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</si>
  <si>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</si>
  <si>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</si>
  <si>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</si>
  <si>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</si>
  <si>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</si>
  <si>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</si>
  <si>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</si>
  <si>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Donald Letterle</t>
  </si>
  <si>
    <t>http://bloximages.chicago2.vip.townnews.com/herald-review.com/content/tncms/assets/v3/editorial/f/46/f4609e9d-d5d8-55ec-bab5-1cba6b07cc54/535ae1467f373.preview-620.jpg</t>
  </si>
  <si>
    <t>700 Pulaski Street</t>
  </si>
  <si>
    <t>62656</t>
  </si>
  <si>
    <t>Lincoln Police Department</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</si>
  <si>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</si>
  <si>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</si>
  <si>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</si>
  <si>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</si>
  <si>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</si>
  <si>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</si>
  <si>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</si>
  <si>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</si>
  <si>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</si>
  <si>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</si>
  <si>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</si>
  <si>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</si>
  <si>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</si>
  <si>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</si>
  <si>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</si>
  <si>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</si>
  <si>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Siale Angilau</t>
  </si>
  <si>
    <t>http://www.cityweekly.net/imager/siale-angilau-was-mortally-wounded-by-a-fe/b/original/2413156/83be/art19123.jpg</t>
  </si>
  <si>
    <t>450 South State Street</t>
  </si>
  <si>
    <t>84111</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</si>
  <si>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</si>
  <si>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</si>
  <si>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</si>
  <si>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</si>
  <si>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</si>
  <si>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</si>
  <si>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</si>
  <si>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</si>
  <si>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</si>
  <si>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</si>
  <si>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</si>
  <si>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</si>
  <si>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</si>
  <si>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</si>
  <si>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</si>
  <si>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</si>
  <si>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</si>
  <si>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</si>
  <si>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</si>
  <si>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</si>
  <si>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</si>
  <si>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</si>
  <si>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Mary Hawkes</t>
  </si>
  <si>
    <t>19</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</si>
  <si>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</si>
  <si>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</si>
  <si>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</si>
  <si>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</si>
  <si>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</si>
  <si>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</si>
  <si>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</si>
  <si>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</si>
  <si>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</si>
  <si>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</si>
  <si>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</si>
  <si>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</si>
  <si>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</si>
  <si>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</si>
  <si>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Cynthia Elizarraras</t>
  </si>
  <si>
    <t>Brandon Leonel Monroy</t>
  </si>
  <si>
    <t>http://www.everythinglubbock.com/media/lib/197/0/1/c/01c1981a-8af1-4326-813c-ba11d3edc3e2/Story.jpg</t>
  </si>
  <si>
    <t>Highway 87 and 82nd Street</t>
  </si>
  <si>
    <t>79423</t>
  </si>
  <si>
    <t>It started as a routine traffic stop. Trooper Corina Jandrew stopped a 4-door Cadillac with three people inside. The driver was Brandon Leonel Monroy. He failed to identify himself and was placed under arrest. Monroy fought with the trooper as she tried to arrest him. He was shot and transported to UMC where he was later pronounced dead.</t>
  </si>
  <si>
    <t>http://www.kcbd.com/story/25292262/lubbock-police-on-scene-of-officer-involved-shooting</t>
  </si>
  <si>
    <t>Charles Miller</t>
  </si>
  <si>
    <t>http://wjbk.images.worldnow.com/images/3536897_G.jpg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</si>
  <si>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</si>
  <si>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</si>
  <si>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</si>
  <si>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</si>
  <si>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</si>
  <si>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</si>
  <si>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</si>
  <si>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</si>
  <si>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</si>
  <si>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</si>
  <si>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W Muscat Avenue and S Cornelia Avenue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</si>
  <si>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</si>
  <si>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</si>
  <si>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</si>
  <si>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</si>
  <si>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</si>
  <si>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</si>
  <si>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</si>
  <si>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</si>
  <si>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</si>
  <si>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</si>
  <si>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</si>
  <si>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</si>
  <si>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</si>
  <si>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</si>
  <si>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</si>
  <si>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</si>
  <si>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Santiago Avila</t>
  </si>
  <si>
    <t>http://bloximages.chicago2.vip.townnews.com/tucson.com/content/tncms/assets/v3/editorial/6/1b/61b1c262-fdf1-583a-8dd8-aa10345efd88/5377083e0d85e.preview-620.jpg</t>
  </si>
  <si>
    <t>145 E. 22nd St.</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</si>
  <si>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</si>
  <si>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</si>
  <si>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James Kubera</t>
  </si>
  <si>
    <t>4100 Brentwood Circle</t>
  </si>
  <si>
    <t>Grapevine</t>
  </si>
  <si>
    <t>76051</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</si>
  <si>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</si>
  <si>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</si>
  <si>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</si>
  <si>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</si>
  <si>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</si>
  <si>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</si>
  <si>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</si>
  <si>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</si>
  <si>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</si>
  <si>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</si>
  <si>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</si>
  <si>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</si>
  <si>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</si>
  <si>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</si>
  <si>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</si>
  <si>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</si>
  <si>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</si>
  <si>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</si>
  <si>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</si>
  <si>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</si>
  <si>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</si>
  <si>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</si>
  <si>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</si>
  <si>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</si>
  <si>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</si>
  <si>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</si>
  <si>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</si>
  <si>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</si>
  <si>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</si>
  <si>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</si>
  <si>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</si>
  <si>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</si>
  <si>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</si>
  <si>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</si>
  <si>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</si>
  <si>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</si>
  <si>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</si>
  <si>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</si>
  <si>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</si>
  <si>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</si>
  <si>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</si>
  <si>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</si>
  <si>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</si>
  <si>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</si>
  <si>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</si>
  <si>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Michael C. Nichols Jr.</t>
  </si>
  <si>
    <t>http://www.najamesfh.com/fh_live/13700/13729/images/obituaries/2485747.jpg</t>
  </si>
  <si>
    <t>42200 Deborah Drive</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</si>
  <si>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</si>
  <si>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</si>
  <si>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</si>
  <si>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</si>
  <si>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Richard Ramirez</t>
  </si>
  <si>
    <t>http://bloximages.chicago2.vip.townnews.com/billingsgazette.com/content/tncms/assets/v3/editorial/b/c4/bc45a6d3-3ae7-5faa-8cce-02ed70499624/534d6867df0a5.preview-620.jpg</t>
  </si>
  <si>
    <t>3898 5th Ave S</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</si>
  <si>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</si>
  <si>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</si>
  <si>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</si>
  <si>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</si>
  <si>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</si>
  <si>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</si>
  <si>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</si>
  <si>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</si>
  <si>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</si>
  <si>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</si>
  <si>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</si>
  <si>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</si>
  <si>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</si>
  <si>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</si>
  <si>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</si>
  <si>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</si>
  <si>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</si>
  <si>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</si>
  <si>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</si>
  <si>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</si>
  <si>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</si>
  <si>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</si>
  <si>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</si>
  <si>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</si>
  <si>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</si>
  <si>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</si>
  <si>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Jose Maldonado</t>
  </si>
  <si>
    <t>http://wfsb.images.worldnow.com/images/25235487_BG2.jpg</t>
  </si>
  <si>
    <t>181 Nutmeg Lane</t>
  </si>
  <si>
    <t>East Hartford</t>
  </si>
  <si>
    <t>06118</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</si>
  <si>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</si>
  <si>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</si>
  <si>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</si>
  <si>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</si>
  <si>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</si>
  <si>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</si>
  <si>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</si>
  <si>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</si>
  <si>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</si>
  <si>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</si>
  <si>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</si>
  <si>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</si>
  <si>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</si>
  <si>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</si>
  <si>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</si>
  <si>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</si>
  <si>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</si>
  <si>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</si>
  <si>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</si>
  <si>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</si>
  <si>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</si>
  <si>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</si>
  <si>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</si>
  <si>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</si>
  <si>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</si>
  <si>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</si>
  <si>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</si>
  <si>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</si>
  <si>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</si>
  <si>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</si>
  <si>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</si>
  <si>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</si>
  <si>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</si>
  <si>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</si>
  <si>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</si>
  <si>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Rolando H. Villanueva</t>
  </si>
  <si>
    <t>http://media.kimatv.com/images/rolando+1.jpg</t>
  </si>
  <si>
    <t>I-82 and Knob Hill Boulevard</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</si>
  <si>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</si>
  <si>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</si>
  <si>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</si>
  <si>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</si>
  <si>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Stephen McKenney</t>
  </si>
  <si>
    <t>http://www.dolbyfuneralchapels.com/Content/Sidebar/FV2-0001408A/S007F6F83-007F6F8D.0/4232014_82235_0.jpg</t>
  </si>
  <si>
    <t>2 Searsport Way</t>
  </si>
  <si>
    <t>Windham</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</si>
  <si>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</si>
  <si>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</si>
  <si>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</si>
  <si>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</si>
  <si>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</si>
  <si>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</si>
  <si>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</si>
  <si>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</si>
  <si>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</si>
  <si>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</si>
  <si>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</si>
  <si>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</si>
  <si>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</si>
  <si>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</si>
  <si>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</si>
  <si>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</si>
  <si>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</si>
  <si>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</si>
  <si>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</si>
  <si>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</si>
  <si>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</si>
  <si>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</si>
  <si>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</si>
  <si>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</si>
  <si>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</si>
  <si>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</si>
  <si>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</si>
  <si>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</si>
  <si>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</si>
  <si>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</si>
  <si>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</si>
  <si>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</si>
  <si>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</si>
  <si>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</si>
  <si>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</si>
  <si>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</si>
  <si>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</si>
  <si>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</si>
  <si>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</si>
  <si>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</si>
  <si>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</si>
  <si>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</si>
  <si>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</si>
  <si>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</si>
  <si>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</si>
  <si>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</si>
  <si>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</si>
  <si>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</si>
  <si>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</si>
  <si>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</si>
  <si>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</si>
  <si>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</si>
  <si>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</si>
  <si>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</si>
  <si>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</si>
  <si>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</si>
  <si>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</si>
  <si>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</si>
  <si>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</si>
  <si>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John Winkler</t>
  </si>
  <si>
    <t>http://www.eonline.com/eol_images/Entire_Site/2014310/rs_634x1024-140410191833-634.John-Winkler-Facebook.ms.041014.jpg</t>
  </si>
  <si>
    <t>939 Palm Avenue</t>
  </si>
  <si>
    <t>West Hollywood</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</si>
  <si>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</si>
  <si>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</si>
  <si>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</si>
  <si>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</si>
  <si>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</si>
  <si>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</si>
  <si>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</si>
  <si>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</si>
  <si>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</si>
  <si>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David M. Zehring</t>
  </si>
  <si>
    <t>http://ak-cache.legacy.net/legacy/images/Cobrands/Kansas/Photos/wek_dzehring_20140419.jpg</t>
  </si>
  <si>
    <t>W Maple St. and S Mt Carmel St</t>
  </si>
  <si>
    <t>67213</t>
  </si>
  <si>
    <t>After a short interaction with police, Zehring lead officers on a chase that ended when he pulled over and brandished a knife at officers. After two failed tasings, an officer fired and fatally hit Zehring, who had a history of mental illness.</t>
  </si>
  <si>
    <t>Ever Ramon Martinez</t>
  </si>
  <si>
    <t>2000 Solano Ave</t>
  </si>
  <si>
    <t>94590</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</si>
  <si>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</si>
  <si>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</si>
  <si>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</si>
  <si>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</si>
  <si>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</si>
  <si>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</si>
  <si>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</si>
  <si>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</si>
  <si>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</si>
  <si>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</si>
  <si>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</si>
  <si>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</si>
  <si>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James Calvin Youngblood</t>
  </si>
  <si>
    <t>1220 Lurecliff Place</t>
  </si>
  <si>
    <t>Fort Mill</t>
  </si>
  <si>
    <t>29708</t>
  </si>
  <si>
    <t>York County Sheriff's Department</t>
  </si>
  <si>
    <t>Youngblood pointed a pistol in the direction of deputies, prompting them to shoot and kill Younblood.</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</si>
  <si>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</si>
  <si>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</si>
  <si>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</si>
  <si>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</si>
  <si>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</si>
  <si>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</si>
  <si>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</si>
  <si>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</si>
  <si>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</si>
  <si>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</si>
  <si>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A deputy was fighting for his life when Williams took the deputies gun and put it against the deputies head. The deputy wrestled with Williams, retrieving his gun and shoots and kills Williams.</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</si>
  <si>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</si>
  <si>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</si>
  <si>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</si>
  <si>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</si>
  <si>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</si>
  <si>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24-25</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</si>
  <si>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</si>
  <si>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</si>
  <si>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</si>
  <si>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</si>
  <si>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</si>
  <si>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</si>
  <si>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</si>
  <si>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</si>
  <si>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</si>
  <si>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</si>
  <si>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</si>
  <si>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</si>
  <si>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</si>
  <si>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Isaac Little</t>
  </si>
  <si>
    <t>4500 C St</t>
  </si>
  <si>
    <t>20019</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</si>
  <si>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</si>
  <si>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</si>
  <si>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Wayne Hoffman</t>
  </si>
  <si>
    <t>Sucher Lane and Nordyke Avenue</t>
  </si>
  <si>
    <t>95401</t>
  </si>
  <si>
    <t>Santa Rosa Police Department</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</si>
  <si>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</si>
  <si>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</si>
  <si>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Wesley Mallory White</t>
  </si>
  <si>
    <t>http://montgomerycountypolicereporter.com/wp-content/uploads/c19ebd5de342_F531/WHITEWESLEYMALOY_thumb.jpg</t>
  </si>
  <si>
    <t>Carlisle St and Ashland Dr</t>
  </si>
  <si>
    <t>Conroe</t>
  </si>
  <si>
    <t>77385</t>
  </si>
  <si>
    <t>Officers serving a felony warrant entered the home where White was staying, and shot him after he pointed a handgun at officers.</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</si>
  <si>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</si>
  <si>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</si>
  <si>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</si>
  <si>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</si>
  <si>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</si>
  <si>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</si>
  <si>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</si>
  <si>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</si>
  <si>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</si>
  <si>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</si>
  <si>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</si>
  <si>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</si>
  <si>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</si>
  <si>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</si>
  <si>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</si>
  <si>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</si>
  <si>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20747</t>
  </si>
  <si>
    <t>Two patrolling officers heard shots fired, and found Jones leaving the area on foot. Jones allegedly reached for a handgun when officers approached him, leading them to fatally shoot Jones.</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</si>
  <si>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</si>
  <si>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</si>
  <si>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</si>
  <si>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</si>
  <si>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</si>
  <si>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Michael J. Santiago</t>
  </si>
  <si>
    <t>959 Putney Road</t>
  </si>
  <si>
    <t>Brattleboro</t>
  </si>
  <si>
    <t>VT</t>
  </si>
  <si>
    <t>05301</t>
  </si>
  <si>
    <t>Brattleboro Police Department</t>
  </si>
  <si>
    <t>Shot while entering hotel room during a drug search.</t>
  </si>
  <si>
    <t>http://bit.ly/1g8I6nJ</t>
  </si>
  <si>
    <t>Codi Ben Bullard</t>
  </si>
  <si>
    <t>http://oi58.tinypic.com/epgif7.jpg</t>
  </si>
  <si>
    <t>1200 S Lamar St</t>
  </si>
  <si>
    <t>75215</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</si>
  <si>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</si>
  <si>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</si>
  <si>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</si>
  <si>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</si>
  <si>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</si>
  <si>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</si>
  <si>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Eddie Ray Epperson</t>
  </si>
  <si>
    <t>https://d3jpl91pxevbkh.cloudfront.net/gf/image/upload/c_crop,w_480,h_319,x_0,y_0/c_limit,h_340,w_647/v1397775739/QLh5FahnRpWKLi5WqkganA.jpg</t>
  </si>
  <si>
    <t>Gibson Wells Road</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</si>
  <si>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</si>
  <si>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</si>
  <si>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</si>
  <si>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</si>
  <si>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</si>
  <si>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</si>
  <si>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</si>
  <si>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</si>
  <si>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</si>
  <si>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Reagan Hartley</t>
  </si>
  <si>
    <t>http://bloximages.newyork1.vip.townnews.com/journalnow.com/content/tncms/assets/v3/editorial/6/4a/64a6f2e7-1998-5a92-985e-f30f98651f08/540087d975003.image.jpg?resize=300%2C449</t>
  </si>
  <si>
    <t>Patterson St &amp; I-40</t>
  </si>
  <si>
    <t>27407</t>
  </si>
  <si>
    <t>Asheboro Police Department, Randleman Police Department, Guilford County Sheriff's Office</t>
  </si>
  <si>
    <t>Multiple police jurisdictions chased a suspect for thirty minutes, initially for his behavior in a Subway restaurant, then for traffic infractions and speeding away from an attempted traffic stop. At one point local officers pursued the suspect the wrong way down an interstate, to the alarm and incredulity of other officers. The suspect plowed head on at 80 or 90 MPH into Hartley's Volvo, killing her.</t>
  </si>
  <si>
    <t>http://www.journalnow.com/news/crime/audio-in-fatal-i--crash-reveals-difficulties-in-police/article_9e2faba8-ad48-5e20-8b74-d9b39026ecff.html</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</si>
  <si>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</si>
  <si>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</si>
  <si>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</si>
  <si>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</si>
  <si>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</si>
  <si>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</si>
  <si>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</si>
  <si>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</si>
  <si>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</si>
  <si>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</si>
  <si>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</si>
  <si>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</si>
  <si>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</si>
  <si>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</si>
  <si>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</si>
  <si>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</si>
  <si>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</si>
  <si>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</si>
  <si>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Tyler Evans Terry</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</si>
  <si>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</si>
  <si>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</si>
  <si>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</si>
  <si>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</si>
  <si>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</si>
  <si>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</si>
  <si>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</si>
  <si>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</si>
  <si>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Amberley McKenzie Hunnicutt</t>
  </si>
  <si>
    <t>Matthew Troy Pollow</t>
  </si>
  <si>
    <t>http://media.cmgdigital.com/shared/lt/lt_cache/thumbnail/275/img/photos/2014/04/03/14/1c/boca-shoot</t>
  </si>
  <si>
    <t>23200 Camino Del Mar</t>
  </si>
  <si>
    <t>Boca Raton</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</si>
  <si>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</si>
  <si>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</si>
  <si>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</si>
  <si>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</si>
  <si>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</si>
  <si>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</si>
  <si>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</si>
  <si>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</si>
  <si>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</si>
  <si>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</si>
  <si>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</si>
  <si>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</si>
  <si>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</si>
  <si>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</si>
  <si>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</si>
  <si>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</si>
  <si>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</si>
  <si>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</si>
  <si>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</si>
  <si>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</si>
  <si>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</si>
  <si>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</si>
  <si>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</si>
  <si>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</si>
  <si>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</si>
  <si>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</si>
  <si>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</si>
  <si>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</si>
  <si>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</si>
  <si>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</si>
  <si>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</si>
  <si>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</si>
  <si>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</si>
  <si>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</si>
  <si>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</si>
  <si>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</si>
  <si>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</si>
  <si>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</si>
  <si>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</si>
  <si>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</si>
  <si>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</si>
  <si>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</si>
  <si>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Bryant Augustus "Fluke" Stallings</t>
  </si>
  <si>
    <t>http://wnct.images.worldnow.com/images/3445240_G.jpg</t>
  </si>
  <si>
    <t>175 Craven Terrace</t>
  </si>
  <si>
    <t>New Bern</t>
  </si>
  <si>
    <t>28560</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</si>
  <si>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</si>
  <si>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</si>
  <si>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</si>
  <si>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</si>
  <si>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</si>
  <si>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</si>
  <si>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</si>
  <si>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</si>
  <si>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Christopher Leo Knight</t>
  </si>
  <si>
    <t>300 South West Temple</t>
  </si>
  <si>
    <t>84101</t>
  </si>
  <si>
    <t>Salt Lake Police Department</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</si>
  <si>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</si>
  <si>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</si>
  <si>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</si>
  <si>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</si>
  <si>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</si>
  <si>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</si>
  <si>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</si>
  <si>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</si>
  <si>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</si>
  <si>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</si>
  <si>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</si>
  <si>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</si>
  <si>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</si>
  <si>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</si>
  <si>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</si>
  <si>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</si>
  <si>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</si>
  <si>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</si>
  <si>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</si>
  <si>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Eduardo Rodriguez</t>
  </si>
  <si>
    <t>John Avenue and Peek Avenue</t>
  </si>
  <si>
    <t>77642</t>
  </si>
  <si>
    <t>Port Arthur Pollice Department</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</si>
  <si>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attempted to take the officer's firearm, a backup officer, who had just arrived, fatally shot Rodriguez.</t>
  </si>
  <si>
    <t>http://www.12newsnow.com/story/25092399/port-arthur-shooting</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</si>
  <si>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</si>
  <si>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</si>
  <si>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</si>
  <si>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</si>
  <si>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</si>
  <si>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</si>
  <si>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</si>
  <si>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</si>
  <si>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</si>
  <si>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</si>
  <si>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</si>
  <si>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</si>
  <si>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</si>
  <si>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</si>
  <si>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</si>
  <si>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</si>
  <si>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</si>
  <si>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</si>
  <si>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</si>
  <si>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</si>
  <si>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</si>
  <si>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</si>
  <si>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</si>
  <si>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</si>
  <si>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</si>
  <si>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</si>
  <si>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</si>
  <si>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</si>
  <si>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</si>
  <si>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</si>
  <si>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</si>
  <si>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</si>
  <si>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</si>
  <si>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</si>
  <si>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</si>
  <si>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</si>
  <si>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</si>
  <si>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</si>
  <si>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</si>
  <si>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</si>
  <si>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</si>
  <si>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</si>
  <si>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</si>
  <si>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</si>
  <si>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</si>
  <si>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</si>
  <si>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</si>
  <si>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</si>
  <si>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</si>
  <si>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</si>
  <si>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</si>
  <si>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</si>
  <si>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</si>
  <si>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</si>
  <si>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</si>
  <si>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</si>
  <si>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</si>
  <si>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</si>
  <si>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</si>
  <si>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</si>
  <si>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</si>
  <si>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</si>
  <si>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</si>
  <si>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</si>
  <si>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</si>
  <si>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</si>
  <si>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</si>
  <si>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</si>
  <si>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</si>
  <si>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</si>
  <si>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</si>
  <si>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</si>
  <si>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</si>
  <si>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</si>
  <si>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</si>
  <si>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</si>
  <si>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</si>
  <si>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</si>
  <si>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</si>
  <si>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</si>
  <si>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</si>
  <si>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</si>
  <si>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</si>
  <si>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</si>
  <si>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</si>
  <si>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</si>
  <si>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</si>
  <si>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</si>
  <si>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</si>
  <si>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</si>
  <si>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</si>
  <si>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</si>
  <si>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Douglas Cooper</t>
  </si>
  <si>
    <t>http://i1.ytimg.com/vi/fYoM_iHSt0o/0.jpg</t>
  </si>
  <si>
    <t>100 Canton Street</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</si>
  <si>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</si>
  <si>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</si>
  <si>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</si>
  <si>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</si>
  <si>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</si>
  <si>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</si>
  <si>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</si>
  <si>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</si>
  <si>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</si>
  <si>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</si>
  <si>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Rajsaun McCray</t>
  </si>
  <si>
    <t>http://bloximages.chicago2.vip.townnews.com/myeasternshoremd.com/content/tncms/assets/v3/editorial/e/15/e1510f2c-b18f-5df2-bfbc-5e4ee9e146c5/533142c71b815.preview-300.jpg</t>
  </si>
  <si>
    <t>1000 Middelton Road</t>
  </si>
  <si>
    <t>Aberdeen</t>
  </si>
  <si>
    <t>21001</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</si>
  <si>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 McCray was unarmed.</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</si>
  <si>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</si>
  <si>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</si>
  <si>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</si>
  <si>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</si>
  <si>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</si>
  <si>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</si>
  <si>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Dario Tena</t>
  </si>
  <si>
    <t>141 School St.</t>
  </si>
  <si>
    <t>10701</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</si>
  <si>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</si>
  <si>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</si>
  <si>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</si>
  <si>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</si>
  <si>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</si>
  <si>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</si>
  <si>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</si>
  <si>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</si>
  <si>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</si>
  <si>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</si>
  <si>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</si>
  <si>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</si>
  <si>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William Slade Sullivan</t>
  </si>
  <si>
    <t>http://bloximages.newyork1.vip.townnews.com/kdhnews.com/content/tncms/assets/v3/editorial/3/50/3505ff74-d276-11e3-bb76-0017a43b2370/536467f1d200b.preview-300.jpg</t>
  </si>
  <si>
    <t>201 Seton Pkwy</t>
  </si>
  <si>
    <t>Round Rock</t>
  </si>
  <si>
    <t>78665</t>
  </si>
  <si>
    <t>Round Rock Police Department</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</si>
  <si>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</si>
  <si>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</si>
  <si>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</si>
  <si>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</si>
  <si>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</si>
  <si>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</si>
  <si>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</si>
  <si>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</si>
  <si>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</si>
  <si>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</si>
  <si>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</si>
  <si>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</si>
  <si>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</si>
  <si>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</si>
  <si>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</si>
  <si>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</si>
  <si>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</si>
  <si>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</si>
  <si>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</si>
  <si>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</si>
  <si>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</si>
  <si>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</si>
  <si>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</si>
  <si>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</si>
  <si>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</si>
  <si>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</si>
  <si>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</si>
  <si>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</si>
  <si>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</si>
  <si>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</si>
  <si>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</si>
  <si>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</si>
  <si>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</si>
  <si>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</si>
  <si>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</si>
  <si>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</si>
  <si>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</si>
  <si>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</si>
  <si>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</si>
  <si>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</si>
  <si>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</si>
  <si>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</si>
  <si>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</si>
  <si>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</si>
  <si>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</si>
  <si>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</si>
  <si>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</si>
  <si>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</si>
  <si>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</si>
  <si>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</si>
  <si>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</si>
  <si>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</si>
  <si>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</si>
  <si>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</si>
  <si>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</si>
  <si>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</si>
  <si>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</si>
  <si>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</si>
  <si>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</si>
  <si>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</si>
  <si>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</si>
  <si>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</si>
  <si>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was armed with a pellet gun.</t>
  </si>
  <si>
    <t>http://www.azcentral.com/story/news/local/phoenix/2014/03/18/phoenix-cityscape-police-officer-shooting-abrk/6568011/</t>
  </si>
  <si>
    <t>Hallis Kinsey</t>
  </si>
  <si>
    <t>http://www.millerjosey.com/sitemaker/memsol_data/748/1272988/1272988_profile_pic.jpg?1425610668</t>
  </si>
  <si>
    <t>9638 Plainfield St</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</si>
  <si>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</si>
  <si>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</si>
  <si>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Kenny Roger Drake</t>
  </si>
  <si>
    <t>7900 Nicholson Rd</t>
  </si>
  <si>
    <t>30028</t>
  </si>
  <si>
    <t>Forsyth County Sheriff's Office</t>
  </si>
  <si>
    <t>Officers responding to a "routine 911 call" shot and killed Drake after he threatened them with a gun. The county District Attorney cleared the officers of any wrongdoing.</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</si>
  <si>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</si>
  <si>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</si>
  <si>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</si>
  <si>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</si>
  <si>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</si>
  <si>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</si>
  <si>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</si>
  <si>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</si>
  <si>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</si>
  <si>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</si>
  <si>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Daniel Martin</t>
  </si>
  <si>
    <t>http://cdn2.newsok.biz/cache/r960-a2ba8a2cbff574ed782d1c3a02a9e368.jpg</t>
  </si>
  <si>
    <t>4100 SW Parkridge Blvd</t>
  </si>
  <si>
    <t>Lawton</t>
  </si>
  <si>
    <t>73505</t>
  </si>
  <si>
    <t>Comanche</t>
  </si>
  <si>
    <t>Lawton Police Department</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</si>
  <si>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</si>
  <si>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</si>
  <si>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</si>
  <si>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</si>
  <si>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</si>
  <si>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</si>
  <si>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</si>
  <si>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James M. Boyd</t>
  </si>
  <si>
    <t>38</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</si>
  <si>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</si>
  <si>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</si>
  <si>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</si>
  <si>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</si>
  <si>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</si>
  <si>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</si>
  <si>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Richland County Sheriff's Office</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</si>
  <si>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</si>
  <si>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</si>
  <si>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</si>
  <si>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</si>
  <si>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</si>
  <si>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</si>
  <si>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</si>
  <si>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</si>
  <si>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</si>
  <si>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</si>
  <si>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</si>
  <si>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</si>
  <si>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</si>
  <si>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</si>
  <si>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</si>
  <si>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</si>
  <si>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</si>
  <si>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</si>
  <si>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</si>
  <si>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</si>
  <si>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</si>
  <si>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</si>
  <si>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</si>
  <si>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</si>
  <si>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</si>
  <si>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</si>
  <si>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</si>
  <si>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</si>
  <si>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</si>
  <si>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</si>
  <si>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</si>
  <si>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</si>
  <si>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</si>
  <si>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</si>
  <si>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</si>
  <si>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</si>
  <si>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</si>
  <si>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</si>
  <si>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</si>
  <si>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</si>
  <si>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</si>
  <si>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</si>
  <si>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</si>
  <si>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</si>
  <si>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</si>
  <si>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</si>
  <si>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</si>
  <si>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</si>
  <si>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</si>
  <si>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</si>
  <si>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</si>
  <si>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</si>
  <si>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</si>
  <si>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</si>
  <si>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</si>
  <si>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</si>
  <si>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</si>
  <si>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</si>
  <si>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</si>
  <si>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</si>
  <si>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Andrew Rael</t>
  </si>
  <si>
    <t>http://kpho.images.worldnow.com/images/24929858_BG3.JPG</t>
  </si>
  <si>
    <t>4153 S Priest Dr</t>
  </si>
  <si>
    <t>85282</t>
  </si>
  <si>
    <t>Arizona Department of Public Safety</t>
  </si>
  <si>
    <t>Rael was killed in a shootout with police following a short car chase. He had recently been released from prison and was connected to two recent murders in Arizona.</t>
  </si>
  <si>
    <t>http://www.kpho.com/story/24929858/suspect-shot-dead-by-dps-officersprobably-suspect-in-buckeye-homicide</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</si>
  <si>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</si>
  <si>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</si>
  <si>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</si>
  <si>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</si>
  <si>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John Weipert</t>
  </si>
  <si>
    <t>http://bloximages.newyork1.vip.townnews.com/newspressnow.com/content/tncms/assets/v3/editorial/5/bb/5bbc2128-6b03-52ad-8d67-79411ee86928/5320f1fb3c7aa.image.jpg</t>
  </si>
  <si>
    <t>1510 S. 41st St.</t>
  </si>
  <si>
    <t>St. Joseph</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</si>
  <si>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</si>
  <si>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</si>
  <si>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</si>
  <si>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</si>
  <si>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</si>
  <si>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Ben Shannon</t>
  </si>
  <si>
    <t>Periwinkle Drive</t>
  </si>
  <si>
    <t>03868</t>
  </si>
  <si>
    <t>Strafford</t>
  </si>
  <si>
    <t>New Hampshire Department of Corrections Probation/Parole Officers and Strafford County Sheriff's Department</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</si>
  <si>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</si>
  <si>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</si>
  <si>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</si>
  <si>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</si>
  <si>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</si>
  <si>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</si>
  <si>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</si>
  <si>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</si>
  <si>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</si>
  <si>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</si>
  <si>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</si>
  <si>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</si>
  <si>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</si>
  <si>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</si>
  <si>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</si>
  <si>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</si>
  <si>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Victor White III</t>
  </si>
  <si>
    <t>http://media3.s-nbcnews.com/i/newscms/2014_34/633596/140824-victor-white-file2_e23f82acd335572b3e140a9c62fda718.jpg</t>
  </si>
  <si>
    <t>3616 Par Road 515</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</si>
  <si>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</si>
  <si>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</si>
  <si>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</si>
  <si>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</si>
  <si>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</si>
  <si>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</si>
  <si>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</si>
  <si>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</si>
  <si>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</si>
  <si>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</si>
  <si>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Justin Aguilar</t>
  </si>
  <si>
    <t>http://bloximages.chicago2.vip.townnews.com/news-journal.com/content/tncms/assets/v3/editorial/a/e8/ae8c20fa-a894-11e3-8af5-0019bb2963f4/531e242fb5503.image.jpg</t>
  </si>
  <si>
    <t>Avalon Avenue and Edgefield Avenue E</t>
  </si>
  <si>
    <t>75602</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</si>
  <si>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</si>
  <si>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</si>
  <si>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</si>
  <si>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</si>
  <si>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</si>
  <si>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</si>
  <si>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</si>
  <si>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</si>
  <si>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</si>
  <si>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</si>
  <si>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Gordon E. Samel</t>
  </si>
  <si>
    <t>http://www.newsmatsu.com/news/1405/images/09samel.jpg</t>
  </si>
  <si>
    <t>Seward Meridian Rd &amp; E Whispering Woods Dr</t>
  </si>
  <si>
    <t>99654</t>
  </si>
  <si>
    <t>Alaska State Troopers</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</si>
  <si>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</si>
  <si>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</si>
  <si>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Emerson Clayton Jr.</t>
  </si>
  <si>
    <t>http://greenecountydemocrat.com/wp-content/uploads/2014/06/Emerson-Crayton-Jr..jpg</t>
  </si>
  <si>
    <t>4727 U.S. 280</t>
  </si>
  <si>
    <t>Alexander City</t>
  </si>
  <si>
    <t>35010</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</si>
  <si>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</si>
  <si>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</si>
  <si>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</si>
  <si>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</si>
  <si>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</si>
  <si>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</si>
  <si>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</si>
  <si>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</si>
  <si>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</si>
  <si>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</si>
  <si>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</si>
  <si>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</si>
  <si>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</si>
  <si>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</si>
  <si>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</si>
  <si>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</si>
  <si>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</si>
  <si>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</si>
  <si>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</si>
  <si>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</si>
  <si>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</si>
  <si>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</si>
  <si>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</si>
  <si>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</si>
  <si>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503 West Road</t>
  </si>
  <si>
    <t>77038</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</si>
  <si>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</si>
  <si>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</si>
  <si>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</si>
  <si>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</si>
  <si>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</si>
  <si>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</si>
  <si>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</si>
  <si>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</si>
  <si>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</si>
  <si>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</si>
  <si>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</si>
  <si>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</si>
  <si>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</si>
  <si>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</si>
  <si>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</si>
  <si>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</si>
  <si>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</si>
  <si>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</si>
  <si>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</si>
  <si>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</si>
  <si>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</si>
  <si>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</si>
  <si>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</si>
  <si>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</si>
  <si>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</si>
  <si>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</si>
  <si>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</si>
  <si>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</si>
  <si>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</si>
  <si>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</si>
  <si>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</si>
  <si>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</si>
  <si>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</si>
  <si>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</si>
  <si>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</si>
  <si>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</si>
  <si>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</si>
  <si>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</si>
  <si>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</si>
  <si>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</si>
  <si>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</si>
  <si>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</si>
  <si>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</si>
  <si>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</si>
  <si>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</si>
  <si>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</si>
  <si>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</si>
  <si>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Gary E. Wenzel</t>
  </si>
  <si>
    <t>http://bloximages.newyork1.vip.townnews.com/stltoday.com/content/tncms/assets/v3/editorial/f/84/f84a02f4-de9b-59b6-a34b-832d4485fb0c/5318984566f2d.preview-620.jpg</t>
  </si>
  <si>
    <t>3756 State Highway J</t>
  </si>
  <si>
    <t>Bourbon</t>
  </si>
  <si>
    <t>65441</t>
  </si>
  <si>
    <t>Crawford</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</si>
  <si>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</si>
  <si>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</si>
  <si>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</si>
  <si>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</si>
  <si>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</si>
  <si>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</si>
  <si>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</si>
  <si>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</si>
  <si>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</si>
  <si>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</si>
  <si>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</si>
  <si>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</si>
  <si>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</si>
  <si>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</si>
  <si>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Lew G. Tyree II</t>
  </si>
  <si>
    <t>http://www.baynews9.com/content/dam/news/images/2014/03/1/Lew-Tyree-34.jpg</t>
  </si>
  <si>
    <t>2100 Bloomingdale Villas Court</t>
  </si>
  <si>
    <t>33511</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</si>
  <si>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</si>
  <si>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</si>
  <si>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Federico Osorio</t>
  </si>
  <si>
    <t>10511 SW 108th Ave.</t>
  </si>
  <si>
    <t>33176</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</si>
  <si>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</si>
  <si>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</si>
  <si>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</si>
  <si>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</si>
  <si>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</si>
  <si>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</si>
  <si>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</si>
  <si>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Charles Muse III</t>
  </si>
  <si>
    <t>http://img01.funeralnet.com/obit_photo.php?type=obit&amp;fullsize=1&amp;id=1351747&amp;clientid=desmondfuneralhome&amp;rand=1412622318</t>
  </si>
  <si>
    <t>400 Phillips Avenue</t>
  </si>
  <si>
    <t>Clawson</t>
  </si>
  <si>
    <t>48017</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</si>
  <si>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</si>
  <si>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</si>
  <si>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</si>
  <si>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</si>
  <si>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</si>
  <si>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</si>
  <si>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</si>
  <si>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</si>
  <si>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</si>
  <si>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</si>
  <si>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</si>
  <si>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</si>
  <si>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</si>
  <si>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</si>
  <si>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</si>
  <si>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</si>
  <si>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</si>
  <si>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Michael Cravey</t>
  </si>
  <si>
    <t>http://www.ocala.com/apps/pbcsi.dll/bilde?Site=OS&amp;Date=20140303&amp;Category=ARTICLES&amp;ArtNo=140309940&amp;Ref=V2&amp;MaxW=728&amp;logo=/images/watermark.gif&amp;logoxpos=0&amp;logoypos=0</t>
  </si>
  <si>
    <t>3750 SW Archer Rd</t>
  </si>
  <si>
    <t>Gainesville</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</si>
  <si>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</si>
  <si>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</si>
  <si>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</si>
  <si>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</si>
  <si>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</si>
  <si>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</si>
  <si>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</si>
  <si>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</si>
  <si>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</si>
  <si>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</si>
  <si>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</si>
  <si>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</si>
  <si>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</si>
  <si>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</si>
  <si>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</si>
  <si>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Robert Joseph Minjarez Jr.</t>
  </si>
  <si>
    <t>http://www.kinchenfuneralhome.com/fh_live/10900/10975/images/obituaries/2476096.jpg</t>
  </si>
  <si>
    <t>120 East Pont Des Mouton Road</t>
  </si>
  <si>
    <t>Lafayette</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</si>
  <si>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</si>
  <si>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</si>
  <si>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</si>
  <si>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</si>
  <si>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Ryan Matthew Shannon</t>
  </si>
  <si>
    <t>Don Julio Boulevard and Antelope Road</t>
  </si>
  <si>
    <t>Antelope</t>
  </si>
  <si>
    <t>95843</t>
  </si>
  <si>
    <t>Sacramento County Sheriff's Office</t>
  </si>
  <si>
    <t>Deputies were responding to a report of shots fired. When they approached Shannon, he fired on them. They shot and killed him.</t>
  </si>
  <si>
    <t>http://www.sacbee.com/news/local/crime/article2592271.html</t>
  </si>
  <si>
    <t>Nicholas Castillo Soria</t>
  </si>
  <si>
    <t>3600 Colonial Avenue</t>
  </si>
  <si>
    <t>Man was dancing around naked in bar when police arrived, who tasered him. They then wrestled him into an ambulance. Medical examiners discovered he was stabbed and he died of unknown causes.</t>
  </si>
  <si>
    <t>http://www.dallasnews.com/news/metro/20140301-irving-man-on-drugs-dies-after-naked-scuffle-with-police.ece</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</si>
  <si>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</si>
  <si>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</si>
  <si>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</si>
  <si>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</si>
  <si>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</si>
  <si>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</si>
  <si>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</si>
  <si>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Marquise Jones</t>
  </si>
  <si>
    <t>http://opnateye.com/wp-content/uploads/2014/03/Marquise-Jones.png</t>
  </si>
  <si>
    <t>8614 Perrin Beitel Road</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</si>
  <si>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</si>
  <si>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</si>
  <si>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Maykel Antonio Barrera</t>
  </si>
  <si>
    <t>http://www.nbcmiami.com/news/local/Miami-Dade-Officers-Injured-After-Responding-to-Domestic-Disturbance-247765331.html</t>
  </si>
  <si>
    <t>21240 SW 202nd St</t>
  </si>
  <si>
    <t>33177</t>
  </si>
  <si>
    <t>Barrera was tasered after fleeing a police response to a domestic-disturbance call in his apartment.</t>
  </si>
  <si>
    <t>http://www.miamiherald.com/2014/02/28/3965145/gerogia-man-visiting-family-in.html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</si>
  <si>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</si>
  <si>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</si>
  <si>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</si>
  <si>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</si>
  <si>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</si>
  <si>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</si>
  <si>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Treon "Tree" Johnson</t>
  </si>
  <si>
    <t>http://media.nbcmiami.com/images/1200*675/Treon-Johnson.jpg</t>
  </si>
  <si>
    <t>East 7th Avenue and 24th Street</t>
  </si>
  <si>
    <t>33013</t>
  </si>
  <si>
    <t>Hialeah Polce Department</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</si>
  <si>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</si>
  <si>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</si>
  <si>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Ronald Shoup</t>
  </si>
  <si>
    <t>http://www.sussexcountian.com/storyimage/DE/20140422/NEWS/140429922/AR/0/AR-140429922.jpg&amp;MaxW=315&amp;MaxH=315</t>
  </si>
  <si>
    <t>23203 Dupont Boulevard</t>
  </si>
  <si>
    <t>Delaware Department of Correction</t>
  </si>
  <si>
    <t>Unknown medical issue</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</si>
  <si>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</si>
  <si>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</si>
  <si>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</si>
  <si>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</si>
  <si>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</si>
  <si>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</si>
  <si>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</si>
  <si>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</si>
  <si>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Gray Hill Court</t>
  </si>
  <si>
    <t>Police shot and killed a man in Shelbyville on Tuesday night after he barricaded himself inside his house and fired on officers "numerous times,"</t>
  </si>
  <si>
    <t>http://www.kentucky.com/2014/02/26/3109277/police-shoot-man-who-fired-at.html</t>
  </si>
  <si>
    <t>John Edward Chesney</t>
  </si>
  <si>
    <t>http://media.nbcsandiego.com/images/1200*675/john+chesney+ois+.JPG</t>
  </si>
  <si>
    <t>900 Broadway</t>
  </si>
  <si>
    <t>92101</t>
  </si>
  <si>
    <t>John Edward Chesney, 62, was shot and killed by police in his apartment after an hour long standoff. Chesney was said to be suicidal at the time of his death.</t>
  </si>
  <si>
    <t>Scott Islam</t>
  </si>
  <si>
    <t>North Logan Ave and Kimber Street</t>
  </si>
  <si>
    <t>Danville</t>
  </si>
  <si>
    <t>61832</t>
  </si>
  <si>
    <t>Vermilion</t>
  </si>
  <si>
    <t>Danville Police Department</t>
  </si>
  <si>
    <t>Islam was shot after a car chase with police that ended in a shootout.</t>
  </si>
  <si>
    <t>Vanessa Pitofsky</t>
  </si>
  <si>
    <t>http://cbsdallas.files.wordpress.com/2014/02/vanessa-and-nick-pitofsky.jpg?w=620&amp;h=349&amp;crop=1</t>
  </si>
  <si>
    <t>1800 Browder St</t>
  </si>
  <si>
    <t>Crandall Police Department</t>
  </si>
  <si>
    <t>Police say Sgt. Nick Pitofsky, a Crandall police officer is said to be the only suspect in the apparent murder-suicide.</t>
  </si>
  <si>
    <t>http://www.wfaa.com/story/local/2014/10/05/14175584/</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</si>
  <si>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</si>
  <si>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</si>
  <si>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</si>
  <si>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</si>
  <si>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</si>
  <si>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</si>
  <si>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</si>
  <si>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</si>
  <si>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</si>
  <si>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</si>
  <si>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</si>
  <si>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</si>
  <si>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</si>
  <si>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</si>
  <si>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</si>
  <si>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</si>
  <si>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</si>
  <si>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</si>
  <si>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Kenneth Christopher Lucas</t>
  </si>
  <si>
    <t>14350 Wallisville Road</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</si>
  <si>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</si>
  <si>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</si>
  <si>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</si>
  <si>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</si>
  <si>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</si>
  <si>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</si>
  <si>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</si>
  <si>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</si>
  <si>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</si>
  <si>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</si>
  <si>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</si>
  <si>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</si>
  <si>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</si>
  <si>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</si>
  <si>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</si>
  <si>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</si>
  <si>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</si>
  <si>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</si>
  <si>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</si>
  <si>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</si>
  <si>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</si>
  <si>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</si>
  <si>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</si>
  <si>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</si>
  <si>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</si>
  <si>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</si>
  <si>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</si>
  <si>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</si>
  <si>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</si>
  <si>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</si>
  <si>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</si>
  <si>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</si>
  <si>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</si>
  <si>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</si>
  <si>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</si>
  <si>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</si>
  <si>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</si>
  <si>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</si>
  <si>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</si>
  <si>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</si>
  <si>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</si>
  <si>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</si>
  <si>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Jesus Flores-Cruz</t>
  </si>
  <si>
    <t>Alta Road</t>
  </si>
  <si>
    <t>92154</t>
  </si>
  <si>
    <t>A Border Patrol agent followed Flores-Cruz through a ravine and up a hillside when he began throwing fist-sized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</si>
  <si>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http://www.nbcsandiego.com/news/local/Shooting-San-Diego-Border-Patrol-Otay-Truck-Trail--245985161.html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</si>
  <si>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</si>
  <si>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</si>
  <si>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</si>
  <si>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</si>
  <si>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</si>
  <si>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</si>
  <si>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</si>
  <si>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</si>
  <si>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</si>
  <si>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</si>
  <si>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</si>
  <si>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</si>
  <si>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</si>
  <si>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</si>
  <si>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Graciela E. Olivas</t>
  </si>
  <si>
    <t>http://www.kmbc.com/image/view/-/24548340/medRes/3/-/3ehfp9/-/Woman-killed-in-crash-after-police-chase-fondly-remembered.jpg</t>
  </si>
  <si>
    <t>34th Street and Shawnee Drive</t>
  </si>
  <si>
    <t>66106</t>
  </si>
  <si>
    <t>Olivas was killed by a speeding and reckless suspect being chased by local police. The department refused to provide news media a copy of their chase protocols and policies despite repeated similar incidents.</t>
  </si>
  <si>
    <t>http://www.kctv5.com/story/24751428/suspect-held-after-innocent-motorist-killed-in-police-chase</t>
  </si>
  <si>
    <t>John E. Brown II</t>
  </si>
  <si>
    <t>6600 Ohio Avenue</t>
  </si>
  <si>
    <t>46323</t>
  </si>
  <si>
    <t>Hammond Police Department</t>
  </si>
  <si>
    <t>Police responding to a domestic disturbance fatally shot Brown after he stabbed his wife and brandished two knives at police.</t>
  </si>
  <si>
    <t>http://www.nwitimes.com/news/local/lake/hammond/man-dies-in-cop-related-shooting-in-hammond/article_9e95243b-9294-5d4e-bfa4-8fa4a7594b93.html</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</si>
  <si>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</si>
  <si>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</si>
  <si>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</si>
  <si>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</si>
  <si>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</si>
  <si>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</si>
  <si>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</si>
  <si>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</si>
  <si>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</si>
  <si>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</si>
  <si>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</si>
  <si>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</si>
  <si>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</si>
  <si>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</si>
  <si>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Michael Walker Jr.</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</si>
  <si>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</si>
  <si>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</si>
  <si>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</si>
  <si>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</si>
  <si>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</si>
  <si>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</si>
  <si>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</si>
  <si>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</si>
  <si>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</si>
  <si>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</si>
  <si>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Jazzman Vontrazc Jacobs</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</si>
  <si>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</si>
  <si>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</si>
  <si>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</si>
  <si>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</si>
  <si>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</si>
  <si>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</si>
  <si>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</si>
  <si>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</si>
  <si>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</si>
  <si>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</si>
  <si>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</si>
  <si>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</si>
  <si>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</si>
  <si>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Luis Antonio Elena Rodriguez</t>
  </si>
  <si>
    <t>http://www.koco.com/image/view/-/24682116/medRes/2/-/maxh/480/maxw/640/-/uyw3nj/-/img-Family-releases-video-of-Norman-man-s-in-custody-death-at-Warren-Theater.jpg</t>
  </si>
  <si>
    <t>Warren Theatre, 1000 S Telephone Rd</t>
  </si>
  <si>
    <t>73160</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</si>
  <si>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</si>
  <si>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</si>
  <si>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</si>
  <si>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</si>
  <si>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</si>
  <si>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</si>
  <si>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</si>
  <si>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</si>
  <si>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</si>
  <si>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</si>
  <si>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</si>
  <si>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</si>
  <si>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</si>
  <si>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</si>
  <si>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</si>
  <si>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</si>
  <si>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</si>
  <si>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</si>
  <si>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</si>
  <si>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</si>
  <si>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</si>
  <si>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</si>
  <si>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http://lasvegassun.com/news/2014/feb/14/officer-involved-shooting-leaves-pedestrian-dead-r/</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</si>
  <si>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</si>
  <si>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</si>
  <si>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</si>
  <si>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</si>
  <si>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</si>
  <si>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</si>
  <si>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</si>
  <si>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</si>
  <si>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</si>
  <si>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</si>
  <si>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</si>
  <si>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</si>
  <si>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</si>
  <si>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</si>
  <si>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</si>
  <si>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</si>
  <si>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</si>
  <si>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</si>
  <si>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</si>
  <si>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</si>
  <si>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</si>
  <si>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</si>
  <si>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</si>
  <si>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</si>
  <si>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</si>
  <si>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</si>
  <si>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</si>
  <si>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</si>
  <si>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</si>
  <si>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</si>
  <si>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</si>
  <si>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</si>
  <si>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Pamela Hutcherson</t>
  </si>
  <si>
    <t>1500 Bridgecrest Drive.</t>
  </si>
  <si>
    <t>37013</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</si>
  <si>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</si>
  <si>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</si>
  <si>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</si>
  <si>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</si>
  <si>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</si>
  <si>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</si>
  <si>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</si>
  <si>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</si>
  <si>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Anthony Bartley</t>
  </si>
  <si>
    <t>http://www.news4jax.com/image/view/-/27727962/medRes/1/-/4nbd3xz/-/More-from-Nassau-police-shooting-911-calls.jpg</t>
  </si>
  <si>
    <t>Amelia Concourse southeast of Yulee</t>
  </si>
  <si>
    <t>32034</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</si>
  <si>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</si>
  <si>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</si>
  <si>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Ernest Satterwhite</t>
  </si>
  <si>
    <t>http://i.kinja-img.com/gawker-media/image/upload/s--fP71seuY--/ltnicvlp7f9vjat3txmq.jpg</t>
  </si>
  <si>
    <t>Rose Drive</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</si>
  <si>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</si>
  <si>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</si>
  <si>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</si>
  <si>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</si>
  <si>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</si>
  <si>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</si>
  <si>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</si>
  <si>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</si>
  <si>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</si>
  <si>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</si>
  <si>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</si>
  <si>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20s</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</si>
  <si>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</si>
  <si>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</si>
  <si>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</si>
  <si>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</si>
  <si>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</si>
  <si>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</si>
  <si>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</si>
  <si>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</si>
  <si>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</si>
  <si>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</si>
  <si>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</si>
  <si>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</si>
  <si>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</si>
  <si>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</si>
  <si>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Fernandina Beach</t>
  </si>
  <si>
    <t>A deputy was responding to a report of a man attempting to break into homes and cars. When he confronted the suspect, a fight ensued, and then the deputy shot the suspect.</t>
  </si>
  <si>
    <t>http://members.jacksonville.com/news/crime/2014-02-10/story/sheriff-nassau-deputy-fatally-shoots-suspected-burglar-during-struggle</t>
  </si>
  <si>
    <t>Donald Haynes</t>
  </si>
  <si>
    <t>https://scontent-lax.xx.fbcdn.net/hphotos-xpf1/v/t1.0-9/971231_1438866803024613_1527015152947715617_n.png?oh=d0726eb2a04b954a00322c52c4d4f008&amp;oe=5582B4FD</t>
  </si>
  <si>
    <t>1658 S. Airport Way</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</si>
  <si>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</si>
  <si>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</si>
  <si>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</si>
  <si>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</si>
  <si>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</si>
  <si>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</si>
  <si>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</si>
  <si>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</si>
  <si>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</si>
  <si>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</si>
  <si>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</si>
  <si>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</si>
  <si>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</si>
  <si>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</si>
  <si>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</si>
  <si>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</si>
  <si>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Keith Walker</t>
  </si>
  <si>
    <t>http://www.click2houston.com/image/view/-/24393380/highRes/2/-/maxh/360/maxw/640/-/wi6qauz/-/Keith-Walker.png</t>
  </si>
  <si>
    <t>3900 5th Street</t>
  </si>
  <si>
    <t>77423</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</si>
  <si>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</si>
  <si>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</si>
  <si>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</si>
  <si>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</si>
  <si>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</si>
  <si>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</si>
  <si>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</si>
  <si>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</si>
  <si>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</si>
  <si>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</si>
  <si>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</si>
  <si>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</si>
  <si>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</si>
  <si>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</si>
  <si>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</si>
  <si>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</si>
  <si>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Willie James Sams</t>
  </si>
  <si>
    <t>http://blogs.miaminewtimes.com/riptide/assets_c/2014/02/Willie_Sams_profile-thumb-200x229.jpg</t>
  </si>
  <si>
    <t>1635 NW 75th St</t>
  </si>
  <si>
    <t>Liberty City</t>
  </si>
  <si>
    <t>Sams was tasered by police during a domestic dispute call.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</si>
  <si>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</si>
  <si>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</si>
  <si>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</si>
  <si>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</si>
  <si>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Earl Edward Clague Jr.</t>
  </si>
  <si>
    <t>2400 South Byron Butler Parkway</t>
  </si>
  <si>
    <t>32348</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</si>
  <si>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</si>
  <si>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</si>
  <si>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Anesson Joseph</t>
  </si>
  <si>
    <t>http://assets.nydailynews.com/polopoly_fs/1.1604178.1391692968!/img/httpImage/image.jpg_gen/derivatives/article_970/naked7n-6-web.jpg?enlarged</t>
  </si>
  <si>
    <t>Modern Drive and South Military Trail</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</si>
  <si>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</si>
  <si>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</si>
  <si>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</si>
  <si>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</si>
  <si>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</si>
  <si>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</si>
  <si>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</si>
  <si>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</si>
  <si>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</si>
  <si>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</si>
  <si>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</si>
  <si>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Randall Hatori</t>
  </si>
  <si>
    <t>http://bigislandnow.com/wp-content/uploads/2014/02/randall-hatori.jpg</t>
  </si>
  <si>
    <t>Palani Road</t>
  </si>
  <si>
    <t>Kailua-Kona</t>
  </si>
  <si>
    <t>96740</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</si>
  <si>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</si>
  <si>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</si>
  <si>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</si>
  <si>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</si>
  <si>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</si>
  <si>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</si>
  <si>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</si>
  <si>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Ariel Levy</t>
  </si>
  <si>
    <t>21700 Foothill Blvd</t>
  </si>
  <si>
    <t>Ariel Levy was killed in an officer-involved shooting in after she reportedly threatened an officer with what later turned out to be a replica handgun.</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</si>
  <si>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</si>
  <si>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</si>
  <si>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</si>
  <si>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</si>
  <si>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</si>
  <si>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Kevin Dejon Grissett</t>
  </si>
  <si>
    <t>National Avenue and Snow Hill Road</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</si>
  <si>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</si>
  <si>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</si>
  <si>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</si>
  <si>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</si>
  <si>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</si>
  <si>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</si>
  <si>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</si>
  <si>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</si>
  <si>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</si>
  <si>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</si>
  <si>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</si>
  <si>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</si>
  <si>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</si>
  <si>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</si>
  <si>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</si>
  <si>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Alton Reaves</t>
  </si>
  <si>
    <t>Main Street and Railroad Avenue</t>
  </si>
  <si>
    <t>Kingstree</t>
  </si>
  <si>
    <t>29556</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</si>
  <si>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</si>
  <si>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</si>
  <si>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</si>
  <si>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Michael Paul Napier</t>
  </si>
  <si>
    <t>http://media.utsandiego.com/img/photos/2014/02/01/napier_t730.png?b0f0cf804b45a2830ba759010b8a41b9b1684c1a</t>
  </si>
  <si>
    <t>2000 South Melrose Drive</t>
  </si>
  <si>
    <t>Vista</t>
  </si>
  <si>
    <t>92081</t>
  </si>
  <si>
    <t>Michael Paul Napier was confronted in his parents garage about a drug-related arrest warrant. Two deputies opened fire after he reached for his waistband. He was unarmed.</t>
  </si>
  <si>
    <t>http://www.utsandiego.com/news/2014/jan/31/deputy-shooting-vista-melrose/</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</si>
  <si>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</si>
  <si>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</si>
  <si>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</si>
  <si>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</si>
  <si>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</si>
  <si>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</si>
  <si>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</si>
  <si>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</si>
  <si>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</si>
  <si>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Mark Anthony Ayala</t>
  </si>
  <si>
    <t>http://ak-cache.legacy.net/legacy/images/Cobrands/IVPressOnline/Photos/AyalaMark__20140211_0.jpg</t>
  </si>
  <si>
    <t>500 Woodward Ave.</t>
  </si>
  <si>
    <t>El Centro</t>
  </si>
  <si>
    <t>92243</t>
  </si>
  <si>
    <t>Ayala was parolee with a misdemeanor warrant. When authorities made contact, a shootout occurred. Ayala was shot and killed.</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</si>
  <si>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</si>
  <si>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</si>
  <si>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</si>
  <si>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</si>
  <si>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</si>
  <si>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</si>
  <si>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</si>
  <si>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</si>
  <si>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</si>
  <si>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</si>
  <si>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</si>
  <si>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</si>
  <si>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</si>
  <si>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</si>
  <si>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</si>
  <si>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</si>
  <si>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</si>
  <si>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</si>
  <si>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</si>
  <si>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</si>
  <si>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</si>
  <si>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</si>
  <si>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</si>
  <si>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</si>
  <si>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</si>
  <si>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</si>
  <si>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</si>
  <si>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</si>
  <si>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</si>
  <si>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</si>
  <si>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</si>
  <si>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</si>
  <si>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Felix Navarette</t>
  </si>
  <si>
    <t>http://bloximages.chicago2.vip.townnews.com/siouxcityjournal.com/content/tncms/assets/v3/editorial/5/f2/5f298c3e-82d3-5e66-8e0d-ad4a44af4b1b/52e9921477bf0.preview-620.jpg</t>
  </si>
  <si>
    <t>2728 South Helen Street</t>
  </si>
  <si>
    <t>Sioux City</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</si>
  <si>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</si>
  <si>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</si>
  <si>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</si>
  <si>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</si>
  <si>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</si>
  <si>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</si>
  <si>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</si>
  <si>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</si>
  <si>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</si>
  <si>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</si>
  <si>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</si>
  <si>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</si>
  <si>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</si>
  <si>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</si>
  <si>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</si>
  <si>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</si>
  <si>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</si>
  <si>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</si>
  <si>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</si>
  <si>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</si>
  <si>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</si>
  <si>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</si>
  <si>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</si>
  <si>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</si>
  <si>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</si>
  <si>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</si>
  <si>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</si>
  <si>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</si>
  <si>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</si>
  <si>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</si>
  <si>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</si>
  <si>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</si>
  <si>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</si>
  <si>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</si>
  <si>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</si>
  <si>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</si>
  <si>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Julius Cecil Freeman</t>
  </si>
  <si>
    <t>http://archives.webexpressventures.com/fullsize/16/27/1627a5ac311740b53e37205588a1a9dd5cd6e772.jpg</t>
  </si>
  <si>
    <t>207 Commerce Ave</t>
  </si>
  <si>
    <t>Chesterfield</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</si>
  <si>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</si>
  <si>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</si>
  <si>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</si>
  <si>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</si>
  <si>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</si>
  <si>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</si>
  <si>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</si>
  <si>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</si>
  <si>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</si>
  <si>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</si>
  <si>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</si>
  <si>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Aaron DeVenere</t>
  </si>
  <si>
    <t>http://media.utsandiego.com/img/photos/2014/01/26/devenere2_t180.jpg?6ec45598a0efd272cf6d6631efc8bbae7a2ee918</t>
  </si>
  <si>
    <t>3050 S Centre City Pkwy</t>
  </si>
  <si>
    <t>Escondido</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</si>
  <si>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</si>
  <si>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</si>
  <si>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</si>
  <si>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</si>
  <si>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</si>
  <si>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</si>
  <si>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</si>
  <si>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</si>
  <si>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</si>
  <si>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</si>
  <si>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</si>
  <si>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</si>
  <si>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</si>
  <si>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</si>
  <si>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</si>
  <si>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</si>
  <si>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</si>
  <si>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</si>
  <si>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</si>
  <si>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</si>
  <si>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</si>
  <si>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</si>
  <si>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</si>
  <si>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</si>
  <si>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</si>
  <si>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</si>
  <si>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</si>
  <si>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</si>
  <si>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</si>
  <si>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</si>
  <si>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</si>
  <si>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</si>
  <si>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</si>
  <si>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</si>
  <si>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</si>
  <si>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</si>
  <si>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100 Joy Circle</t>
  </si>
  <si>
    <t>The suspect abandoned the car he stole and fired a shot at officers. Officers returned fire, killing the suspect.</t>
  </si>
  <si>
    <t>http://www.chron.com/news/houston-texas/houston/article/Houston-police-kill-suspect-outside-home-near-5170340.php</t>
  </si>
  <si>
    <t>Harold Powers</t>
  </si>
  <si>
    <t>http://www.wlky.com/image/view/-/24085730/medRes/2/-/110x88uz/-/img-Police-believe-retaliation-led-to-deputy-involved-shooting.jpg</t>
  </si>
  <si>
    <t>1700 block Kentucky 2181</t>
  </si>
  <si>
    <t>Hawesville</t>
  </si>
  <si>
    <t>42348</t>
  </si>
  <si>
    <t>Powers attempted to kill off-duty deputy Eubanks. Eubanks fired his weapon in self-defense, killing Powers.</t>
  </si>
  <si>
    <t>http://www.tristatehomepage.com/story/man-dies-following-shootout-with-off-duty-hancock/d/story/3R_mG1yEmEilb0y8qvsfpA</t>
  </si>
  <si>
    <t>Eldrin Smart</t>
  </si>
  <si>
    <t>http://www.wdsu.com/image/view/-/24058474/medRes/1/-/maxh/358/maxw/538/-/7ja6sk/-/Kenner-shooting-crash1-JPG.jpg</t>
  </si>
  <si>
    <t>1000 Clay St</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</si>
  <si>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</si>
  <si>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</si>
  <si>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</si>
  <si>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</si>
  <si>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</si>
  <si>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</si>
  <si>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</si>
  <si>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</si>
  <si>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</si>
  <si>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</si>
  <si>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</si>
  <si>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</si>
  <si>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</si>
  <si>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</si>
  <si>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</si>
  <si>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</si>
  <si>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</si>
  <si>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</si>
  <si>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</si>
  <si>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Tom Smith, Jr.</t>
  </si>
  <si>
    <t>http://ww4.hdnux.com/photos/25/76/07/5759451/13/628x471.jpg</t>
  </si>
  <si>
    <t>6400 Dougherty Rd</t>
  </si>
  <si>
    <t>Bay Area Rapid Transit Police Department</t>
  </si>
  <si>
    <t>During a search of a robbery suspect's apartment, Smith was accidentally shot in the chest by an accompanying police officer. No criminal charges were toward by the firing office.</t>
  </si>
  <si>
    <t>http://www.mercurynews.com/breaking-news/ci_24960548/dublin-bart-police-officer-shot-during-warrant-service</t>
  </si>
  <si>
    <t>Earl Douglas Braddy</t>
  </si>
  <si>
    <t>County Road 49</t>
  </si>
  <si>
    <t>Loxley</t>
  </si>
  <si>
    <t>36551</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</si>
  <si>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</si>
  <si>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</si>
  <si>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</si>
  <si>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</si>
  <si>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</si>
  <si>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</si>
  <si>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</si>
  <si>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</si>
  <si>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</si>
  <si>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</si>
  <si>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</si>
  <si>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</si>
  <si>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</si>
  <si>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</si>
  <si>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</si>
  <si>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</si>
  <si>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</si>
  <si>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</si>
  <si>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</si>
  <si>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</si>
  <si>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</si>
  <si>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</si>
  <si>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</si>
  <si>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</si>
  <si>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</si>
  <si>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</si>
  <si>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</si>
  <si>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</si>
  <si>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</si>
  <si>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</si>
  <si>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</si>
  <si>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</si>
  <si>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Jordan Baker</t>
  </si>
  <si>
    <t>http://forwardtimesonline.com/2013/images/Jordan%20-%20LEAD%20-%20Copy.jpg</t>
  </si>
  <si>
    <t>9500 Hempstead Hwy</t>
  </si>
  <si>
    <t>77092</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</si>
  <si>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Jordan attacked the officer prompting him to discharge his weapon and kill the young man.</t>
  </si>
  <si>
    <t>http://forwardtimesonline.com/2013/index.php/state-local/item/1004-another-mother-left-to-mourn-unarmed-black-man-mistaken-for-criminal-shot</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</si>
  <si>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</si>
  <si>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</si>
  <si>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</si>
  <si>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</si>
  <si>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</si>
  <si>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</si>
  <si>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</si>
  <si>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</si>
  <si>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</si>
  <si>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</si>
  <si>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</si>
  <si>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</si>
  <si>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Haley Boren</t>
  </si>
  <si>
    <t>http://img.deseretnews.com/images/article/midres/1285227/1285227.jpg</t>
  </si>
  <si>
    <t>37 N 630 W</t>
  </si>
  <si>
    <t>84660</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</si>
  <si>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</si>
  <si>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</si>
  <si>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</si>
  <si>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</si>
  <si>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</si>
  <si>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</si>
  <si>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</si>
  <si>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</si>
  <si>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</si>
  <si>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</si>
  <si>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</si>
  <si>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</si>
  <si>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</si>
  <si>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</si>
  <si>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</si>
  <si>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</si>
  <si>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</si>
  <si>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</si>
  <si>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</si>
  <si>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</si>
  <si>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</si>
  <si>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</si>
  <si>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</si>
  <si>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</si>
  <si>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</si>
  <si>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</si>
  <si>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</si>
  <si>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</si>
  <si>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</si>
  <si>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</si>
  <si>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</si>
  <si>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</si>
  <si>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</si>
  <si>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</si>
  <si>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</si>
  <si>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</si>
  <si>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</si>
  <si>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</si>
  <si>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</si>
  <si>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</si>
  <si>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</si>
  <si>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</si>
  <si>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</si>
  <si>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</si>
  <si>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</si>
  <si>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</si>
  <si>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</si>
  <si>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</si>
  <si>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</si>
  <si>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</si>
  <si>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</si>
  <si>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</si>
  <si>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</si>
  <si>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</si>
  <si>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</si>
  <si>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</si>
  <si>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</si>
  <si>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</si>
  <si>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</si>
  <si>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</si>
  <si>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</si>
  <si>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</si>
  <si>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Enrique Carlos Rodarte</t>
  </si>
  <si>
    <t>16700 Lacy St</t>
  </si>
  <si>
    <t>92395</t>
  </si>
  <si>
    <t>San Bernardino County Sheriff’s Department</t>
  </si>
  <si>
    <t>After reports of a shooting, sheriff's deputies followed and engaged in a standoff with Rodarte for several hours. Rodarte was shot after he went to his front door and motioned as if he was pulling out a weapon.</t>
  </si>
  <si>
    <t>http://www.sbsun.com/general-news/20140112/deputies-fatally-shoot-man-in-victorville-after-four-hour-standoff</t>
  </si>
  <si>
    <t>Anthony Mascarino</t>
  </si>
  <si>
    <t>https://apps.azcorrections.gov/mugshots/122875.jpg</t>
  </si>
  <si>
    <t>8055 E. Thomas Rd.</t>
  </si>
  <si>
    <t>85251</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</si>
  <si>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</si>
  <si>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</si>
  <si>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</si>
  <si>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</si>
  <si>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</si>
  <si>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</si>
  <si>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</si>
  <si>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</si>
  <si>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</si>
  <si>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</si>
  <si>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</si>
  <si>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</si>
  <si>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</si>
  <si>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</si>
  <si>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</si>
  <si>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</si>
  <si>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</si>
  <si>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</si>
  <si>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</si>
  <si>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</si>
  <si>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</si>
  <si>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</si>
  <si>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</si>
  <si>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</si>
  <si>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</si>
  <si>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</si>
  <si>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</si>
  <si>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</si>
  <si>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</si>
  <si>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</si>
  <si>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Orleans Parish</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</si>
  <si>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</si>
  <si>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</si>
  <si>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Ernest Attebery</t>
  </si>
  <si>
    <t>http://www.kob.com/kobtvimages/repositoryThumbs/2014-01/ernest-attebery.jpg</t>
  </si>
  <si>
    <t>700 Lexco Road</t>
  </si>
  <si>
    <t>Moriarty</t>
  </si>
  <si>
    <t>87035</t>
  </si>
  <si>
    <t>Torrance</t>
  </si>
  <si>
    <t>Attebery may have fired his rifle at officers. SWAT responded and fired on Attebery, killing him.</t>
  </si>
  <si>
    <t>http://www.koat.com/news/new-mexico/nm-police-id-man-killed-after-barricade-situation/23864988</t>
  </si>
  <si>
    <t>Vernum Blunk</t>
  </si>
  <si>
    <t>2700 Laurel Holow Drive</t>
  </si>
  <si>
    <t>Leesburg</t>
  </si>
  <si>
    <t>34748</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</si>
  <si>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</si>
  <si>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</si>
  <si>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</si>
  <si>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McQueen Road and Galveston Street</t>
  </si>
  <si>
    <t>The driver of a stolen vehicle died in a shootout with Chandler police that began when he ambushed officers who were tailing him on Monday afternoon, authorities said.</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</si>
  <si>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</si>
  <si>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</si>
  <si>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</si>
  <si>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</si>
  <si>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</si>
  <si>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</si>
  <si>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</si>
  <si>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</si>
  <si>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</si>
  <si>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</si>
  <si>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</si>
  <si>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</si>
  <si>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</si>
  <si>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</si>
  <si>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</si>
  <si>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Keith Vidal was an 18-year-old schizophrenic whose parents called police because he was having a violent episode, as they had done on many previous occasions. Two officers arrived and attempted to calm Vidal, who was holding a small screw driver. A third officer, Detective Bryon Vassey arrived and allegedly ordered the officers to tase Vidal. Then Vassey shot Vidal in the chest. A Grand Jury indicted Vassey for involuntary manslaughter in February. As of September 2014, no trial date has been set.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</si>
  <si>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</si>
  <si>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</si>
  <si>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</si>
  <si>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</si>
  <si>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</si>
  <si>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</si>
  <si>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</si>
  <si>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Rocendo Arias</t>
  </si>
  <si>
    <t>http://i.imgur.com/1NuazfX.png</t>
  </si>
  <si>
    <t>907 E. Nob Hill Blvd.</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</si>
  <si>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</si>
  <si>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</si>
  <si>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</si>
  <si>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</si>
  <si>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</si>
  <si>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</si>
  <si>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</si>
  <si>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</si>
  <si>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</si>
  <si>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</si>
  <si>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</si>
  <si>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</si>
  <si>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</si>
  <si>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</si>
  <si>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</si>
  <si>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</si>
  <si>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</si>
  <si>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</si>
  <si>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</si>
  <si>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Michael Estrada</t>
  </si>
  <si>
    <t>http://www.svherald.com/sites/default/files/imagecache/Really_Big/6725-2378_177.jpg</t>
  </si>
  <si>
    <t>1251 Paseo San Luis Blvd.</t>
  </si>
  <si>
    <t>85635</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</si>
  <si>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</si>
  <si>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</si>
  <si>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</si>
  <si>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</si>
  <si>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</si>
  <si>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</si>
  <si>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</si>
  <si>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</si>
  <si>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</si>
  <si>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</si>
  <si>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</si>
  <si>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</si>
  <si>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</si>
  <si>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</si>
  <si>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</si>
  <si>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</si>
  <si>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</si>
  <si>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</si>
  <si>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</si>
  <si>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</si>
  <si>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</si>
  <si>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</si>
  <si>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</si>
  <si>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</si>
  <si>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</si>
  <si>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</si>
  <si>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</si>
  <si>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</si>
  <si>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</si>
  <si>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</si>
  <si>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</si>
  <si>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</si>
  <si>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</si>
  <si>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</si>
  <si>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</si>
  <si>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</si>
  <si>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</si>
  <si>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</si>
  <si>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</si>
  <si>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</si>
  <si>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</si>
  <si>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</si>
  <si>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</si>
  <si>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</si>
  <si>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</si>
  <si>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</si>
  <si>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</si>
  <si>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</si>
  <si>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</si>
  <si>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</si>
  <si>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</si>
  <si>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</si>
  <si>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</si>
  <si>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</si>
  <si>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</si>
  <si>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</si>
  <si>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</si>
  <si>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</si>
  <si>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</si>
  <si>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</si>
  <si>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</si>
  <si>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</si>
  <si>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</si>
  <si>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</si>
  <si>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</si>
  <si>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</si>
  <si>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</si>
  <si>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</si>
  <si>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</si>
  <si>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</si>
  <si>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</si>
  <si>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</si>
  <si>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</si>
  <si>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</si>
  <si>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</si>
  <si>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</si>
  <si>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</si>
  <si>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</si>
  <si>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</si>
  <si>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</si>
  <si>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Shane Bridges</t>
  </si>
  <si>
    <t>13650 South 4250 Road</t>
  </si>
  <si>
    <t>74016</t>
  </si>
  <si>
    <t>Mayes</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</si>
  <si>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</si>
  <si>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</si>
  <si>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Ricky Junior Toney</t>
  </si>
  <si>
    <t>http://www.wilsontimes.com/assets/10326011/28048230_dioStoryImage.jpg</t>
  </si>
  <si>
    <t>Cheeks Quarter Road and Smith Road</t>
  </si>
  <si>
    <t>27537</t>
  </si>
  <si>
    <t>Authorities shot and killed Toney accused of gunning down his estranged wife and her daughter at their rural Franklin County home.</t>
  </si>
  <si>
    <t>Dontae Daveon Lewis Hayes</t>
  </si>
  <si>
    <t>3860 Van Buren Boulevard</t>
  </si>
  <si>
    <t>92503</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</si>
  <si>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</si>
  <si>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</si>
  <si>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</si>
  <si>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</si>
  <si>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</si>
  <si>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</si>
  <si>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</si>
  <si>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</si>
  <si>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</si>
  <si>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Jaspal Singh</t>
  </si>
  <si>
    <t>5200 block San Mateo Drive</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</si>
  <si>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</si>
  <si>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</si>
  <si>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William Jackson</t>
  </si>
  <si>
    <t>http://whtm.images.worldnow.com/images/24327660_BG2.jpg</t>
  </si>
  <si>
    <t>Brensinger Alley and Schuylkill Street</t>
  </si>
  <si>
    <t>Harrisburg</t>
  </si>
  <si>
    <t>17110</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</si>
  <si>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</si>
  <si>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</si>
  <si>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</si>
  <si>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Kendall Alexander</t>
  </si>
  <si>
    <t>http://www.pellerinfuneralhome.com/sitemaker/memsol_data/1825/1205136/1205136_profile_pic.jpg</t>
  </si>
  <si>
    <t>450 East Mills Avenue</t>
  </si>
  <si>
    <t>Breaux Bridge</t>
  </si>
  <si>
    <t>70517</t>
  </si>
  <si>
    <t>St. Martin</t>
  </si>
  <si>
    <t>St. Martin Parish Sheriff's Office</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</si>
  <si>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</si>
  <si>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</si>
  <si>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</si>
  <si>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</si>
  <si>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</si>
  <si>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</si>
  <si>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</si>
  <si>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</si>
  <si>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</si>
  <si>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45373</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</si>
  <si>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</si>
  <si>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</si>
  <si>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</si>
  <si>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</si>
  <si>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</si>
  <si>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</si>
  <si>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</si>
  <si>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</si>
  <si>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</si>
  <si>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</si>
  <si>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</si>
  <si>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</si>
  <si>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</si>
  <si>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</si>
  <si>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</si>
  <si>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</si>
  <si>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</si>
  <si>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</si>
  <si>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Bethany Lytle</t>
  </si>
  <si>
    <t>800 block Fillmore Street</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</si>
  <si>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</si>
  <si>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</si>
  <si>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</si>
  <si>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</si>
  <si>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</si>
  <si>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</si>
  <si>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</si>
  <si>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</si>
  <si>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</si>
  <si>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</si>
  <si>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Dante Chavful</t>
  </si>
  <si>
    <t>Antoine and Veteran’s Memorial</t>
  </si>
  <si>
    <t>Prairie View Police Department</t>
  </si>
  <si>
    <t>http://www.chron.com/news/houston-texas/houston/article/Authorities-Off-duty-officer-kills-man-who-5099348.php?cmpid=hpbn</t>
  </si>
  <si>
    <t>Mario Edward Garnett</t>
  </si>
  <si>
    <t>25-30</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</si>
  <si>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</si>
  <si>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</si>
  <si>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</si>
  <si>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Darrell King</t>
  </si>
  <si>
    <t>http://cdn2.newsok.biz/cache/w300-3a744757c017c66f9ce1508ecc40cf03.jpg</t>
  </si>
  <si>
    <t>200 block NE 2nd street</t>
  </si>
  <si>
    <t>An off-duty Oklahoma Highway Patrol trooper fatally shot a suspected intruder in an apartment in Deep Deuce.</t>
  </si>
  <si>
    <t>Anthony Darnell King</t>
  </si>
  <si>
    <t>200 NE 2nd Street</t>
  </si>
  <si>
    <t>http://www.okcfox.com/story/24316925/police-off-duty-ohp-officer-shoots-intruder</t>
  </si>
  <si>
    <t>John A. Massey</t>
  </si>
  <si>
    <t>2200 block Powers Ferry Road</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</si>
  <si>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</si>
  <si>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</si>
  <si>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</si>
  <si>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John Lincoln</t>
  </si>
  <si>
    <t>http://kdfw.images.worldnow.com/images/24314137_SA.jpg</t>
  </si>
  <si>
    <t>4100 block Lexington Pkwy</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</si>
  <si>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</si>
  <si>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</si>
  <si>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</si>
  <si>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</si>
  <si>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</si>
  <si>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</si>
  <si>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</si>
  <si>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</si>
  <si>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</si>
  <si>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</si>
  <si>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</si>
  <si>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</si>
  <si>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</si>
  <si>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</si>
  <si>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</si>
  <si>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</si>
  <si>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</si>
  <si>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</si>
  <si>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Steven Keith</t>
  </si>
  <si>
    <t>32355 Old Highway 80</t>
  </si>
  <si>
    <t>Pine Valley</t>
  </si>
  <si>
    <t>91962</t>
  </si>
  <si>
    <t>unknown medical issues</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</si>
  <si>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</si>
  <si>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</si>
  <si>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Peyton Cole Barbour</t>
  </si>
  <si>
    <t>http://www.dallasnews.com/incoming/20131226-1487353_3796438445982_1017569710_n.jpg.ece/ALTERNATES/w130h200/1487353_3796438445982_1017569710_n.jpg</t>
  </si>
  <si>
    <t>600 E Seeton Road</t>
  </si>
  <si>
    <t>Grand Prairie</t>
  </si>
  <si>
    <t>75054</t>
  </si>
  <si>
    <t>Grand Prairie Police Department</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</si>
  <si>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</si>
  <si>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</si>
  <si>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Michael Rosales</t>
  </si>
  <si>
    <t>http://kiii.images.worldnow.com/images/24310334_BG2.jpg</t>
  </si>
  <si>
    <t>4100 Herndon Street</t>
  </si>
  <si>
    <t>Corpus Christi</t>
  </si>
  <si>
    <t>78411</t>
  </si>
  <si>
    <t>Nueces</t>
  </si>
  <si>
    <t>Corpus Christi Police Department</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</si>
  <si>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</si>
  <si>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</si>
  <si>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Lucinda Randolph</t>
  </si>
  <si>
    <t>East Pine Log Road and Collier Street</t>
  </si>
  <si>
    <t>Aiken De­partment of Public Safety</t>
  </si>
  <si>
    <t>Christmas Eve Walmart shoplifting suspect Randolph fled from police and store security in her vehicle. Her erratic driving, with officers in pursuit, caused a four-car accident in which she died and three others were injured.</t>
  </si>
  <si>
    <t>http://chronicle.augusta.com/news/crime-courts/2013-12-24/aiken-woman-killed-crash-while-fleeing-authorities</t>
  </si>
  <si>
    <t>William Goodman</t>
  </si>
  <si>
    <t>Bayfront Pkwy and N 17th Ave</t>
  </si>
  <si>
    <t>32502</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</si>
  <si>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</si>
  <si>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</si>
  <si>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</si>
  <si>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</si>
  <si>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</si>
  <si>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</si>
  <si>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</si>
  <si>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</si>
  <si>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</si>
  <si>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</si>
  <si>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</si>
  <si>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</si>
  <si>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</si>
  <si>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</si>
  <si>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</si>
  <si>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Mah-hi-vist Goodblanket</t>
  </si>
  <si>
    <t>http://cdn2.newsok.biz/cache/w300-c_d54215b1cfc3c9f8161866d9138fcd51.jpg</t>
  </si>
  <si>
    <t>10354 North 2200 Road</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</si>
  <si>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</si>
  <si>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</si>
  <si>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</si>
  <si>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</si>
  <si>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</si>
  <si>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</si>
  <si>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</si>
  <si>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</si>
  <si>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</si>
  <si>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</si>
  <si>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</si>
  <si>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</si>
  <si>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Sharon Rebecca McDowell</t>
  </si>
  <si>
    <t>http://mediaassets.independentmail.com/photo/2014/03/11/414255_3364055_ver1.0_640_480.JPG</t>
  </si>
  <si>
    <t>West Whitner Street and Appleton Street</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</si>
  <si>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</si>
  <si>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</si>
  <si>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</si>
  <si>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Andrew Beard</t>
  </si>
  <si>
    <t>9400 block Rue De Bois</t>
  </si>
  <si>
    <t>78254</t>
  </si>
  <si>
    <t>Beard was standing in his mother's backyard and told officers he wanted to be shot by police. During the negotiation with investigators, two SAPD officers shot Beard. Paramedics were called, but Beard died at the scene.</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</si>
  <si>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</si>
  <si>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</si>
  <si>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</si>
  <si>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</si>
  <si>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</si>
  <si>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</si>
  <si>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</si>
  <si>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</si>
  <si>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</si>
  <si>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</si>
  <si>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</si>
  <si>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</si>
  <si>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</si>
  <si>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</si>
  <si>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</si>
  <si>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</si>
  <si>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</si>
  <si>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</si>
  <si>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</si>
  <si>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</si>
  <si>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</si>
  <si>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</si>
  <si>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</si>
  <si>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</si>
  <si>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</si>
  <si>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</si>
  <si>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</si>
  <si>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</si>
  <si>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</si>
  <si>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</si>
  <si>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</si>
  <si>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</si>
  <si>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</si>
  <si>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</si>
  <si>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</si>
  <si>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</si>
  <si>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Shawnice Osborne</t>
  </si>
  <si>
    <t>https://tribktla.files.wordpress.com/2013/12/compton-victim.jpg</t>
  </si>
  <si>
    <t>South Wilmington Avenue and West Greenleaf Boulevard</t>
  </si>
  <si>
    <t>90220</t>
  </si>
  <si>
    <t>Four people in two vehicles died in the collision of a grey Chevrolet Monte Carlo, driven by Stacy Garcia Gray, and a red sedan being chased by police, containing Shawnice Osborne, Larry Gilmore, and an unidentified third person. For two miles the sedan had fled officers after a shots-fired call and an attempted traffic stop. The crash and resulting fire was so intense that the make and model of the sedan was unclear.</t>
  </si>
  <si>
    <t>http://articles.latimes.com/2013/dec/16/local/la-me-ln-sheriffs-crash-compton-20131216</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</si>
  <si>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</si>
  <si>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</si>
  <si>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</si>
  <si>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</si>
  <si>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</si>
  <si>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</si>
  <si>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Sarah Paynter</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</si>
  <si>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</si>
  <si>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</si>
  <si>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</si>
  <si>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</si>
  <si>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</si>
  <si>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Robert Delgadillo</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</si>
  <si>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</si>
  <si>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</si>
  <si>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</si>
  <si>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</si>
  <si>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</si>
  <si>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</si>
  <si>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</si>
  <si>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Stacy Garcia Gray</t>
  </si>
  <si>
    <t>Larry Gilmore</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</si>
  <si>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</si>
  <si>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</si>
  <si>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</si>
  <si>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</si>
  <si>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</si>
  <si>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</si>
  <si>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</si>
  <si>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Eric M. Anderson</t>
  </si>
  <si>
    <t>http://www.trbimg.com/img-5335c6c8/turbine/chi-131213-gunman-eric-anderson-arlington-heights-photo/600/600x338</t>
  </si>
  <si>
    <t>1900 block N Windham Ct</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</si>
  <si>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</si>
  <si>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</si>
  <si>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</si>
  <si>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</si>
  <si>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</si>
  <si>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</si>
  <si>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</si>
  <si>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</si>
  <si>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</si>
  <si>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</si>
  <si>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</si>
  <si>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</si>
  <si>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</si>
  <si>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Gregory Bendas</t>
  </si>
  <si>
    <t>https://fbcdn-sphotos-c-a.akamaihd.net/hphotos-ak-xaf1/v/t1.0-9/302513_102223163220384_1460178054_n.jpg?oh=10f37a4277c1f8813c47d603b64ea80b&amp;oe=5584C685&amp;__gda__=1434502228_cf899423ad0a11a9ff70a3fe342ac3b2</t>
  </si>
  <si>
    <t>3 Butternut Dr.</t>
  </si>
  <si>
    <t>Farmington</t>
  </si>
  <si>
    <t>06085</t>
  </si>
  <si>
    <t>Farmington Police Department</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</si>
  <si>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</si>
  <si>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</si>
  <si>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</si>
  <si>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</si>
  <si>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</si>
  <si>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</si>
  <si>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</si>
  <si>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</si>
  <si>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</si>
  <si>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Kenneth R. Herring</t>
  </si>
  <si>
    <t>http://wcmh.images.worldnow.com/images/24199897_BG2.jpg</t>
  </si>
  <si>
    <t>700 block S 17th St</t>
  </si>
  <si>
    <t>43206</t>
  </si>
  <si>
    <t>Columbus Division of Police</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</si>
  <si>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</si>
  <si>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</si>
  <si>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</si>
  <si>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</si>
  <si>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</si>
  <si>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</si>
  <si>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</si>
  <si>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</si>
  <si>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</si>
  <si>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</si>
  <si>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</si>
  <si>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Wenatchee</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</si>
  <si>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</si>
  <si>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</si>
  <si>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</si>
  <si>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</si>
  <si>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Bill Livezey</t>
  </si>
  <si>
    <t>http://cbsdallas.files.wordpress.com/2013/12/bill-livezey.jpg?w=620&amp;h=349&amp;crop=1</t>
  </si>
  <si>
    <t>198 State Highway 31 W</t>
  </si>
  <si>
    <t>Kerens</t>
  </si>
  <si>
    <t>75144</t>
  </si>
  <si>
    <t>Navarro</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</si>
  <si>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</si>
  <si>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</si>
  <si>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</si>
  <si>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</si>
  <si>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</si>
  <si>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</si>
  <si>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</si>
  <si>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</si>
  <si>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</si>
  <si>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</si>
  <si>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</si>
  <si>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</si>
  <si>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</si>
  <si>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</si>
  <si>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</si>
  <si>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</si>
  <si>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</si>
  <si>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</si>
  <si>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</si>
  <si>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</si>
  <si>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</si>
  <si>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</si>
  <si>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</si>
  <si>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</si>
  <si>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</si>
  <si>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</si>
  <si>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</si>
  <si>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</si>
  <si>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</si>
  <si>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</si>
  <si>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</si>
  <si>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</si>
  <si>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</si>
  <si>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</si>
  <si>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</si>
  <si>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</si>
  <si>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Santa Clara County Sheriff's Department</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</si>
  <si>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</si>
  <si>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</si>
  <si>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</si>
  <si>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</si>
  <si>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200 block E Patty Ln</t>
  </si>
  <si>
    <t>Monroeville</t>
  </si>
  <si>
    <t>15146</t>
  </si>
  <si>
    <t>Monroeville Police Department</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</si>
  <si>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</si>
  <si>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</si>
  <si>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Jared Brown-Garnham</t>
  </si>
  <si>
    <t>http://media.masslive.com/breakingnews/photo/2013/12/13918428-small.jpg</t>
  </si>
  <si>
    <t>Lindbergh Drive</t>
  </si>
  <si>
    <t>Moon</t>
  </si>
  <si>
    <t>15108</t>
  </si>
  <si>
    <t>Garnham kidnapped his baby. He plowed his car through a police barricade. He threatened himself and his baby with a knife; an officer fired at him and he died.</t>
  </si>
  <si>
    <t>http://www.post-gazette.com/breaking/2013/12/08/Suspect-in-child-abduction-shot-by-police/stories/201312080193</t>
  </si>
  <si>
    <t>Jesus Valdes</t>
  </si>
  <si>
    <t>11755 S.W. 18th Street</t>
  </si>
  <si>
    <t>33175</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</si>
  <si>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</si>
  <si>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</si>
  <si>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</si>
  <si>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</si>
  <si>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</si>
  <si>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</si>
  <si>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</si>
  <si>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</si>
  <si>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</si>
  <si>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</si>
  <si>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</si>
  <si>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</si>
  <si>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</si>
  <si>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</si>
  <si>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</si>
  <si>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</si>
  <si>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</si>
  <si>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</si>
  <si>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</si>
  <si>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</si>
  <si>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</si>
  <si>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</si>
  <si>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</si>
  <si>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</si>
  <si>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</si>
  <si>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</si>
  <si>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</si>
  <si>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</si>
  <si>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</si>
  <si>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</si>
  <si>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</si>
  <si>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</si>
  <si>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Patrick Unger</t>
  </si>
  <si>
    <t>Flamingo Road and Boulder Highway</t>
  </si>
  <si>
    <t>http://www.8newsnow.com/story/24162836/father-of-police-shooting-victims-speaks-out</t>
  </si>
  <si>
    <t>Patrick Heki</t>
  </si>
  <si>
    <t>http://klas.images.worldnow.com/images/24162836_BG1.jpg</t>
  </si>
  <si>
    <t>3950 Mountain Vista St</t>
  </si>
  <si>
    <t>89121</t>
  </si>
  <si>
    <t>Metro Police Department</t>
  </si>
  <si>
    <t>Heki was firing a shotgun and police officers fired many rounds killing Heki.</t>
  </si>
  <si>
    <t>Isaac Lankisch</t>
  </si>
  <si>
    <t>http://media.azfamily.com/images/12-7-13-ISAAC-LANKISCH-AZ-DOC.JPG.JPG</t>
  </si>
  <si>
    <t>2500 S 27th Ave</t>
  </si>
  <si>
    <t>85009</t>
  </si>
  <si>
    <t>Lankisch approached officers with an axe in an aggressive manner - he was subsequently shot and died.</t>
  </si>
  <si>
    <t>http://www.azcentral.com/community/phoenix/articles/20131207phoenix-police-shoot-man-throws-ax-dies-officers-arizona-brk.html</t>
  </si>
  <si>
    <t>Robert Cameron Redus</t>
  </si>
  <si>
    <t>101 Arcadia Place</t>
  </si>
  <si>
    <t>78209</t>
  </si>
  <si>
    <t>UIW Campus Police Department</t>
  </si>
  <si>
    <t>Victim was stopped in parking lot of his apartment for suspected DUI. Witness accounts vary, but after taunting the officer and a brief struggle the victim was first shot in the back and then shot 4-5 more times. Officer's dash cam was not working at time of death and audio has not been released to public.</t>
  </si>
  <si>
    <t>http://www.kens5.com/story/news/local/2014/03/20/exclusive-autopsy-of-slain-uiw-student-redus-reveals-new-details/10672678/</t>
  </si>
  <si>
    <t>http://media2.s-nbcnews.com/j/streams/2013/December/131211/2D9900349-today-redus-131211-04.blocks_desktop_small.jpg</t>
  </si>
  <si>
    <t>Alamo Heights</t>
  </si>
  <si>
    <t>University of the Incarnate Word Campus Police Department</t>
  </si>
  <si>
    <t>Shot by campus police after refusing to put his hands behind his back.</t>
  </si>
  <si>
    <t>George D. Reynolds</t>
  </si>
  <si>
    <t>1600 block S Swope Dr</t>
  </si>
  <si>
    <t>64057</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</si>
  <si>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</si>
  <si>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</si>
  <si>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</si>
  <si>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</si>
  <si>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</si>
  <si>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</si>
  <si>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</si>
  <si>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</si>
  <si>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</si>
  <si>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</si>
  <si>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</si>
  <si>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</si>
  <si>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</si>
  <si>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</si>
  <si>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</si>
  <si>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</si>
  <si>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</si>
  <si>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</si>
  <si>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</si>
  <si>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</si>
  <si>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</si>
  <si>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Darius Jamal Murphy</t>
  </si>
  <si>
    <t>1300 block Queen St NE</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</si>
  <si>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</si>
  <si>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</si>
  <si>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</si>
  <si>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Steven Jon Vogel</t>
  </si>
  <si>
    <t>http://blogs.desmoinesregister.com/dmr/wp-content/uploads/2013/12/steven-vogel.jpg</t>
  </si>
  <si>
    <t>1000 block Creston Avenue</t>
  </si>
  <si>
    <t>Vogel was firing rounds off at cars and houses. Officers ultimately shot and killed him.</t>
  </si>
  <si>
    <t>http://www.kcci.com/news/central-iowa/witnesses-describe-shooting-on-creston-avenue/23298402</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</si>
  <si>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</si>
  <si>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</si>
  <si>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</si>
  <si>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</si>
  <si>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</si>
  <si>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</si>
  <si>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Jonathan D. Rodgers</t>
  </si>
  <si>
    <t>http://www.dispatch.com/content/graphics/2013/12/03/charlie-bear-art-gj1ptlqi-1charlie-bear-jpg.jpg?__scale=w:200,h:248,t:1</t>
  </si>
  <si>
    <t>2885 Olentangy River Road</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</si>
  <si>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</si>
  <si>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</si>
  <si>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Scott Mitchell</t>
  </si>
  <si>
    <t>5200 block N. Crowley Lane</t>
  </si>
  <si>
    <t>Pima County Sheriff's Department</t>
  </si>
  <si>
    <t>Mitchell barricaded himself in his home. He was firing his gun towards SWAT. SGT. Derek Tyra fired back, killing Mitchell.</t>
  </si>
  <si>
    <t>http://www.kvoa.com/news/pcsd-investigating-deadly-officer-involved-shooting/</t>
  </si>
  <si>
    <t>David Greenwood</t>
  </si>
  <si>
    <t>http://www.gannett-cdn.com/-mm-/420876448aa6b13f7ad08e439c0c510aac339f32/c=0-100-300-326&amp;r=x404&amp;c=534x401/local/-/media/WBIR/WBIR/2013/12/03//1386086168000-david-greenwood.jpg</t>
  </si>
  <si>
    <t>800 block Highway 411</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</si>
  <si>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</si>
  <si>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</si>
  <si>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</si>
  <si>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</si>
  <si>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</si>
  <si>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</si>
  <si>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</si>
  <si>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</si>
  <si>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</si>
  <si>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</si>
  <si>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</si>
  <si>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</si>
  <si>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</si>
  <si>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</si>
  <si>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</si>
  <si>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</si>
  <si>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Joshua D. Ford</t>
  </si>
  <si>
    <t>http://cmsimg.news-leader.com/apps/pbcsi.dll/bilde?Site=DO&amp;Date=20131202&amp;Category=NEWS01&amp;ArtNo=312020056&amp;Ref=AR&amp;MaxW=640&amp;Border=0&amp;Man-shot-killed-by-Greene-County-deputies-identified</t>
  </si>
  <si>
    <t>1700 block Farm Road 45</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</si>
  <si>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</si>
  <si>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</si>
  <si>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</si>
  <si>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</si>
  <si>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</si>
  <si>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</si>
  <si>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</si>
  <si>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</si>
  <si>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</si>
  <si>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Off duty officer who was running security at a downtown hotel, chased down off duty fireman who was accused of an battery. Officer didn't call for back up and escalated the situation. The victim fought the officer, and was punching him, the officer who wasn't carrying mace, or a taser shot him twice in the chest.</t>
  </si>
  <si>
    <t>http://www.kansascity.com/news/local/article340116/Case-file-describes-the-moments-before-police-officer-fatally-shot-newlywed-firefighter-in-downtown-KC.html</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</si>
  <si>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</si>
  <si>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</si>
  <si>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</si>
  <si>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</si>
  <si>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</si>
  <si>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</si>
  <si>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</si>
  <si>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</si>
  <si>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</si>
  <si>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</si>
  <si>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</si>
  <si>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</si>
  <si>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</si>
  <si>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</si>
  <si>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</si>
  <si>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</si>
  <si>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</si>
  <si>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</si>
  <si>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Shiateria Wimbash</t>
  </si>
  <si>
    <t>N. Ohio Avenue and Spruce Street</t>
  </si>
  <si>
    <t>Suwannee</t>
  </si>
  <si>
    <t>Suwannee County Sheriff's Office</t>
  </si>
  <si>
    <t>http://jacksonville.com/breaking-news/2013-11-29/story/three-die-live-oak-accident-while-fleeing-deputies</t>
  </si>
  <si>
    <t>Patrelle J. Stokes</t>
  </si>
  <si>
    <t>816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</si>
  <si>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</si>
  <si>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</si>
  <si>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Lonnie Lavern Freeman</t>
  </si>
  <si>
    <t>http://www.suwanneesheriff.com/Images/Jail/130000291.jpg</t>
  </si>
  <si>
    <t>815 Ohio Ave. N</t>
  </si>
  <si>
    <t>Albert Manuel Vasquez</t>
  </si>
  <si>
    <t>http://extras.mnginteractive.com/live/media/site568/2013/1203/20131203__1204oisfolo~1.JPG</t>
  </si>
  <si>
    <t>700 block Kirk Glen Dr</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</si>
  <si>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</si>
  <si>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</si>
  <si>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</si>
  <si>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</si>
  <si>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</si>
  <si>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</si>
  <si>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</si>
  <si>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</si>
  <si>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</si>
  <si>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</si>
  <si>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</si>
  <si>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</si>
  <si>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</si>
  <si>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</si>
  <si>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</si>
  <si>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Charles Eimers</t>
  </si>
  <si>
    <t>http://thebluepaper.com/-/wp-content/uploads/2014/04/Charles-Eimers-photo-1-cropped.jpg</t>
  </si>
  <si>
    <t>1405 Duval Street</t>
  </si>
  <si>
    <t>Key West</t>
  </si>
  <si>
    <t>33040</t>
  </si>
  <si>
    <t>Key West Police Department</t>
  </si>
  <si>
    <t>Asphyxiated</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</si>
  <si>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</si>
  <si>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</si>
  <si>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</si>
  <si>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</si>
  <si>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</si>
  <si>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</si>
  <si>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</si>
  <si>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</si>
  <si>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</si>
  <si>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</si>
  <si>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</si>
  <si>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</si>
  <si>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</si>
  <si>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</si>
  <si>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Ervin Edwards</t>
  </si>
  <si>
    <t>850 8th Street</t>
  </si>
  <si>
    <t>Port Allen</t>
  </si>
  <si>
    <t>West Baton Rouge Parish</t>
  </si>
  <si>
    <t>West Baton Rouge Parish Sheriff's Office</t>
  </si>
  <si>
    <t>http://www.wafb.com/story/27810613/9news-investigators-video-of-final-moments-of-inmates-life-prompts-questions-from-victims-family</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</si>
  <si>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</si>
  <si>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</si>
  <si>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</si>
  <si>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</si>
  <si>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</si>
  <si>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</si>
  <si>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</si>
  <si>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</si>
  <si>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</si>
  <si>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</si>
  <si>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</si>
  <si>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</si>
  <si>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</si>
  <si>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</si>
  <si>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</si>
  <si>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</si>
  <si>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</si>
  <si>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</si>
  <si>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</si>
  <si>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</si>
  <si>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</si>
  <si>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</si>
  <si>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</si>
  <si>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</si>
  <si>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</si>
  <si>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</si>
  <si>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Robert Brown</t>
  </si>
  <si>
    <t>4900 block G Street SE</t>
  </si>
  <si>
    <t>Officers investigating a previous homicide encountered Brown with a handgun. Commanded to drop his weapon, Brown did not, and was fatally shot.</t>
  </si>
  <si>
    <t>http://homicidewatch.org/2013/11/26/man-shot-by-police-in-se-dc-dies-of-injuries/</t>
  </si>
  <si>
    <t>Otavis Hall</t>
  </si>
  <si>
    <t>3200 Westport Way</t>
  </si>
  <si>
    <t>French Valley</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</si>
  <si>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</si>
  <si>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</si>
  <si>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</si>
  <si>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</si>
  <si>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</si>
  <si>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Jimmy Cruz</t>
  </si>
  <si>
    <t>9200 block San Luis Ave</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</si>
  <si>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</si>
  <si>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</si>
  <si>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Jeremy McGee</t>
  </si>
  <si>
    <t>http://ak-cache.legacy.net/legacy/images/cobrands/dfw/photos/photo_164220_86870_0_1385493736jeremymcgee_20131128.jpgx?w=130&amp;h=180&amp;option=1&amp;v=0x000000002cef17ab</t>
  </si>
  <si>
    <t>8841 Avril Court North</t>
  </si>
  <si>
    <t>76116</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</si>
  <si>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</si>
  <si>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</si>
  <si>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</si>
  <si>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</si>
  <si>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</si>
  <si>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</si>
  <si>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</si>
  <si>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</si>
  <si>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</si>
  <si>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</si>
  <si>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</si>
  <si>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</si>
  <si>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</si>
  <si>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</si>
  <si>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</si>
  <si>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</si>
  <si>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</si>
  <si>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Tyler Keinonen</t>
  </si>
  <si>
    <t>http://oregon.arrests.org/mugs/Deschutes/130158.jpg</t>
  </si>
  <si>
    <t>2878 NE Jackdaw Drive</t>
  </si>
  <si>
    <t>Bend</t>
  </si>
  <si>
    <t>97701</t>
  </si>
  <si>
    <t>Deschutes</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</si>
  <si>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</si>
  <si>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</si>
  <si>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http://www.ktvz.com/news/officer-shoots-kills-man-at-ne-bend-home/23125518</t>
  </si>
  <si>
    <t>Thomas Bradley Garza</t>
  </si>
  <si>
    <t>http://d1t3gia0in9tdj.cloudfront.net/photo/tributes/t/8/r/207x207/1706493/cdd68fdf-597a-404e-b139-0ad12f095e5d.jpg</t>
  </si>
  <si>
    <t>4000 block Tulip Tree Drive</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</si>
  <si>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</si>
  <si>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</si>
  <si>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</si>
  <si>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</si>
  <si>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</si>
  <si>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</si>
  <si>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</si>
  <si>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</si>
  <si>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</si>
  <si>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</si>
  <si>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</si>
  <si>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</si>
  <si>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</si>
  <si>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</si>
  <si>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</si>
  <si>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</si>
  <si>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</si>
  <si>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</si>
  <si>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</si>
  <si>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</si>
  <si>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Timothy Mahoney</t>
  </si>
  <si>
    <t>http://archive.firstcoastnews.com/images/300/169/2/assetpool/images/131121041916_MAHONEY%2c%20TIMOTHY%20%20%20.jpg</t>
  </si>
  <si>
    <t>700 block Old San Mateo Road</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</si>
  <si>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</si>
  <si>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</si>
  <si>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</si>
  <si>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Marty Maiden II</t>
  </si>
  <si>
    <t>http://d1t3gia0in9tdj.cloudfront.net/photo/tributes/t/8/r/207x207/1700380/3dd496c1-3c17-4777-920b-6904eba8e01b.jpg</t>
  </si>
  <si>
    <t>7500 block South Woodbury Grove Dr</t>
  </si>
  <si>
    <t>Tuscon</t>
  </si>
  <si>
    <t>85757</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</si>
  <si>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</si>
  <si>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</si>
  <si>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Lennard Whittle</t>
  </si>
  <si>
    <t>http://www.recordonline.com/apps/pbcsi.dll/bilde?Site=TH&amp;Date=20131120&amp;Category=NEWS&amp;ArtNo=131129986&amp;Ref=AR&amp;maxH=230&amp;maxW=370&amp;border=0&amp;Q=80</t>
  </si>
  <si>
    <t>90 Academy Avenue</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</si>
  <si>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</si>
  <si>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</si>
  <si>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</si>
  <si>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</si>
  <si>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</si>
  <si>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</si>
  <si>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</si>
  <si>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</si>
  <si>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</si>
  <si>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Tyler Damon Woods</t>
  </si>
  <si>
    <t>http://cdn.abclocal.go.com/images/kabc/cms_exf_2007/news/local/los_angeles/9337816_600x338.jpg</t>
  </si>
  <si>
    <t>1506 E 5th Street</t>
  </si>
  <si>
    <t>Woods stopped in a traffic stop and fled on foot. He ran to a rooftop, where police confronted him and shot him to death</t>
  </si>
  <si>
    <t>Jesus Huerta</t>
  </si>
  <si>
    <t>http://wwwcache.wral.com/asset/news/local/2013/11/19/13130433/13130433-1384884950-300x225.jpg</t>
  </si>
  <si>
    <t>505 W Chapel Hill St.</t>
  </si>
  <si>
    <t>27701</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</si>
  <si>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Based on the preliminary investigation, it does not appear that any Durham police officer fired a weapon during this incident. Police say shot himself in the head while he was handcuffed in the back of a patrol car.</t>
  </si>
  <si>
    <t>http://www.wral.com/17-year-old-dies-in-durham-police-custody/13128723/</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</si>
  <si>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</si>
  <si>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</si>
  <si>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</si>
  <si>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</si>
  <si>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</si>
  <si>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</si>
  <si>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</si>
  <si>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</si>
  <si>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</si>
  <si>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</si>
  <si>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</si>
  <si>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</si>
  <si>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</si>
  <si>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</si>
  <si>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</si>
  <si>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</si>
  <si>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</si>
  <si>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4800 block Yavapai Hills</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</si>
  <si>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</si>
  <si>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</si>
  <si>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</si>
  <si>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</si>
  <si>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</si>
  <si>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</si>
  <si>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</si>
  <si>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</si>
  <si>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</si>
  <si>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Antoine Duane Goodrum</t>
  </si>
  <si>
    <t>19001 Grotto Ln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</si>
  <si>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</si>
  <si>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</si>
  <si>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</si>
  <si>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</si>
  <si>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</si>
  <si>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900 block Hart St.</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</si>
  <si>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</si>
  <si>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</si>
  <si>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</si>
  <si>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Cruz Marcelino Velazquez</t>
  </si>
  <si>
    <t>https://encrypted-tbn3.gstatic.com/images?q=tbn:ANd9GcTUUQWjDu7cmoNt08r-O0N7IdA7o44JkzlF6mWJ-0xoQ7xfQPaRWT5Fdro</t>
  </si>
  <si>
    <t>720 East San Ysidro Blvd</t>
  </si>
  <si>
    <t>92173</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</si>
  <si>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</si>
  <si>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</si>
  <si>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</si>
  <si>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</si>
  <si>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</si>
  <si>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</si>
  <si>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</si>
  <si>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</si>
  <si>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</si>
  <si>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</si>
  <si>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</si>
  <si>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</si>
  <si>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</si>
  <si>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</si>
  <si>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</si>
  <si>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</si>
  <si>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</si>
  <si>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</si>
  <si>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</si>
  <si>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</si>
  <si>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</si>
  <si>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</si>
  <si>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</si>
  <si>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</si>
  <si>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</si>
  <si>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</si>
  <si>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</si>
  <si>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</si>
  <si>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</si>
  <si>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</si>
  <si>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</si>
  <si>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</si>
  <si>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</si>
  <si>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</si>
  <si>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</si>
  <si>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</si>
  <si>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</si>
  <si>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</si>
  <si>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</si>
  <si>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</si>
  <si>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</si>
  <si>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</si>
  <si>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</si>
  <si>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</si>
  <si>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</si>
  <si>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</si>
  <si>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</si>
  <si>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</si>
  <si>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Gary Boyd Sr.</t>
  </si>
  <si>
    <t>1300 Cedar Ln</t>
  </si>
  <si>
    <t>08610</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</si>
  <si>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</si>
  <si>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</si>
  <si>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Paul Aguilar</t>
  </si>
  <si>
    <t>2400 Earle Ave</t>
  </si>
  <si>
    <t>Rosemead</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</si>
  <si>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</si>
  <si>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</si>
  <si>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</si>
  <si>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</si>
  <si>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</si>
  <si>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</si>
  <si>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</si>
  <si>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</si>
  <si>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</si>
  <si>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</si>
  <si>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http://ak-cache.legacy.net/legacy/images/cobrands/twincities/photos/0071200842-01-1_20131123.jpgx?w=130&amp;h=180&amp;option=1&amp;v=0x000000002c111143</t>
  </si>
  <si>
    <t>1005 Heritage Ln.</t>
  </si>
  <si>
    <t>Police said officers arrived at the home of 74-year-old Stephen Larson, a gynecological surgeon, to find the doctor dead and Hoffstrom in the front yard with a handgun. After what police described as diligent attempts at negotiation, shots were fired and Hoffman died at the scene. Police later said Hoffstrom's mother had been a patient of the doctor's, and that Hoffstrom had "recently expressed hostility" toward him.</t>
  </si>
  <si>
    <t>http://www.mprnews.org/story/2013/11/17/man-shot-by-police-identified</t>
  </si>
  <si>
    <t>Jason Lopez</t>
  </si>
  <si>
    <t>Texas 114 and U.S. 385</t>
  </si>
  <si>
    <t>http://lubbockonline.com/filed-online/2013-11-14/family-man-who-died-levelland-police-custody-still-waiting-answers#.Uoa2htIwf4Q</t>
  </si>
  <si>
    <t>John Williams</t>
  </si>
  <si>
    <t>10305 Nash Lane</t>
  </si>
  <si>
    <t>Mabelvale</t>
  </si>
  <si>
    <t>72103</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</si>
  <si>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</si>
  <si>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</si>
  <si>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</si>
  <si>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</si>
  <si>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</si>
  <si>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</si>
  <si>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</si>
  <si>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Willie James Williams</t>
  </si>
  <si>
    <t>2137 Fort Benning Rd</t>
  </si>
  <si>
    <t>31903</t>
  </si>
  <si>
    <t>Police Department of Columbus, Georgia</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</si>
  <si>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</si>
  <si>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</si>
  <si>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</si>
  <si>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</si>
  <si>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</si>
  <si>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</si>
  <si>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</si>
  <si>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</si>
  <si>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</si>
  <si>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</si>
  <si>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</si>
  <si>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</si>
  <si>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</si>
  <si>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</si>
  <si>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</si>
  <si>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</si>
  <si>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</si>
  <si>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</si>
  <si>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</si>
  <si>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</si>
  <si>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</si>
  <si>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</si>
  <si>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</si>
  <si>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</si>
  <si>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</si>
  <si>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</si>
  <si>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</si>
  <si>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</si>
  <si>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</si>
  <si>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</si>
  <si>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</si>
  <si>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</si>
  <si>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Jonathan Clark</t>
  </si>
  <si>
    <t>http://www.dailyfreeman.com/apps/pbcsi.dll/storyimage/DF/20131116/NEWS/131119562/AR/0/AR-131119562.jpg&amp;maxh=400&amp;maxw=667</t>
  </si>
  <si>
    <t>405 Crest Dr</t>
  </si>
  <si>
    <t>80817</t>
  </si>
  <si>
    <t>Clark, a decorated soldier, exchanged gunfire and threatened suicide when police responded to where he had crashed into a house. Officers fired at Clark and hit him in the wrist, but Clark fatally shot himself in the chest. The local district attorney's officer cleared the officers of any wrongdoing.</t>
  </si>
  <si>
    <t>http://webcache.googleusercontent.com/search?q=cache:j54VDwQKi18J:coloradosprings.com/soldier-died-of-suicide-during-shootout-with-fountain-police/article/1516255+&amp;cd=3&amp;hl=en&amp;ct=clnk&amp;gl=us</t>
  </si>
  <si>
    <t>David Andrew Gaston</t>
  </si>
  <si>
    <t>http://ak-cache.legacy.net/legacy/images/Cobrands/SBSun/Photos//0010273440-01-1_20121125.jpg</t>
  </si>
  <si>
    <t>22900 block Redwood Way</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</si>
  <si>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</si>
  <si>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</si>
  <si>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</si>
  <si>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</si>
  <si>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Donte Lamonte Jordan</t>
  </si>
  <si>
    <t>http://www.fatalencounters.org/wp-content/uploads/2013/10/DonteLamontJordan.jpg</t>
  </si>
  <si>
    <t>West Anaheim Street and Chestnut Avenue</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</si>
  <si>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</si>
  <si>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</si>
  <si>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</si>
  <si>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</si>
  <si>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</si>
  <si>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</si>
  <si>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</si>
  <si>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</si>
  <si>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</si>
  <si>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</si>
  <si>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</si>
  <si>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</si>
  <si>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</si>
  <si>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Jeanette Anaya</t>
  </si>
  <si>
    <t>http://www.kob.com/kobtvimages/repositoryThumbs/2013-11/jeanette-anaya-.jpg</t>
  </si>
  <si>
    <t>Camino Carlos Rey and Las Casitas.</t>
  </si>
  <si>
    <t>87507</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</si>
  <si>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</si>
  <si>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</si>
  <si>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</si>
  <si>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</si>
  <si>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</si>
  <si>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</si>
  <si>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</si>
  <si>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</si>
  <si>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</si>
  <si>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</si>
  <si>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</si>
  <si>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</si>
  <si>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</si>
  <si>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</si>
  <si>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</si>
  <si>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</si>
  <si>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</si>
  <si>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</si>
  <si>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</si>
  <si>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</si>
  <si>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</si>
  <si>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</si>
  <si>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</si>
  <si>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Deonte Traylor</t>
  </si>
  <si>
    <t>http://www.kcra.com/image/view/-/22836692/highRes/2/-/h5kldwz/-/Deonte--Traylor-mug-jpg.jpg</t>
  </si>
  <si>
    <t>200 block Pennsylvania Avenue</t>
  </si>
  <si>
    <t>Fairfield Police Department.</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</si>
  <si>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</si>
  <si>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</si>
  <si>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Michael Blair</t>
  </si>
  <si>
    <t>http://ww3.hdnux.com/photos/27/73/35/6272886/3/622x350.jpg</t>
  </si>
  <si>
    <t>7000 block Dawn Bloom</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</si>
  <si>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</si>
  <si>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</si>
  <si>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</si>
  <si>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</si>
  <si>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</si>
  <si>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</si>
  <si>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</si>
  <si>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</si>
  <si>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</si>
  <si>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</si>
  <si>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</si>
  <si>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</si>
  <si>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</si>
  <si>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</si>
  <si>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</si>
  <si>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</si>
  <si>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</si>
  <si>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</si>
  <si>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</si>
  <si>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</si>
  <si>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</si>
  <si>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</si>
  <si>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</si>
  <si>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</si>
  <si>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Lawrence Cambra</t>
  </si>
  <si>
    <t>http://media.oregonlive.com/oregon_city_news/photo/13710366-small.jpg</t>
  </si>
  <si>
    <t>841 Linn Avenue</t>
  </si>
  <si>
    <t>Oregon City</t>
  </si>
  <si>
    <t>97045</t>
  </si>
  <si>
    <t>After getting in an argument with his girlfriend, Cambra set his house on fire and shot a responding officer. After members of a SWAT team arrived, Cambra shot himself once in the chest. Though he wasn't diagnosed with a mental condition, Cambra's girlfriend mentioned several strange behaviors and actions that the 88-year-old engaged in.</t>
  </si>
  <si>
    <t>http://www.oregonlive.com/oregon-city/index.ssf/2013/11/oregon_city_shooting_authoriti.html</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</si>
  <si>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</si>
  <si>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</si>
  <si>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</si>
  <si>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</si>
  <si>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</si>
  <si>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</si>
  <si>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</si>
  <si>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</si>
  <si>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</si>
  <si>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</si>
  <si>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</si>
  <si>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</si>
  <si>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</si>
  <si>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</si>
  <si>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7400 block Jackson St</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</si>
  <si>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</si>
  <si>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</si>
  <si>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</si>
  <si>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</si>
  <si>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</si>
  <si>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</si>
  <si>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</si>
  <si>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</si>
  <si>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</si>
  <si>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</si>
  <si>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</si>
  <si>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</si>
  <si>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</si>
  <si>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</si>
  <si>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</si>
  <si>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</si>
  <si>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</si>
  <si>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</si>
  <si>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</si>
  <si>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</si>
  <si>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Randall Avenue and Olmstead Avenue</t>
  </si>
  <si>
    <t>Subject opened fire at officers and fled, was shot during chase.</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</si>
  <si>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</si>
  <si>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</si>
  <si>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</si>
  <si>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</si>
  <si>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</si>
  <si>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</si>
  <si>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</si>
  <si>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</si>
  <si>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</si>
  <si>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</si>
  <si>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</si>
  <si>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</si>
  <si>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</si>
  <si>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Dionne L. Jordan</t>
  </si>
  <si>
    <t>http://www.goerie.com/storyimage/GE/20140304/NEWS02/303039915/AR/0/AR-303039915.jpg</t>
  </si>
  <si>
    <t>1702 East 38th Street</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</si>
  <si>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</si>
  <si>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</si>
  <si>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</si>
  <si>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</si>
  <si>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</si>
  <si>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</si>
  <si>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</si>
  <si>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</si>
  <si>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</si>
  <si>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</si>
  <si>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</si>
  <si>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</si>
  <si>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</si>
  <si>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</si>
  <si>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</si>
  <si>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</si>
  <si>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</si>
  <si>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</si>
  <si>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</si>
  <si>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</si>
  <si>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</si>
  <si>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</si>
  <si>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</si>
  <si>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</si>
  <si>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</si>
  <si>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</si>
  <si>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</si>
  <si>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</si>
  <si>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</si>
  <si>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Virginia Beach City</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</si>
  <si>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</si>
  <si>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</si>
  <si>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</si>
  <si>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</si>
  <si>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</si>
  <si>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</si>
  <si>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</si>
  <si>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</si>
  <si>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</si>
  <si>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</si>
  <si>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</si>
  <si>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</si>
  <si>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</si>
  <si>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</si>
  <si>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</si>
  <si>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</si>
  <si>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</si>
  <si>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</si>
  <si>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</si>
  <si>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</si>
  <si>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</si>
  <si>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</si>
  <si>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</si>
  <si>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</si>
  <si>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</si>
  <si>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</si>
  <si>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</si>
  <si>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</si>
  <si>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</si>
  <si>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</si>
  <si>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</si>
  <si>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</si>
  <si>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</si>
  <si>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</si>
  <si>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</si>
  <si>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</si>
  <si>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</si>
  <si>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</si>
  <si>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</si>
  <si>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</si>
  <si>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</si>
  <si>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</si>
  <si>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Clinton Peterson</t>
  </si>
  <si>
    <t>http://media.dallasobserver.com/killed-for-running-away.9382505.40.jpg</t>
  </si>
  <si>
    <t>400 block Kelly Court</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</si>
  <si>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</si>
  <si>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</si>
  <si>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</si>
  <si>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</si>
  <si>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</si>
  <si>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</si>
  <si>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</si>
  <si>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</si>
  <si>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</si>
  <si>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</si>
  <si>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</si>
  <si>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</si>
  <si>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</si>
  <si>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</si>
  <si>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William Alfred Harvey III</t>
  </si>
  <si>
    <t>16400 block Woodruff Ave</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</si>
  <si>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</si>
  <si>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</si>
  <si>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</si>
  <si>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Arturo Jorge Guzman</t>
  </si>
  <si>
    <t>http://www.justmugshots.com/img/20363669/lg/arturo-jorge-guzman.jpg</t>
  </si>
  <si>
    <t>4616 East 8th Lane</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</si>
  <si>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</si>
  <si>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</si>
  <si>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Maria Martinez</t>
  </si>
  <si>
    <t>W 24th Street N and Arkansas</t>
  </si>
  <si>
    <t>67204</t>
  </si>
  <si>
    <t>Sedgwick County Sheriff's Office</t>
  </si>
  <si>
    <t>Police claim to have suspended their 2 a.m. 70-MPH pursuit of a grey van on city street only two minutes before the driver ran a stop sign and slammed into the car of uninvolved motorist, Martinez, killing her.</t>
  </si>
  <si>
    <t>http://www.kansas.com/news/article1126405.html</t>
  </si>
  <si>
    <t>Marie Leanne Edith Hartman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</si>
  <si>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</si>
  <si>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</si>
  <si>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</si>
  <si>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</si>
  <si>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</si>
  <si>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Andrew Scott Hoffman</t>
  </si>
  <si>
    <t>Amy Reyna</t>
  </si>
  <si>
    <t>http://assets.nydailynews.com/polopoly_fs/1.1768872.1398445096!/img/httpImage/image.jpg_gen/derivatives/article_970/reyna26n-3-web.jpg?enlarged</t>
  </si>
  <si>
    <t>New Mexico 132</t>
  </si>
  <si>
    <t>88260</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</si>
  <si>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</si>
  <si>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</si>
  <si>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</si>
  <si>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</si>
  <si>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</si>
  <si>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</si>
  <si>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</si>
  <si>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</si>
  <si>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</si>
  <si>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</si>
  <si>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</si>
  <si>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</si>
  <si>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</si>
  <si>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</si>
  <si>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</si>
  <si>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</si>
  <si>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</si>
  <si>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Richard Rodriguez</t>
  </si>
  <si>
    <t>3000 block West Ramsey Street</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</si>
  <si>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</si>
  <si>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</si>
  <si>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</si>
  <si>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</si>
  <si>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</si>
  <si>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Jonathan V. Robertson</t>
  </si>
  <si>
    <t>Thomas Drive and North Main Street</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</si>
  <si>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</si>
  <si>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</si>
  <si>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</si>
  <si>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Christopher Chase</t>
  </si>
  <si>
    <t>35</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</si>
  <si>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</si>
  <si>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</si>
  <si>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</si>
  <si>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</si>
  <si>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</si>
  <si>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</si>
  <si>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</si>
  <si>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33759</t>
  </si>
  <si>
    <t>Clearwater Police Department</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</si>
  <si>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</si>
  <si>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</si>
  <si>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</si>
  <si>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29</t>
  </si>
  <si>
    <t>http://ak-cache.legacy.net/legacy/images/Cobrands/yumasun/Photos/0f44d190-5bc0-4d32-87ef-ce34d2c74f4a.jpg</t>
  </si>
  <si>
    <t>1600 W 12th St</t>
  </si>
  <si>
    <t>Yuma</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</si>
  <si>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</si>
  <si>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</si>
  <si>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</si>
  <si>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</si>
  <si>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</si>
  <si>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</si>
  <si>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</si>
  <si>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</si>
  <si>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</si>
  <si>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</si>
  <si>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</si>
  <si>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</si>
  <si>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</si>
  <si>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</si>
  <si>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</si>
  <si>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</si>
  <si>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</si>
  <si>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</si>
  <si>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</si>
  <si>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</si>
  <si>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</si>
  <si>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</si>
  <si>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</si>
  <si>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</si>
  <si>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</si>
  <si>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</si>
  <si>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</si>
  <si>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</si>
  <si>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</si>
  <si>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</si>
  <si>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</si>
  <si>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</si>
  <si>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Vincent L. Young</t>
  </si>
  <si>
    <t>10000 Bay Pines Boulevard North</t>
  </si>
  <si>
    <t>St. Petersburg</t>
  </si>
  <si>
    <t>33708</t>
  </si>
  <si>
    <t>Bay Pines VA Police</t>
  </si>
  <si>
    <t>Young claimed he had a bomb and lunged a knife toward VA police. The officer shot and killed Young. Young did not have a bomb.</t>
  </si>
  <si>
    <t>http://www.wfla.com/Global/story.asp?S=23793064</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</si>
  <si>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</si>
  <si>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</si>
  <si>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</si>
  <si>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</si>
  <si>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</si>
  <si>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</si>
  <si>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</si>
  <si>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</si>
  <si>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</si>
  <si>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</si>
  <si>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</si>
  <si>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</si>
  <si>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Angelique Styles</t>
  </si>
  <si>
    <t>http://report.wechargegenocide.org/img/people/angelique_styles.jpg</t>
  </si>
  <si>
    <t>10900 block South Eberhart Avenue</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</si>
  <si>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</si>
  <si>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</si>
  <si>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</si>
  <si>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</si>
  <si>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</si>
  <si>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</si>
  <si>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</si>
  <si>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Michael Clifford Garmon</t>
  </si>
  <si>
    <t>http://thumbs.mugshots.com/gallery/images/2c/ff/Michael-Clifford-Garmon-mugshot-30635357.400x800.jpg</t>
  </si>
  <si>
    <t>Interstate 75 and Old Dixie Highway</t>
  </si>
  <si>
    <t>30304</t>
  </si>
  <si>
    <t>Clayton County Police Department</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</si>
  <si>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</si>
  <si>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</si>
  <si>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</si>
  <si>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</si>
  <si>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</si>
  <si>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</si>
  <si>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</si>
  <si>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</si>
  <si>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killed.[18][19]</t>
  </si>
  <si>
    <t>http://www.nbcmontana.com/news/whitefish-man-killed-in-california-police-shooting/22654088</t>
  </si>
  <si>
    <t>John Robert Dellafiora</t>
  </si>
  <si>
    <t>46</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</si>
  <si>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</si>
  <si>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</si>
  <si>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</si>
  <si>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</si>
  <si>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</si>
  <si>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</si>
  <si>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</si>
  <si>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</si>
  <si>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</si>
  <si>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</si>
  <si>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</si>
  <si>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</si>
  <si>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</si>
  <si>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27</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</si>
  <si>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</si>
  <si>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</si>
  <si>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</si>
  <si>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</si>
  <si>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</si>
  <si>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</si>
  <si>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</si>
  <si>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</si>
  <si>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</si>
  <si>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</si>
  <si>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</si>
  <si>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Ryan Salonga</t>
  </si>
  <si>
    <t>http://www.fatalencounters.org/wp-content/uploads/2013/10/RyanSalonga.jpg</t>
  </si>
  <si>
    <t>500 block Poplar Avenue</t>
  </si>
  <si>
    <t>94066</t>
  </si>
  <si>
    <t>San Bruno Police Department</t>
  </si>
  <si>
    <t>Police shot and killed a stolen car suspect.</t>
  </si>
  <si>
    <t>Andy Lopez</t>
  </si>
  <si>
    <t>http://graphics8.nytimes.com/images/2013/10/24/us/24shooting2/24shooting2-popup.jpg</t>
  </si>
  <si>
    <t>Moorland Ave and West Robles Ave</t>
  </si>
  <si>
    <t>95407</t>
  </si>
  <si>
    <t>Sonoma County Sheriff's Department</t>
  </si>
  <si>
    <t>Sheriff’s deputies shot and killed a 13-year-old boy who was carrying a replica assault rifle they mistook for the real thing.</t>
  </si>
  <si>
    <t>http://www.nytimes.com/2013/10/24/us/boy-13-carrying-toy-guns-is-shot-dead-by-deputies.html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</si>
  <si>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</si>
  <si>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</si>
  <si>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</si>
  <si>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</si>
  <si>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</si>
  <si>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</si>
  <si>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</si>
  <si>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</si>
  <si>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</si>
  <si>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</si>
  <si>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</si>
  <si>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Tracy Clyde</t>
  </si>
  <si>
    <t>http://walb.images.worldnow.com/images/25055856_BG5.jpg</t>
  </si>
  <si>
    <t>Pine Ave N</t>
  </si>
  <si>
    <t>31763</t>
  </si>
  <si>
    <t>Leesburg Police Department</t>
  </si>
  <si>
    <t>Clyde was wanted for assault and robbery. Police found him in an vacant house. Clyde fought with an officer until being shot and killed.</t>
  </si>
  <si>
    <t>http://www.walb.com/story/25055856/lee-co-officer-cleared-in-shooting</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</si>
  <si>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</si>
  <si>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</si>
  <si>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</si>
  <si>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</si>
  <si>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</si>
  <si>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</si>
  <si>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</si>
  <si>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47</t>
  </si>
  <si>
    <t>http://cdn.patch.com/users/46921/2013/10/T800x600/d0a0cb6661b5d57296856ffea1b36fd0.png</t>
  </si>
  <si>
    <t>4200 Saturn Way</t>
  </si>
  <si>
    <t>Union City</t>
  </si>
  <si>
    <t>94587</t>
  </si>
  <si>
    <t>Union City Police Department</t>
  </si>
  <si>
    <t>Police shot and killed a man wielding a pipe.</t>
  </si>
  <si>
    <t>http://unioncity.patch.com/groups/police-and-fire/p/suspect-killed-in-officerinvolved-shooting-identified</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</si>
  <si>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</si>
  <si>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</si>
  <si>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</si>
  <si>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</si>
  <si>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</si>
  <si>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</si>
  <si>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</si>
  <si>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</si>
  <si>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</si>
  <si>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</si>
  <si>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</si>
  <si>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</si>
  <si>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</si>
  <si>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</si>
  <si>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</si>
  <si>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</si>
  <si>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10100 block Winkler Dr</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</si>
  <si>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</si>
  <si>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</si>
  <si>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http://www.stltoday.com/news/local/crime-and-courts/man-shot-by-florissant-police-died-of-self-inflicted-wound/article_866722f4-ae2b-5463-910f-1b04f03ed289.html</t>
  </si>
  <si>
    <t>Ian Burlakoff</t>
  </si>
  <si>
    <t>http://media.cmgdigital.com/shared/img/photos/2013/10/21/3c/27/IanBurlakoff.JPG</t>
  </si>
  <si>
    <t>Ocean Boulevard</t>
  </si>
  <si>
    <t>33432</t>
  </si>
  <si>
    <t>Boca Raton Police Department</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</si>
  <si>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</si>
  <si>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</si>
  <si>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</si>
  <si>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</si>
  <si>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</si>
  <si>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</si>
  <si>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</si>
  <si>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</si>
  <si>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</si>
  <si>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</si>
  <si>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</si>
  <si>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Taemarr Walker</t>
  </si>
  <si>
    <t>http://wfmj.images.worldnow.com/images/23740479_BG1.jpg</t>
  </si>
  <si>
    <t>Palmyra Rd SW &amp; Risher Rd</t>
  </si>
  <si>
    <t>44485</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</si>
  <si>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</si>
  <si>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</si>
  <si>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</si>
  <si>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</si>
  <si>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</si>
  <si>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</si>
  <si>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</si>
  <si>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</si>
  <si>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</si>
  <si>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</si>
  <si>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</si>
  <si>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</si>
  <si>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</si>
  <si>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</si>
  <si>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</si>
  <si>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Felix Valdez</t>
  </si>
  <si>
    <t>3255 South Halsted St</t>
  </si>
  <si>
    <t>60608</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</si>
  <si>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</si>
  <si>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</si>
  <si>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</si>
  <si>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</si>
  <si>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</si>
  <si>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</si>
  <si>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</si>
  <si>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</si>
  <si>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</si>
  <si>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</si>
  <si>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</si>
  <si>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</si>
  <si>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Jose Guerrero</t>
  </si>
  <si>
    <t>5900 block Beachview Dr</t>
  </si>
  <si>
    <t>46224</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</si>
  <si>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</si>
  <si>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</si>
  <si>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</si>
  <si>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</si>
  <si>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</si>
  <si>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</si>
  <si>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</si>
  <si>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</si>
  <si>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</si>
  <si>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Adrian Suarez</t>
  </si>
  <si>
    <t>100 block East Main Street</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</si>
  <si>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</si>
  <si>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</si>
  <si>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</si>
  <si>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</si>
  <si>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</si>
  <si>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</si>
  <si>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Christopher Eric Augustin</t>
  </si>
  <si>
    <t>4145 Shadow Lane</t>
  </si>
  <si>
    <t>95405</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</si>
  <si>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</si>
  <si>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</si>
  <si>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</si>
  <si>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</si>
  <si>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</si>
  <si>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</si>
  <si>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</si>
  <si>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</si>
  <si>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</si>
  <si>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</si>
  <si>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Cameron Massey</t>
  </si>
  <si>
    <t>http://wrbl.images.worldnow.com/images/3322886_G.jpg</t>
  </si>
  <si>
    <t>U.S. Highway 431</t>
  </si>
  <si>
    <t>Eufaula</t>
  </si>
  <si>
    <t>Barbour</t>
  </si>
  <si>
    <t>Barbour County Sheriff's Department</t>
  </si>
  <si>
    <t>Police shot and killed a 26-year-old man.</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</si>
  <si>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</si>
  <si>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</si>
  <si>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</si>
  <si>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</si>
  <si>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</si>
  <si>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</si>
  <si>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</si>
  <si>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</si>
  <si>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</si>
  <si>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</si>
  <si>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</si>
  <si>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</si>
  <si>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</si>
  <si>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</si>
  <si>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</si>
  <si>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</si>
  <si>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</si>
  <si>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</si>
  <si>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</si>
  <si>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</si>
  <si>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</si>
  <si>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Ozark</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</si>
  <si>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</si>
  <si>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</si>
  <si>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</si>
  <si>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</si>
  <si>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</si>
  <si>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</si>
  <si>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</si>
  <si>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</si>
  <si>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</si>
  <si>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</si>
  <si>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</si>
  <si>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</si>
  <si>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</si>
  <si>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</si>
  <si>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Shaqur McNair</t>
  </si>
  <si>
    <t>http://wwwcache.wral.com/asset/news/local/2013/10/14/12994173/12994173-1381773950-300x225.jpg</t>
  </si>
  <si>
    <t>200 Bertram Pl</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</si>
  <si>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</si>
  <si>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</si>
  <si>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</si>
  <si>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</si>
  <si>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</si>
  <si>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</si>
  <si>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</si>
  <si>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</si>
  <si>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</si>
  <si>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</si>
  <si>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</si>
  <si>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</si>
  <si>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</si>
  <si>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</si>
  <si>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County and BATF officers chased Smith by car and on foot into a wooded area. Cornered, he was ordered to show his hands, and he reportedly kept moving as if to produce a handgun. They fired 24 rounds. Nine fatally struck him. He'd been unarmed.</t>
  </si>
  <si>
    <t>http://www.starnewsonline.com/article/20131013/ARTICLES/131019858</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</si>
  <si>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</si>
  <si>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</si>
  <si>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</si>
  <si>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</si>
  <si>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</si>
  <si>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</si>
  <si>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</si>
  <si>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</si>
  <si>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</si>
  <si>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</si>
  <si>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</si>
  <si>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http://www.ktsm.com/news/crimebeat/autopsy-released-mercedes-demarco-police-custody-death</t>
  </si>
  <si>
    <t>Jonathan Kane Garay</t>
  </si>
  <si>
    <t>http://m.standardspeaker.com/polopoly_fs/1.1718107.1405134619!/image/image.jpg_gen/derivatives/landscape_300/image.jpg</t>
  </si>
  <si>
    <t>521 Alter Street</t>
  </si>
  <si>
    <t>Hazleton</t>
  </si>
  <si>
    <t>18201</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</si>
  <si>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</si>
  <si>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</si>
  <si>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</si>
  <si>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</si>
  <si>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</si>
  <si>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</si>
  <si>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</si>
  <si>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</si>
  <si>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</si>
  <si>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</si>
  <si>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</si>
  <si>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</si>
  <si>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</si>
  <si>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</si>
  <si>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</si>
  <si>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</si>
  <si>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</si>
  <si>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</si>
  <si>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45</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</si>
  <si>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</si>
  <si>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</si>
  <si>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</si>
  <si>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</si>
  <si>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</si>
  <si>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</si>
  <si>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Lawrence Ports</t>
  </si>
  <si>
    <t>http://tbo.com/storyimage/TB/20131011/ARTICLE/131019741/AR/0/AR-131019741.jpg</t>
  </si>
  <si>
    <t>35 Hemlock Drive</t>
  </si>
  <si>
    <t>Kings Park</t>
  </si>
  <si>
    <t>11754</t>
  </si>
  <si>
    <t>County police were called to Ports's house on reports that he was acting irrationally. In the course of subduing an irrational and combative Ports at the hospital, he suffered some sort of head injury,. His death three weeks later appeared to be a direct result.</t>
  </si>
  <si>
    <t>https://www.newsli.com/2013/10/14/kings-park-man-dies-in-stony-brook-hospital-possible-result-of-head-injury-after-struggle-with-police/</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</si>
  <si>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</si>
  <si>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</si>
  <si>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</si>
  <si>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</si>
  <si>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</si>
  <si>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</si>
  <si>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</si>
  <si>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</si>
  <si>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</si>
  <si>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</si>
  <si>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</si>
  <si>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</si>
  <si>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</si>
  <si>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</si>
  <si>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</si>
  <si>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</si>
  <si>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</si>
  <si>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Pepper sprayed, tasered, beaten</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</si>
  <si>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</si>
  <si>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</si>
  <si>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</si>
  <si>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</si>
  <si>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</si>
  <si>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</si>
  <si>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</si>
  <si>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</si>
  <si>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Max Cocheta Martin</t>
  </si>
  <si>
    <t>http://www.homefacts.com/images/offenders/california/thumb/18605071J5719.jpg</t>
  </si>
  <si>
    <t>Elkins Rd</t>
  </si>
  <si>
    <t>Leicester</t>
  </si>
  <si>
    <t>28748</t>
  </si>
  <si>
    <t>Buncombe</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</si>
  <si>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</si>
  <si>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</si>
  <si>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</si>
  <si>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</si>
  <si>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</si>
  <si>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Old Town</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</si>
  <si>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</si>
  <si>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</si>
  <si>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</si>
  <si>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</si>
  <si>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</si>
  <si>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</si>
  <si>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</si>
  <si>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</si>
  <si>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</si>
  <si>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</si>
  <si>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</si>
  <si>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</si>
  <si>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</si>
  <si>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</si>
  <si>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</si>
  <si>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</si>
  <si>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</si>
  <si>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</si>
  <si>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Winford Raynard Watkins</t>
  </si>
  <si>
    <t>http://blogs.star-telegram.com/.a/6a00d8341c2cc953ef019b000db885970d-800wi</t>
  </si>
  <si>
    <t>100 block Cindy Lane</t>
  </si>
  <si>
    <t>76085</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</si>
  <si>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</si>
  <si>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</si>
  <si>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Darrell Atkinson</t>
  </si>
  <si>
    <t>Venice Blvd &amp; Cadillac Ave</t>
  </si>
  <si>
    <t>90034</t>
  </si>
  <si>
    <t>Transit Services Bureau deputies "came into contact" with Atkinson, who then allegedly grabbed a wooden stick from a shopping cart and “advanced toward the deputies with the wooden stick overhead, prompting deputies to open fire."</t>
  </si>
  <si>
    <t>http://www.nbclosangeles.com/news/local/Transient-Killed-by-Deputies-Identified-227552501.html</t>
  </si>
  <si>
    <t>Bruce Douglas Graham</t>
  </si>
  <si>
    <t>28600 block Cloverleaf Pl</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</si>
  <si>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</si>
  <si>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</si>
  <si>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</si>
  <si>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</si>
  <si>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Sherman T. Threets</t>
  </si>
  <si>
    <t>http://mugshot-record-search.com/mugshot/IL/Cook-County-Sheriff/2012-Jun-06/295932/SHERMAN-THREETS</t>
  </si>
  <si>
    <t>14400 block South Campbell Ave</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</si>
  <si>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</si>
  <si>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</si>
  <si>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</si>
  <si>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</si>
  <si>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</si>
  <si>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</si>
  <si>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</si>
  <si>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</si>
  <si>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</si>
  <si>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</si>
  <si>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</si>
  <si>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</si>
  <si>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</si>
  <si>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</si>
  <si>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</si>
  <si>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</si>
  <si>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</si>
  <si>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</si>
  <si>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</si>
  <si>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</si>
  <si>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</si>
  <si>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</si>
  <si>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</si>
  <si>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4600 block Alta Saga Drive</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</si>
  <si>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</si>
  <si>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</si>
  <si>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</si>
  <si>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</si>
  <si>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</si>
  <si>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98801</t>
  </si>
  <si>
    <t>Chelan</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</si>
  <si>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</si>
  <si>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</si>
  <si>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</si>
  <si>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</si>
  <si>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</si>
  <si>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</si>
  <si>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</si>
  <si>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</si>
  <si>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</si>
  <si>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</si>
  <si>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Jack Roberson's family called 911 after he took a handful of diabetes medicine with alcohol and expressed that he wanted to die; two officers arrived, and classified Jack as "combative" and shot him dead in front of his family.</t>
  </si>
  <si>
    <t>http://jacksonville.com/news/georgia/2014-02-25/story/gbi-report-clears-waycross-police-officers-october-shooting-death-da</t>
  </si>
  <si>
    <t>William Bruce Hemphill</t>
  </si>
  <si>
    <t>http://d1t3gia0in9tdj.cloudfront.net/photo/tributes/t/8/r/207x207/1605592/f4591c0d-3fab-4003-972c-e78988328d66.jpg</t>
  </si>
  <si>
    <t>Richmond Terrace and Simonson Ave</t>
  </si>
  <si>
    <t>10303</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</si>
  <si>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</si>
  <si>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</si>
  <si>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</si>
  <si>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</si>
  <si>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</si>
  <si>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</si>
  <si>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</si>
  <si>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</si>
  <si>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Miriam Iris Carey</t>
  </si>
  <si>
    <t>34</t>
  </si>
  <si>
    <t>http://www.wnd.com/files/2013/12/miriam-carey-1213.jpg</t>
  </si>
  <si>
    <t>10 Maryland Ave SW</t>
  </si>
  <si>
    <t>20016</t>
  </si>
  <si>
    <t>Carey was shot and killed after she allegedly rammed into barricades near the White House and then led police on a chase toward the U.S. Capitol building.</t>
  </si>
  <si>
    <t>http://www.scribd.com/doc/216342741/The-Autopsy-Report-of-Miriam-Iris-Carey</t>
  </si>
  <si>
    <t>Michael Bryan Barnes</t>
  </si>
  <si>
    <t>3930 Monroeville Blvd</t>
  </si>
  <si>
    <t>Barnes was hit and killed by a patrol car while the 49-year-old was walking across a highway. A District Attorney investigation cleared the officer of any wrongdoing.</t>
  </si>
  <si>
    <t>http://pittsburgh.cbslocal.com/2013/11/12/d-a-completes-investigation-into-monroeville-crash/</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</si>
  <si>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</si>
  <si>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</si>
  <si>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</si>
  <si>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</si>
  <si>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</si>
  <si>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</si>
  <si>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</si>
  <si>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</si>
  <si>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</si>
  <si>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</si>
  <si>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</si>
  <si>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</si>
  <si>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</si>
  <si>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</si>
  <si>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</si>
  <si>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</si>
  <si>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</si>
  <si>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</si>
  <si>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</si>
  <si>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</si>
  <si>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Maria Rita Zarate</t>
  </si>
  <si>
    <t>5200 block Magic Ave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</si>
  <si>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</si>
  <si>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</si>
  <si>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</si>
  <si>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</si>
  <si>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20-25</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</si>
  <si>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</si>
  <si>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</si>
  <si>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Wendy Lawrence</t>
  </si>
  <si>
    <t>Interstate 93</t>
  </si>
  <si>
    <t>New Hampshire State Police</t>
  </si>
  <si>
    <t>http://www.concordmonitor.com/home/8751046-95/woman-dies-after-chase-police-involved-shooting-in-manchester</t>
  </si>
  <si>
    <t>Alexander Jamar "A.J." Marion</t>
  </si>
  <si>
    <t>http://www.gannett-cdn.com/-mm-/84b23e29bc2ab23ea118c6ab16392e7b43a13870/c=0-39-685-952&amp;r=537&amp;c=0-0-534-712/local/-/media/Asheville/2014/07/22/ajmarion.jpg</t>
  </si>
  <si>
    <t>99 Ascension Drive</t>
  </si>
  <si>
    <t>Asheville</t>
  </si>
  <si>
    <t>28806</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</si>
  <si>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</si>
  <si>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</si>
  <si>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</si>
  <si>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</si>
  <si>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</si>
  <si>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</si>
  <si>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</si>
  <si>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</si>
  <si>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</si>
  <si>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</si>
  <si>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</si>
  <si>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</si>
  <si>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</si>
  <si>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</si>
  <si>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</si>
  <si>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</si>
  <si>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http://www.thestate.com/2013/10/01/3014327_upstate-murder-suspect-dies-after.html?rh=1</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</si>
  <si>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</si>
  <si>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</si>
  <si>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</si>
  <si>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</si>
  <si>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</si>
  <si>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</si>
  <si>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</si>
  <si>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700 block Erie St.</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</si>
  <si>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</si>
  <si>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</si>
  <si>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</si>
  <si>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</si>
  <si>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</si>
  <si>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</si>
  <si>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</si>
  <si>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</si>
  <si>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</si>
  <si>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</si>
  <si>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</si>
  <si>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</si>
  <si>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</si>
  <si>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Tavaris Lokeco Gulley</t>
  </si>
  <si>
    <t>Pine Crest Cemetery</t>
  </si>
  <si>
    <t>Citronelle</t>
  </si>
  <si>
    <t>36522</t>
  </si>
  <si>
    <t>Mobile</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</si>
  <si>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</si>
  <si>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</si>
  <si>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</si>
  <si>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</si>
  <si>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</si>
  <si>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</si>
  <si>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</si>
  <si>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</si>
  <si>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</si>
  <si>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</si>
  <si>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</si>
  <si>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</si>
  <si>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</si>
  <si>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40-50</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</si>
  <si>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</si>
  <si>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</si>
  <si>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</si>
  <si>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</si>
  <si>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</si>
  <si>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</si>
  <si>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</si>
  <si>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</si>
  <si>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</si>
  <si>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</si>
  <si>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</si>
  <si>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</si>
  <si>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</si>
  <si>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</si>
  <si>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</si>
  <si>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</si>
  <si>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</si>
  <si>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</si>
  <si>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</si>
  <si>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</si>
  <si>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</si>
  <si>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</si>
  <si>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</si>
  <si>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Devell Johns</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</si>
  <si>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</si>
  <si>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</si>
  <si>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</si>
  <si>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</si>
  <si>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Terrell Young aka Tavon Brown</t>
  </si>
  <si>
    <t>Angel Chiwengo</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</si>
  <si>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</si>
  <si>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</si>
  <si>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</si>
  <si>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</si>
  <si>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</si>
  <si>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</si>
  <si>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</si>
  <si>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</si>
  <si>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</si>
  <si>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</si>
  <si>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</si>
  <si>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</si>
  <si>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</si>
  <si>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</si>
  <si>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</si>
  <si>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</si>
  <si>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</si>
  <si>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t>
  </si>
  <si>
    <t>46168</t>
  </si>
  <si>
    <t>Hendricks</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</si>
  <si>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</si>
  <si>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</si>
  <si>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</si>
  <si>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</si>
  <si>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</si>
  <si>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</si>
  <si>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</si>
  <si>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</si>
  <si>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</si>
  <si>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</si>
  <si>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</si>
  <si>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</si>
  <si>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</si>
  <si>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</si>
  <si>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</si>
  <si>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</si>
  <si>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</si>
  <si>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</si>
  <si>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</si>
  <si>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</si>
  <si>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</si>
  <si>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St. Petersburg Police Department</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</si>
  <si>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</si>
  <si>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</si>
  <si>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Breanne Michelle Sharpe</t>
  </si>
  <si>
    <t>http://www.krcrtv.com/image/view/-/22090038/highRes/1/-/maxh/360/maxw/640/-/d3mcnwz/-/Breanne-Sharpe-pic.jpg</t>
  </si>
  <si>
    <t>East 8th St &amp; Vista Verde Ave</t>
  </si>
  <si>
    <t>Chico</t>
  </si>
  <si>
    <t>Chico Police Department</t>
  </si>
  <si>
    <t>Deceased reversed car towards an officer, then u-turned vehicle, striking tree and police car. Five officers fired on car, stating fear for their lives.</t>
  </si>
  <si>
    <t>http://www.chicoer.com/breakingnews/ci_24157652/woman-shot-by-chico-officers-identified</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</si>
  <si>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</si>
  <si>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</si>
  <si>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</si>
  <si>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</si>
  <si>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</si>
  <si>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</si>
  <si>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</si>
  <si>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</si>
  <si>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</si>
  <si>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Michael Lee Zubrod</t>
  </si>
  <si>
    <t>http://bloximages.chicago2.vip.townnews.com/globegazette.com/content/tncms/assets/v3/editorial/3/ab/3abd90d4-259d-11e3-87e0-0019bb2963f4/52426a5faaf24.image.jpg</t>
  </si>
  <si>
    <t>208 4th St N</t>
  </si>
  <si>
    <t>Northwood</t>
  </si>
  <si>
    <t>50459</t>
  </si>
  <si>
    <t>Worth County Sheriff’s Office</t>
  </si>
  <si>
    <t>Deputies arrived to find Zubrod beating his girlfriend, and tasered the 39-year-old several times after he attempted to attack a deputy. Zubrod's death was ruled justified by a county District Attorney.</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</si>
  <si>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</si>
  <si>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</si>
  <si>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</si>
  <si>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</si>
  <si>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</si>
  <si>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</si>
  <si>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</si>
  <si>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</si>
  <si>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</si>
  <si>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</si>
  <si>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</si>
  <si>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</si>
  <si>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</si>
  <si>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</si>
  <si>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</si>
  <si>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</si>
  <si>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</si>
  <si>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</si>
  <si>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</si>
  <si>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</si>
  <si>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</si>
  <si>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</si>
  <si>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</si>
  <si>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</si>
  <si>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</si>
  <si>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</si>
  <si>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</si>
  <si>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</si>
  <si>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</si>
  <si>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</si>
  <si>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</si>
  <si>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</si>
  <si>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</si>
  <si>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</si>
  <si>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An unnamed Hispanic man was fatally shot by police after he allegedly drew a gun on officers.</t>
  </si>
  <si>
    <t>http://www.lapdonline.org/newsroom/news_view/54498</t>
  </si>
  <si>
    <t>Ruben Ramos-Escobedo</t>
  </si>
  <si>
    <t>West Adams Boulevard &amp; Hauser Boulevard</t>
  </si>
  <si>
    <t>Not reported</t>
  </si>
  <si>
    <t>Ruben Ramos-Escobedo, a 59-year-old Latino male, died after being shot in West Adams, according to Los Angeles County coroner's records.</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</si>
  <si>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</si>
  <si>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</si>
  <si>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</si>
  <si>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</si>
  <si>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</si>
  <si>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</si>
  <si>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Maritza Medina</t>
  </si>
  <si>
    <t>http://assets.nydailynews.com/polopoly_fs/1.1460923.1379598680!/img/httpImage/image.jpg_gen/derivatives/article_970/crash20n-2-web.jpg?enlarged</t>
  </si>
  <si>
    <t>US Hwy 27 &amp; Griffin Rd</t>
  </si>
  <si>
    <t>Southwest Ranches</t>
  </si>
  <si>
    <t>33332</t>
  </si>
  <si>
    <t>Medina died as her Mercedes violently collided with the Mercedes of a fleeing murder suspect, Antonio Feliu, in a high-speed police chase. Feliu killed himself with a pistol after the crash. County deputies and SWAT members set up an hour-long "standoff," filmed by news helicopters, unaware that Feliu was already dead.</t>
  </si>
  <si>
    <t>http://www.nydailynews.com/news/national/victims-id-florida-shooting-high-speed-crash-article-1.1460926</t>
  </si>
  <si>
    <t>Derek Deandre Walker</t>
  </si>
  <si>
    <t>http://cdn.abclocal.go.com/images/wtvd/cms_exf_2007/news/local/9252871_600x338.jpg</t>
  </si>
  <si>
    <t>201 Corcoran St.</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</si>
  <si>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</si>
  <si>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</si>
  <si>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</si>
  <si>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</si>
  <si>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</si>
  <si>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</si>
  <si>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</si>
  <si>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</si>
  <si>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</si>
  <si>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</si>
  <si>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</si>
  <si>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</si>
  <si>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</si>
  <si>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</si>
  <si>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</si>
  <si>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</si>
  <si>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</si>
  <si>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</si>
  <si>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</si>
  <si>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</si>
  <si>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</si>
  <si>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</si>
  <si>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</si>
  <si>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</si>
  <si>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</si>
  <si>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</si>
  <si>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</si>
  <si>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</si>
  <si>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</si>
  <si>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</si>
  <si>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</si>
  <si>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</si>
  <si>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Monica Patterson</t>
  </si>
  <si>
    <t>Southwest 176th Street and 178th Terrace</t>
  </si>
  <si>
    <t>33187</t>
  </si>
  <si>
    <t>Patterson was killed as a passenger in a red Taurus when it was struck by a black SUV chased by police. Police were quick to deny any pursuit, which was contrary to accounts of a host of witnesses and home surveillance footage, uncovered by the local CBS affiliate, showing two speeding unmarked police vehicles. The chase began for traffic violations.</t>
  </si>
  <si>
    <t>http://miami.cbslocal.com/2013/09/17/woman-killed-in-crash-with-suspect-fleeing-miami-dade-police/</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</si>
  <si>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</si>
  <si>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</si>
  <si>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</si>
  <si>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</si>
  <si>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R.T. McGinty</t>
  </si>
  <si>
    <t>http://archive.azcentral.com/ic/imgs/avondale-mcginty.jpg</t>
  </si>
  <si>
    <t>S 3rd St &amp; E Rose Ln</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</si>
  <si>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</si>
  <si>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</si>
  <si>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</si>
  <si>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</si>
  <si>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</si>
  <si>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</si>
  <si>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</si>
  <si>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</si>
  <si>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</si>
  <si>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</si>
  <si>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</si>
  <si>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</si>
  <si>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</si>
  <si>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</si>
  <si>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</si>
  <si>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</si>
  <si>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</si>
  <si>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</si>
  <si>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</si>
  <si>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</si>
  <si>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</si>
  <si>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</si>
  <si>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</si>
  <si>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</si>
  <si>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</si>
  <si>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</si>
  <si>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</si>
  <si>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</si>
  <si>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</si>
  <si>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</si>
  <si>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Hector Jimenez</t>
  </si>
  <si>
    <t>http://cdn.abclocal.go.com/images/kabc/cms_exf_2007/news/local/inland_empire/9248793_600x338.jpg</t>
  </si>
  <si>
    <t>2300 block 10th Street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</si>
  <si>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</si>
  <si>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</si>
  <si>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</si>
  <si>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</si>
  <si>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</si>
  <si>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</si>
  <si>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</si>
  <si>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</si>
  <si>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</si>
  <si>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</si>
  <si>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</si>
  <si>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</si>
  <si>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</si>
  <si>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</si>
  <si>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</si>
  <si>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</si>
  <si>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</si>
  <si>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</si>
  <si>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</si>
  <si>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</si>
  <si>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</si>
  <si>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</si>
  <si>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</si>
  <si>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</si>
  <si>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</si>
  <si>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</si>
  <si>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</si>
  <si>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</si>
  <si>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Gun Barrel City</t>
  </si>
  <si>
    <t>http://www.kltv.com/story/23394802/authorities-release-identity-of-man-killed-in-officer-involved-shooting</t>
  </si>
  <si>
    <t>141 Deer Run Road</t>
  </si>
  <si>
    <t>75156</t>
  </si>
  <si>
    <t>According to Henderson County Sheriff Ray Nutt, while executing the search warrant, a Henderson County Sheriff's Office Investigator was involved in a shooting.</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</si>
  <si>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</si>
  <si>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</si>
  <si>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</si>
  <si>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</si>
  <si>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</si>
  <si>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</si>
  <si>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Pittsburg</t>
  </si>
  <si>
    <t>Pittsburg Police Department</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</si>
  <si>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</si>
  <si>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</si>
  <si>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</si>
  <si>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</si>
  <si>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</si>
  <si>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</si>
  <si>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</si>
  <si>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</si>
  <si>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</si>
  <si>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Marlon Horton</t>
  </si>
  <si>
    <t>http://wfld.images.worldnow.com/images/4584705_G.jpg</t>
  </si>
  <si>
    <t>1800 block West Monroe Street</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</si>
  <si>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</si>
  <si>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</si>
  <si>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Jorge Azucena</t>
  </si>
  <si>
    <t>http://cdn.abclocal.go.com/images/kabc/cms_exf_2007/news/local/los_angeles/9301428_1280x720.jpg</t>
  </si>
  <si>
    <t>1546 West Martin Luther King Jr. Boulevard</t>
  </si>
  <si>
    <t>90062</t>
  </si>
  <si>
    <t>Negligence, failure to call paramedics when subject could not breathe due to asthma</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</si>
  <si>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</si>
  <si>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</si>
  <si>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Joseph Duran</t>
  </si>
  <si>
    <t>4001 CA-104</t>
  </si>
  <si>
    <t>Amadour</t>
  </si>
  <si>
    <t>http://www.sacbee.com/2014/09/04/6678997/family-sues-alleging-widespread.html</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</si>
  <si>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</si>
  <si>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</si>
  <si>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</si>
  <si>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</si>
  <si>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</si>
  <si>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</si>
  <si>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</si>
  <si>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</si>
  <si>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</si>
  <si>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</si>
  <si>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</si>
  <si>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</si>
  <si>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</si>
  <si>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</si>
  <si>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</si>
  <si>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</si>
  <si>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</si>
  <si>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</si>
  <si>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</si>
  <si>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</si>
  <si>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Ventura County Sheriff's Office</t>
  </si>
  <si>
    <t>A police deputy fatally shot Costa after the 21-year-old threatened and then attacked a deputy using his fists.</t>
  </si>
  <si>
    <t>http://www.vcstar.com/news/suspect-threatened-deputy-was-attacked-by-police</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</si>
  <si>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</si>
  <si>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</si>
  <si>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</si>
  <si>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</si>
  <si>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</si>
  <si>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</si>
  <si>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</si>
  <si>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</si>
  <si>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</si>
  <si>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</si>
  <si>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</si>
  <si>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</si>
  <si>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</si>
  <si>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</si>
  <si>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</si>
  <si>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</si>
  <si>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</si>
  <si>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</si>
  <si>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Deluca</t>
  </si>
  <si>
    <t>http://diversitynewsmagazine.com/wp-content/uploads/2013/09/Michael-Deluca-aka-Duke-De-Luca.jpg</t>
  </si>
  <si>
    <t>500 block Surfside Drive</t>
  </si>
  <si>
    <t>Port Hueneme</t>
  </si>
  <si>
    <t>93041</t>
  </si>
  <si>
    <t>Port Hueneme Police Department</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</si>
  <si>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</si>
  <si>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</si>
  <si>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Michael "The Duke" DeLuca</t>
  </si>
  <si>
    <t>500 block East Surfside Drive</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</si>
  <si>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</si>
  <si>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</si>
  <si>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</si>
  <si>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</si>
  <si>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</si>
  <si>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</si>
  <si>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</si>
  <si>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</si>
  <si>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</si>
  <si>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</si>
  <si>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01905</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</si>
  <si>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</si>
  <si>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</si>
  <si>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</si>
  <si>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</si>
  <si>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</si>
  <si>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</si>
  <si>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</si>
  <si>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</si>
  <si>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4600 White City Rd</t>
  </si>
  <si>
    <t>Fulton County Police Department</t>
  </si>
  <si>
    <t>An officer fatally shot a man after the man shot and wounded the officer.</t>
  </si>
  <si>
    <t>http://www.ajc.com/news/news/fulton-police-officer-shot-near-college-park/nZnPb/</t>
  </si>
  <si>
    <t>Dontre Bennett</t>
  </si>
  <si>
    <t>http://cbsbaltimore.files.wordpress.com/2013/09/donte-bennett.jpg?w=300</t>
  </si>
  <si>
    <t>200 block Spring Court</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</si>
  <si>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</si>
  <si>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</si>
  <si>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</si>
  <si>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</si>
  <si>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</si>
  <si>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</si>
  <si>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</si>
  <si>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</si>
  <si>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</si>
  <si>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</si>
  <si>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Brian Nichols</t>
  </si>
  <si>
    <t>http://www.williamsandbluitt.com/sitemaker/memsol_data/1640/1090305/1090305_profile_pic.jpg</t>
  </si>
  <si>
    <t>5800 Rockville Rd</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</si>
  <si>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</si>
  <si>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</si>
  <si>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</si>
  <si>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</si>
  <si>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</si>
  <si>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</si>
  <si>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</si>
  <si>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</si>
  <si>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</si>
  <si>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</si>
  <si>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</si>
  <si>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</si>
  <si>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</si>
  <si>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</si>
  <si>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Gary P. Beto</t>
  </si>
  <si>
    <t>1741 Brinton Ave</t>
  </si>
  <si>
    <t>Braddock</t>
  </si>
  <si>
    <t>15104</t>
  </si>
  <si>
    <t>East Pittsburgh Police Department</t>
  </si>
  <si>
    <t>Medical Emergency</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</si>
  <si>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</si>
  <si>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</si>
  <si>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</si>
  <si>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</si>
  <si>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</si>
  <si>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</si>
  <si>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</si>
  <si>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</si>
  <si>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</si>
  <si>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</si>
  <si>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</si>
  <si>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</si>
  <si>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</si>
  <si>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</si>
  <si>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</si>
  <si>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</si>
  <si>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</si>
  <si>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</si>
  <si>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</si>
  <si>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</si>
  <si>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</si>
  <si>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</si>
  <si>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</si>
  <si>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</si>
  <si>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</si>
  <si>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</si>
  <si>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</si>
  <si>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</si>
  <si>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</si>
  <si>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</si>
  <si>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</si>
  <si>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</si>
  <si>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</si>
  <si>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</si>
  <si>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</si>
  <si>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</si>
  <si>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</si>
  <si>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</si>
  <si>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</si>
  <si>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</si>
  <si>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</si>
  <si>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</si>
  <si>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Jaime Benavidez</t>
  </si>
  <si>
    <t>http://www.elkharttruth.com/image/2013/09/06/800x800_b0/0905-OBT-BENAVIDEZ-JAIME-UNK.jpg</t>
  </si>
  <si>
    <t>300 block W Hubbard Ave</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</si>
  <si>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</si>
  <si>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</si>
  <si>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</si>
  <si>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</si>
  <si>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</si>
  <si>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</si>
  <si>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</si>
  <si>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</si>
  <si>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</si>
  <si>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</si>
  <si>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</si>
  <si>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</si>
  <si>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</si>
  <si>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</si>
  <si>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</si>
  <si>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</si>
  <si>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</si>
  <si>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Michael Troy Swatosh</t>
  </si>
  <si>
    <t>http://bloximages.newyork1.vip.townnews.com/tulsaworld.com/content/tncms/assets/v3/editorial/5/2a/52ab54d4-fea5-5829-bec2-6c5960f6853b/53f57baa06a06.preview-300.jpg</t>
  </si>
  <si>
    <t>34 South Sheridan Road</t>
  </si>
  <si>
    <t>Captain George Brown was off duty, due to circumstances unknown, he was on the second floor of the Best Budget Inn and saw two men. There is no report of the specifics, but after feeling threatened the officer shot one of the unarmed men. He then stormed into the hotel room and arrested his friend. This officer was later fired after the investigation.</t>
  </si>
  <si>
    <t>http://www.newson6.com/story/23311792/off-duty-trooper-shoots-kills-man-at-tulsa-hotel</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</si>
  <si>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</si>
  <si>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</si>
  <si>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</si>
  <si>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</si>
  <si>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</si>
  <si>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</si>
  <si>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Rickey Rozelle</t>
  </si>
  <si>
    <t>http://thumbs.mugshots.com/gallery/images/2/d3/4d/Rickey-Rozelle_mugshot.400x800.jpg</t>
  </si>
  <si>
    <t>6100 block South Cottage Grove Avenue</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</si>
  <si>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</si>
  <si>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Vergel Ricafrente Worrell</t>
  </si>
  <si>
    <t>http://extras.mnginteractive.com/live/media/site571/2013/0903/20130903__0904ucshot~1_200.JPG</t>
  </si>
  <si>
    <t>32600 block Kenita Way</t>
  </si>
  <si>
    <t>Worrell reportedly fired 10 to 15 gunshots in a neighborhood in Union City. He refused to comply with the officers' demand to drop the rifle and was then shot.</t>
  </si>
  <si>
    <t>http://www.contracostatimes.com/breaking-news/ci_24015226/union-city-police-release-911-tapes-from-fatal</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</si>
  <si>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</si>
  <si>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</si>
  <si>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</si>
  <si>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</si>
  <si>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</si>
  <si>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</si>
  <si>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</si>
  <si>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</si>
  <si>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</si>
  <si>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</si>
  <si>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</si>
  <si>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</si>
  <si>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</si>
  <si>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</si>
  <si>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</si>
  <si>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</si>
  <si>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</si>
  <si>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</si>
  <si>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</si>
  <si>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</si>
  <si>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</si>
  <si>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</si>
  <si>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Van Allen</t>
  </si>
  <si>
    <t>http://assets.nydailynews.com/polopoly_fs/1.1476103.1380887768!/img/httpImage/image.jpg_gen/derivatives/article_970/dalles5n-4-web.jpg?enlarged</t>
  </si>
  <si>
    <t>The Dalles</t>
  </si>
  <si>
    <t>Biggs Junction</t>
  </si>
  <si>
    <t>97058</t>
  </si>
  <si>
    <t>Sherman</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</si>
  <si>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</si>
  <si>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</si>
  <si>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</si>
  <si>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</si>
  <si>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</si>
  <si>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</si>
  <si>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</si>
  <si>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</si>
  <si>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</si>
  <si>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2200 block Taxco Road</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</si>
  <si>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</si>
  <si>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</si>
  <si>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</si>
  <si>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John Geer</t>
  </si>
  <si>
    <t>http://img.washingtonpost.com/blogs/local/files/2014/02/Geer.jpg</t>
  </si>
  <si>
    <t>Pebble Brook Ct</t>
  </si>
  <si>
    <t>22153</t>
  </si>
  <si>
    <t>Geer was drinking and threw his girlfriend's clothes out of the house. He was talking with an officer at his doorway when he was shot to death in the chest. It is unknown why he was shot.</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</si>
  <si>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</si>
  <si>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</si>
  <si>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</si>
  <si>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</si>
  <si>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</si>
  <si>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</si>
  <si>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</si>
  <si>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</si>
  <si>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</si>
  <si>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</si>
  <si>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</si>
  <si>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</si>
  <si>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</si>
  <si>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</si>
  <si>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</si>
  <si>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</si>
  <si>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</si>
  <si>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</si>
  <si>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</si>
  <si>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</si>
  <si>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</si>
  <si>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</si>
  <si>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</si>
  <si>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</si>
  <si>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</si>
  <si>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</si>
  <si>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</si>
  <si>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</si>
  <si>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</si>
  <si>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</si>
  <si>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23000 block Riverside Dr</t>
  </si>
  <si>
    <t>Southfield</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</si>
  <si>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</si>
  <si>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</si>
  <si>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</si>
  <si>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Adam Pelkey</t>
  </si>
  <si>
    <t>Aroostook Road</t>
  </si>
  <si>
    <t>Molunkus</t>
  </si>
  <si>
    <t>04459</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</si>
  <si>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</si>
  <si>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</si>
  <si>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</si>
  <si>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</si>
  <si>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</si>
  <si>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</si>
  <si>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</si>
  <si>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</si>
  <si>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</si>
  <si>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</si>
  <si>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</si>
  <si>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</si>
  <si>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</si>
  <si>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</si>
  <si>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</si>
  <si>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</si>
  <si>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</si>
  <si>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</si>
  <si>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</si>
  <si>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</si>
  <si>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</si>
  <si>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</si>
  <si>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</si>
  <si>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</si>
  <si>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</si>
  <si>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</si>
  <si>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</si>
  <si>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</si>
  <si>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</si>
  <si>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</si>
  <si>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</si>
  <si>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</si>
  <si>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</si>
  <si>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</si>
  <si>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</si>
  <si>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</si>
  <si>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</si>
  <si>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</si>
  <si>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</si>
  <si>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</si>
  <si>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</si>
  <si>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</si>
  <si>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</si>
  <si>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</si>
  <si>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</si>
  <si>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</si>
  <si>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</si>
  <si>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</si>
  <si>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</si>
  <si>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</si>
  <si>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</si>
  <si>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</si>
  <si>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</si>
  <si>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</si>
  <si>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</si>
  <si>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</si>
  <si>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</si>
  <si>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</si>
  <si>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</si>
  <si>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</si>
  <si>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</si>
  <si>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</si>
  <si>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</si>
  <si>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</si>
  <si>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</si>
  <si>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</si>
  <si>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</si>
  <si>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</si>
  <si>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</si>
  <si>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</si>
  <si>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</si>
  <si>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</si>
  <si>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</si>
  <si>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</si>
  <si>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</si>
  <si>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 Jones</t>
  </si>
  <si>
    <t>http://www.gannett-cdn.com/-mm-/8e19a5b20305c3f633f39b7acb83bf94766adc0e/c=0-0-680-510&amp;r=x404&amp;c=534x401/http/krem-download.edgesuite.net/archive/images/092613-daniel-jones.jpg</t>
  </si>
  <si>
    <t>204 E Indiana Ave</t>
  </si>
  <si>
    <t>Jones, who was mentally ill and on medication, was driving back to the Salvation Army where he was staying with his wife Nancy and three children. He got into a car accident and fled. After the other driver called 911, police vehicles pursued and boxed Jones' truck in the Salvation Army parking lot. In an attempt to leave the parking lot, Jones hit one or two police vehicles. He was allegedly shouting for his wife and for the police to kill him. His wife screamed from an upstairs window not to shoot him because he was mentally ill. Officers Cory Lyons, Robert Collins and Scott Lesser and Lt. Kevin King fired 19 rounds and hit him 7 times.</t>
  </si>
  <si>
    <t>https://www.scribd.com/doc/218703780/Danny-Jones-Decision-Letter</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</si>
  <si>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</si>
  <si>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</si>
  <si>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</si>
  <si>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</si>
  <si>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</si>
  <si>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</si>
  <si>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</si>
  <si>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</si>
  <si>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</si>
  <si>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</si>
  <si>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</si>
  <si>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</si>
  <si>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</si>
  <si>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2400 block W Devonshire Ave</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</si>
  <si>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</si>
  <si>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</si>
  <si>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</si>
  <si>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</si>
  <si>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</si>
  <si>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</si>
  <si>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</si>
  <si>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</si>
  <si>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</si>
  <si>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</si>
  <si>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2200 Glenwood Avenue</t>
  </si>
  <si>
    <t>19132</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</si>
  <si>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</si>
  <si>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</si>
  <si>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Aaron McDaniels</t>
  </si>
  <si>
    <t>N 22nd St &amp; W Glenwood Ave</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</si>
  <si>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</si>
  <si>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</si>
  <si>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</si>
  <si>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</si>
  <si>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</si>
  <si>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</si>
  <si>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</si>
  <si>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</si>
  <si>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</si>
  <si>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</si>
  <si>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</si>
  <si>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</si>
  <si>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</si>
  <si>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</si>
  <si>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</si>
  <si>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Matthew Borner</t>
  </si>
  <si>
    <t>http://www.mentalhealthportland.org/wp-content/uploads/2013/09/Matthew-Borner.jpg</t>
  </si>
  <si>
    <t>1600 block Portland Street</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</si>
  <si>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</si>
  <si>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</si>
  <si>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</si>
  <si>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</si>
  <si>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</si>
  <si>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</si>
  <si>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</si>
  <si>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</si>
  <si>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</si>
  <si>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</si>
  <si>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</si>
  <si>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</si>
  <si>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</si>
  <si>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</si>
  <si>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</si>
  <si>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</si>
  <si>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</si>
  <si>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</si>
  <si>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Ronnie Ledesma Jr.</t>
  </si>
  <si>
    <t>http://media.bakersfieldnow.com/images/130830-Ronnie-Ledesma-Jr.jpg</t>
  </si>
  <si>
    <t>2629 Mt Vernon Ave</t>
  </si>
  <si>
    <t>Ledesma was detained by police inside a Walgreen's after the 39-year-old appeared under the influence of drugs. A fight broke out between Ledesma and police, requiring him to be transported to a hospital where later died from his injuries.</t>
  </si>
  <si>
    <t>http://www.bakersfieldnow.com/news/local/Another-man-dies-while-in-custody-of-Kern-County-Sheriffs-deputies-221753251.html</t>
  </si>
  <si>
    <t>Julio Lopez</t>
  </si>
  <si>
    <t>4402 River Bnd</t>
  </si>
  <si>
    <t>76903</t>
  </si>
  <si>
    <t>SAPD called for domestic disturbance. Suspect was in bedroom, asleep, and roused awake by SAPD officer. SAPD officer states suspect began choking the officer and fired in self defense.</t>
  </si>
  <si>
    <t>http://www.gosanangelo.com/news/wife-recalls-fatal-scuffle</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</si>
  <si>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</si>
  <si>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</si>
  <si>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</si>
  <si>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</si>
  <si>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</si>
  <si>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</si>
  <si>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</si>
  <si>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</si>
  <si>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</si>
  <si>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</si>
  <si>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</si>
  <si>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</si>
  <si>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</si>
  <si>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</si>
  <si>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</si>
  <si>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</si>
  <si>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Charles G. Carll</t>
  </si>
  <si>
    <t>http://bloximages.chicago2.vip.townnews.com/host.madison.com/content/tncms/assets/v3/editorial/7/b3/7b316144-e7a3-5cea-a540-5abe25740587/521343c5c9068.preview-699.jpg</t>
  </si>
  <si>
    <t>5200 Hammersley Road</t>
  </si>
  <si>
    <t>Madison Police Department.</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</si>
  <si>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</si>
  <si>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</si>
  <si>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</si>
  <si>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</si>
  <si>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</si>
  <si>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</si>
  <si>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</si>
  <si>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</si>
  <si>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</si>
  <si>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</si>
  <si>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</si>
  <si>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</si>
  <si>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</si>
  <si>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</si>
  <si>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</si>
  <si>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</si>
  <si>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</si>
  <si>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</si>
  <si>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</si>
  <si>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</si>
  <si>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</si>
  <si>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</si>
  <si>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</si>
  <si>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</si>
  <si>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</si>
  <si>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</si>
  <si>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</si>
  <si>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</si>
  <si>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</si>
  <si>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</si>
  <si>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</si>
  <si>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Patrick Othro Sullivan</t>
  </si>
  <si>
    <t>4081 Normandie Ave.</t>
  </si>
  <si>
    <t>Vermont Square</t>
  </si>
  <si>
    <t>As reported to the Los Angeles Times, Patrick Ortho Sullivan, 74, died after being shot in Vermont Square, according to Los Angeles County coroner's records.</t>
  </si>
  <si>
    <t>http://homicide.latimes.com/post/patrick-othro-sullivan/</t>
  </si>
  <si>
    <t>Mason Saio</t>
  </si>
  <si>
    <t>http://bloximages.chicago2.vip.townnews.com/thegardenisland.com/content/tncms/assets/v3/editorial/8/07/80745b06-07cc-11e3-9e38-0019bb2963f4/521064b21b7db.image.jpg?resize=300%2C225</t>
  </si>
  <si>
    <t>Nawiliwili Harbor</t>
  </si>
  <si>
    <t>Līhuʻe</t>
  </si>
  <si>
    <t>96766</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</si>
  <si>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</si>
  <si>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</si>
  <si>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</si>
  <si>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</si>
  <si>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</si>
  <si>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</si>
  <si>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</si>
  <si>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</si>
  <si>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</si>
  <si>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</si>
  <si>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</si>
  <si>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</si>
  <si>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</si>
  <si>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</si>
  <si>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</si>
  <si>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</si>
  <si>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</si>
  <si>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</si>
  <si>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</si>
  <si>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</si>
  <si>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</si>
  <si>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</si>
  <si>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Carlo Alcis</t>
  </si>
  <si>
    <t>375 Rockaway Parkway</t>
  </si>
  <si>
    <t>11212</t>
  </si>
  <si>
    <t>Alcis was apparently scared to death. Police raided his home at 5:30 a.m. while in pursuit of a suspect who had punched a woman in the street and taken her iPhone. The Haitian immigrant and father of eight had a fatal heart attack during the raid.</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</si>
  <si>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</si>
  <si>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</si>
  <si>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</si>
  <si>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</si>
  <si>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</si>
  <si>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</si>
  <si>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</si>
  <si>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6400 block Greenwood Road</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</si>
  <si>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</si>
  <si>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</si>
  <si>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</si>
  <si>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</si>
  <si>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</si>
  <si>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</si>
  <si>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</si>
  <si>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</si>
  <si>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</si>
  <si>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</si>
  <si>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</si>
  <si>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</si>
  <si>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</si>
  <si>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</si>
  <si>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</si>
  <si>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</si>
  <si>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</si>
  <si>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</si>
  <si>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</si>
  <si>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</si>
  <si>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</si>
  <si>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</si>
  <si>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</si>
  <si>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</si>
  <si>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</si>
  <si>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</si>
  <si>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</si>
  <si>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</si>
  <si>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</si>
  <si>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</si>
  <si>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</si>
  <si>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</si>
  <si>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</si>
  <si>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</si>
  <si>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</si>
  <si>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</si>
  <si>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2100 block West Tennyson Road</t>
  </si>
  <si>
    <t>94545</t>
  </si>
  <si>
    <t>A domestic violence suspect was fatally shot by police in his apartment after charging at officers with a knife.</t>
  </si>
  <si>
    <t>http://www.mercurynews.com/ci_23868546/hayward-police-fatally-shoot-man-knife-at-apartment</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</si>
  <si>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</si>
  <si>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</si>
  <si>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</si>
  <si>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</si>
  <si>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</si>
  <si>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</si>
  <si>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</si>
  <si>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</si>
  <si>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</si>
  <si>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</si>
  <si>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</si>
  <si>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</si>
  <si>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</si>
  <si>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</si>
  <si>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</si>
  <si>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</si>
  <si>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</si>
  <si>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</si>
  <si>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</si>
  <si>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</si>
  <si>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Alex Cora DeJesus</t>
  </si>
  <si>
    <t>http://www.policestateusa.com/wp-content/uploads/2014/06/Alex-Cora-Dejesus.png</t>
  </si>
  <si>
    <t>Prescott Street and Marlboro Street</t>
  </si>
  <si>
    <t>Keene</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</si>
  <si>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</si>
  <si>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</si>
  <si>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</si>
  <si>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</si>
  <si>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</si>
  <si>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Jack Snyder</t>
  </si>
  <si>
    <t>Downing St &amp; E 29th Ave</t>
  </si>
  <si>
    <t>80205</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</si>
  <si>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</si>
  <si>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</si>
  <si>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</si>
  <si>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</si>
  <si>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</si>
  <si>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</si>
  <si>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</si>
  <si>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</si>
  <si>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</si>
  <si>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</si>
  <si>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</si>
  <si>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</si>
  <si>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</si>
  <si>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</si>
  <si>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</si>
  <si>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</si>
  <si>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</si>
  <si>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</si>
  <si>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</si>
  <si>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</si>
  <si>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</si>
  <si>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</si>
  <si>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</si>
  <si>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</si>
  <si>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</si>
  <si>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</si>
  <si>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</si>
  <si>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</si>
  <si>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</si>
  <si>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</si>
  <si>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</si>
  <si>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</si>
  <si>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</si>
  <si>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</si>
  <si>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Russell Donahue</t>
  </si>
  <si>
    <t>http://ak-cache.legacy.net/legacy/images/Cobrands/RRStar/Photos/RRP1933723_20130821.jpg</t>
  </si>
  <si>
    <t>336 Springmeadow Dr</t>
  </si>
  <si>
    <t>Poplar Grove</t>
  </si>
  <si>
    <t>61065</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</si>
  <si>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</si>
  <si>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</si>
  <si>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</si>
  <si>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</si>
  <si>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01103</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</si>
  <si>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</si>
  <si>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</si>
  <si>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</si>
  <si>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</si>
  <si>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</si>
  <si>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</si>
  <si>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</si>
  <si>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</si>
  <si>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</si>
  <si>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</si>
  <si>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</si>
  <si>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</si>
  <si>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</si>
  <si>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</si>
  <si>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</si>
  <si>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</si>
  <si>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</si>
  <si>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</si>
  <si>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</si>
  <si>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</si>
  <si>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</si>
  <si>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</si>
  <si>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</si>
  <si>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</si>
  <si>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</si>
  <si>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</si>
  <si>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</si>
  <si>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</si>
  <si>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</si>
  <si>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</si>
  <si>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</si>
  <si>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</si>
  <si>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</si>
  <si>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</si>
  <si>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</si>
  <si>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</si>
  <si>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</si>
  <si>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</si>
  <si>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</si>
  <si>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</si>
  <si>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</si>
  <si>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</si>
  <si>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</si>
  <si>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</si>
  <si>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</si>
  <si>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</si>
  <si>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</si>
  <si>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</si>
  <si>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http://voices.suntimes.com/news/breaking-news/mom-suing-former-correctional-officer-over-fatal-road-rage-shooting/</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</si>
  <si>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</si>
  <si>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</si>
  <si>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</si>
  <si>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</si>
  <si>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</si>
  <si>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</si>
  <si>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</si>
  <si>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</si>
  <si>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</si>
  <si>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</si>
  <si>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</si>
  <si>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</si>
  <si>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http://www.kctv5.com/story/23088794/kansas-city-police-officers-shoot-armed-man</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</si>
  <si>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</si>
  <si>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</si>
  <si>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</si>
  <si>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</si>
  <si>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</si>
  <si>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</si>
  <si>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</si>
  <si>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</si>
  <si>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</si>
  <si>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</si>
  <si>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</si>
  <si>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Hector Leija</t>
  </si>
  <si>
    <t>3800 block Fleetwood Street</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</si>
  <si>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</si>
  <si>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</si>
  <si>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</si>
  <si>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</si>
  <si>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</si>
  <si>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33141</t>
  </si>
  <si>
    <t>Miami Beach graffiti artist named Israel Hernandez-Llach, known as Reefa, was injected with a Taser after a chase by police. He later died.</t>
  </si>
  <si>
    <t>http://www.huffingtonpost.com/2014/03/07/israel-hernandez-taser_n_4919108.html</t>
  </si>
  <si>
    <t>Unknown Age</t>
  </si>
  <si>
    <t>5725 Fondren Rd</t>
  </si>
  <si>
    <t>Officers were called to a gas station after a man was observed firing a gun into the air. After a short pursuit, an officer shot the man after he fired at a K-9 unit.</t>
  </si>
  <si>
    <t>http://abclocal.go.com/ktrk/story?section=news%2Flocal&amp;id=9196336</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</si>
  <si>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</si>
  <si>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</si>
  <si>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</si>
  <si>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</si>
  <si>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</si>
  <si>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</si>
  <si>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</si>
  <si>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</si>
  <si>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</si>
  <si>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</si>
  <si>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</si>
  <si>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</si>
  <si>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</si>
  <si>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</si>
  <si>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</si>
  <si>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</si>
  <si>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</si>
  <si>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</si>
  <si>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</si>
  <si>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</si>
  <si>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</si>
  <si>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</si>
  <si>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</si>
  <si>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Chris Chipman</t>
  </si>
  <si>
    <t>49</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</si>
  <si>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</si>
  <si>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</si>
  <si>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</si>
  <si>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</si>
  <si>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Eric Marquez</t>
  </si>
  <si>
    <t>Glencoe Drive and Silver Lane</t>
  </si>
  <si>
    <t>92647</t>
  </si>
  <si>
    <t>Marquez was shot by a Huntington Beach police officer after he was exiting a vehicle while brandishing a firearm.[78]</t>
  </si>
  <si>
    <t>http://articles.hbindependent.com/2013-08-08/news/tn-hbi-me-officer-shooting-20130803_1_police-officer-officer-involved-shooting-officer-involved-shooting</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</si>
  <si>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</si>
  <si>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</si>
  <si>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</si>
  <si>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</si>
  <si>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</si>
  <si>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</si>
  <si>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</si>
  <si>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</si>
  <si>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</si>
  <si>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</si>
  <si>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</si>
  <si>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</si>
  <si>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</si>
  <si>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</si>
  <si>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</si>
  <si>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</si>
  <si>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</si>
  <si>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</si>
  <si>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</si>
  <si>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</si>
  <si>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</si>
  <si>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</si>
  <si>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</si>
  <si>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Russell Rios</t>
  </si>
  <si>
    <t>http://i.dailymail.co.uk/i/pix/2014/06/12/article-2656090-1EB1689F00000578-144_306x423.jpg</t>
  </si>
  <si>
    <t>North Loop 336 West</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</si>
  <si>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</si>
  <si>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</si>
  <si>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</si>
  <si>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</si>
  <si>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Sentenced to 5 years probation.</t>
  </si>
  <si>
    <t>http://www.chron.com/neighborhood/woodlands/article/Conroe-woman-files-federal-suit-over-son-s-5009991.php</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</si>
  <si>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</si>
  <si>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</si>
  <si>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</si>
  <si>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</si>
  <si>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</si>
  <si>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</si>
  <si>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</si>
  <si>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</si>
  <si>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</si>
  <si>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</si>
  <si>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</si>
  <si>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</si>
  <si>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</si>
  <si>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</si>
  <si>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</si>
  <si>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</si>
  <si>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</si>
  <si>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</si>
  <si>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</si>
  <si>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</si>
  <si>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</si>
  <si>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</si>
  <si>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</si>
  <si>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</si>
  <si>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</si>
  <si>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</si>
  <si>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</si>
  <si>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</si>
  <si>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</si>
  <si>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Clifford O'Neal Jones</t>
  </si>
  <si>
    <t>http://media.arkansasonline.com/img/obits/2013/08/02/cliffordjones1_08032013jpg_t105.jpg?03de732e9f2f492816cb544b3263d0bbbeea84d2</t>
  </si>
  <si>
    <t>19700 block I-30 Frontage Rd</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</si>
  <si>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</si>
  <si>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</si>
  <si>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</si>
  <si>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</si>
  <si>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</si>
  <si>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</si>
  <si>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</si>
  <si>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</si>
  <si>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</si>
  <si>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</si>
  <si>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</si>
  <si>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</si>
  <si>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Michael Jermaine Lollis</t>
  </si>
  <si>
    <t>http://www.thejacksonmortuary.com/sitemaker/memsol_data/1117/1059941/1059941_profile_pic.jpg?1419787951</t>
  </si>
  <si>
    <t>35570</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</si>
  <si>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</si>
  <si>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</si>
  <si>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</si>
  <si>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</si>
  <si>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</si>
  <si>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</si>
  <si>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</si>
  <si>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</si>
  <si>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</si>
  <si>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</si>
  <si>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</si>
  <si>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</si>
  <si>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</si>
  <si>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</si>
  <si>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</si>
  <si>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</si>
  <si>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</si>
  <si>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</si>
  <si>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</si>
  <si>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</si>
  <si>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</si>
  <si>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</si>
  <si>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</si>
  <si>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</si>
  <si>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</si>
  <si>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</si>
  <si>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</si>
  <si>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</si>
  <si>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</si>
  <si>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</si>
  <si>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</si>
  <si>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</si>
  <si>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</si>
  <si>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</si>
  <si>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</si>
  <si>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Officers responding to a report of theft reportedly demanded that Stokes drop a gun and show his hands before shooting him twice, though Stokes had left his gun in a friend's car before the shooting. A jury found the officers were justified in shooting Stokes.</t>
  </si>
  <si>
    <t>http://www.kansascity.com/news/local/crime/article1315126.html</t>
  </si>
  <si>
    <t>Guadalupe Aguilar</t>
  </si>
  <si>
    <t>5200 block South Mozart Street</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</si>
  <si>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</si>
  <si>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</si>
  <si>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</si>
  <si>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</si>
  <si>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</si>
  <si>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</si>
  <si>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</si>
  <si>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Warren G. Cipriano</t>
  </si>
  <si>
    <t>Gila Bend</t>
  </si>
  <si>
    <t>85337</t>
  </si>
  <si>
    <t>Maricopa County Sheriff’s Office</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</si>
  <si>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</si>
  <si>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</si>
  <si>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Shane Allen Ryan</t>
  </si>
  <si>
    <t>http://www.indeonline.com/storyimage/OH/20130729/NEWS/307299897/AR/0/AR-307299897.jpg&amp;MaxW=315&amp;MaxH=315</t>
  </si>
  <si>
    <t>1200 block Erie Street S</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</si>
  <si>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</si>
  <si>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</si>
  <si>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</si>
  <si>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</si>
  <si>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</si>
  <si>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</si>
  <si>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</si>
  <si>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</si>
  <si>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</si>
  <si>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</si>
  <si>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</si>
  <si>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</si>
  <si>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</si>
  <si>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</si>
  <si>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</si>
  <si>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</si>
  <si>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Jose Adan Cruz Ocampo</t>
  </si>
  <si>
    <t>http://wncn.images.worldnow.com/images/24652119_BG1.jpg</t>
  </si>
  <si>
    <t>700 block Park Avenue</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</si>
  <si>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</si>
  <si>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</si>
  <si>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</si>
  <si>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</si>
  <si>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</si>
  <si>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</si>
  <si>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</si>
  <si>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</si>
  <si>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</si>
  <si>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</si>
  <si>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</si>
  <si>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</si>
  <si>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</si>
  <si>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</si>
  <si>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</si>
  <si>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</si>
  <si>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</si>
  <si>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</si>
  <si>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</si>
  <si>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</si>
  <si>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</si>
  <si>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</si>
  <si>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</si>
  <si>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</si>
  <si>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Larry Eugene Jackson Jr.</t>
  </si>
  <si>
    <t>http://media.cmgdigital.com/shared/img/photos/2014/02/10/fd/39/jackson-2012.jpg</t>
  </si>
  <si>
    <t>1901 N Lamar Blvd</t>
  </si>
  <si>
    <t>78705</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</si>
  <si>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</si>
  <si>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</si>
  <si>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</si>
  <si>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</si>
  <si>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</si>
  <si>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</si>
  <si>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</si>
  <si>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</si>
  <si>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</si>
  <si>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</si>
  <si>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</si>
  <si>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</si>
  <si>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</si>
  <si>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1300 block South Long Beach Boulevard</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</si>
  <si>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</si>
  <si>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</si>
  <si>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</si>
  <si>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</si>
  <si>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</si>
  <si>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</si>
  <si>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</si>
  <si>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</si>
  <si>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</si>
  <si>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</si>
  <si>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</si>
  <si>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</si>
  <si>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</si>
  <si>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</si>
  <si>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</si>
  <si>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</si>
  <si>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</si>
  <si>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Southaly Ketmany</t>
  </si>
  <si>
    <t>http://image2.findagrave.com/photos/2013/216/114939029_137570291585.jpg</t>
  </si>
  <si>
    <t>9000 block Crystal Rock Circle</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</si>
  <si>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</si>
  <si>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</si>
  <si>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</si>
  <si>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Jason M. Nalls</t>
  </si>
  <si>
    <t>http://www.fatalencounters.org/wp-content/uploads/2013/10/JasonM.Nalls_.jpg</t>
  </si>
  <si>
    <t>Pioneer Park</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</si>
  <si>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and was tasered to be subdued. He was handcuffed and reported that he couldn't breathe. He died on scene.</t>
  </si>
  <si>
    <t>http://www.heraldnet.com/article/20130724/NEWS03/707249910</t>
  </si>
  <si>
    <t>John J. Wheelihan</t>
  </si>
  <si>
    <t>2100 block east Cairo</t>
  </si>
  <si>
    <t>Tempe Police</t>
  </si>
  <si>
    <t>From the Arizona Republic: Tempe Narcotics officers were issuing a search warrant at a home in the 2100 block east Cairo when Wheelihan reportedly pointed a .22 caliber air rifle at officers from his backyard, Sgt. Mike Pooley said in a statement Thursday. After Wheelihan didn’t obey orders to put down the rifle, officers shot him.</t>
  </si>
  <si>
    <t>http://www.kpho.com/story/22925597/suspect-shot-dead-by-tempe-police-idd</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</si>
  <si>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</si>
  <si>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</si>
  <si>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</si>
  <si>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</si>
  <si>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</si>
  <si>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</si>
  <si>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</si>
  <si>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</si>
  <si>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</si>
  <si>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</si>
  <si>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</si>
  <si>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</si>
  <si>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Thomas Martinez Jr.</t>
  </si>
  <si>
    <t>2400 block Second Street</t>
  </si>
  <si>
    <t>Coralville</t>
  </si>
  <si>
    <t>52241</t>
  </si>
  <si>
    <t>Coralville Police Department</t>
  </si>
  <si>
    <t>Stun Gun</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</si>
  <si>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</si>
  <si>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</si>
  <si>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Deomain Hayman</t>
  </si>
  <si>
    <t>http://img01.funeralnet.com/obit_photo.php?fullsize=1&amp;id=1231342&amp;clientid=congofuneralhome&amp;iid=684910&amp;sticky=5673</t>
  </si>
  <si>
    <t>1700 block Wawaset Street</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</si>
  <si>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</si>
  <si>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</si>
  <si>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http://www.wdde.org/47326-wilmington-police-identify-man-died-custody-sunday</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</si>
  <si>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</si>
  <si>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</si>
  <si>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</si>
  <si>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</si>
  <si>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</si>
  <si>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</si>
  <si>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</si>
  <si>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</si>
  <si>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</si>
  <si>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</si>
  <si>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</si>
  <si>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</si>
  <si>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</si>
  <si>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</si>
  <si>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</si>
  <si>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James Robert Rogers Jr.</t>
  </si>
  <si>
    <t>10100 block Daventry Drive</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</si>
  <si>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</si>
  <si>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</si>
  <si>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</si>
  <si>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</si>
  <si>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</si>
  <si>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</si>
  <si>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</si>
  <si>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</si>
  <si>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</si>
  <si>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Leigh Weeden</t>
  </si>
  <si>
    <t>http://dailyrepublic.s3.amazonaws.com/files/2013/07/L-Weeden.jpg</t>
  </si>
  <si>
    <t>Grande Circle and East Tabor Avenue</t>
  </si>
  <si>
    <t>Officers stopped Weeden for a traffic violation. He fired shots at them. They fired back and Weeden was hit several times, killing him.</t>
  </si>
  <si>
    <t>http://www.dailyrepublic.com/news/crimecourts/deputy-man-shot-killed-by-fairfield-police-after-he-shot-at-officers/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</si>
  <si>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</si>
  <si>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</si>
  <si>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</si>
  <si>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</si>
  <si>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</si>
  <si>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</si>
  <si>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Howard Curtis Martin</t>
  </si>
  <si>
    <t>62</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</si>
  <si>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</si>
  <si>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</si>
  <si>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</si>
  <si>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</si>
  <si>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</si>
  <si>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</si>
  <si>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</si>
  <si>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Scott M. Murphy</t>
  </si>
  <si>
    <t>http://media.cmgdigital.com/shared/img/photos/2013/07/22/84/b6/Scott-Murphy---Latrobe-standoff-suspect.jpg</t>
  </si>
  <si>
    <t>400 block Lloyd Avenue</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</si>
  <si>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</si>
  <si>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</si>
  <si>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</si>
  <si>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</si>
  <si>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</si>
  <si>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</si>
  <si>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</si>
  <si>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</si>
  <si>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</si>
  <si>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</si>
  <si>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</si>
  <si>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</si>
  <si>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</si>
  <si>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</si>
  <si>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</si>
  <si>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</si>
  <si>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</si>
  <si>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1300 block Kitmore Road</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</si>
  <si>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</si>
  <si>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</si>
  <si>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</si>
  <si>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</si>
  <si>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</si>
  <si>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</si>
  <si>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</si>
  <si>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</si>
  <si>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</si>
  <si>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</si>
  <si>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</si>
  <si>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</si>
  <si>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</si>
  <si>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</si>
  <si>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</si>
  <si>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Byron Scott Kincade</t>
  </si>
  <si>
    <t>OR-207</t>
  </si>
  <si>
    <t>Stanfield</t>
  </si>
  <si>
    <t>97838</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</si>
  <si>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</si>
  <si>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</si>
  <si>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</si>
  <si>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Gerardo Pinedo</t>
  </si>
  <si>
    <t>http://crimeblog.dallasnews.com/files/2014/03/GerardoPinedo.jpg</t>
  </si>
  <si>
    <t>1600 block Connor Drive</t>
  </si>
  <si>
    <t>Officers responded to a call of possible breaking and entering. Arrived and ordered Pineo from home, who then attacked. Officers tasered and shot him.</t>
  </si>
  <si>
    <t>John Sebastian Snider</t>
  </si>
  <si>
    <t>http://www.allenanddahl.com/fh_live/13900/13969/images/obituaries/2176071_wlpp.jpg</t>
  </si>
  <si>
    <t>3200 block Briarwood Drive</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</si>
  <si>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</si>
  <si>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</si>
  <si>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</si>
  <si>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</si>
  <si>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Daryll Blair</t>
  </si>
  <si>
    <t>http://ww2.hdnux.com/photos/22/77/05/4976977/9/622x350.jpg</t>
  </si>
  <si>
    <t>8900 block Datapoint Drive</t>
  </si>
  <si>
    <t>78229</t>
  </si>
  <si>
    <t>Officers responded to a call at a food mart of a man acting strange. He proceeded to drive away in a police cruiser and was chased by police until he crashed, exited the vehicle and charged an officer, who fired at him, killing him.</t>
  </si>
  <si>
    <t>http://www.expressnews.com/news/local/article/Family-frustrated-by-man-s-fatal-shooting-by-cop-4695933.php</t>
  </si>
  <si>
    <t>Carlos Crompton</t>
  </si>
  <si>
    <t>http://www.baynews9.com/content/dam/news/images/2013/07/carlos-crompton-0717.jpg</t>
  </si>
  <si>
    <t>4240 14th Ave. S</t>
  </si>
  <si>
    <t>33711</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</si>
  <si>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</si>
  <si>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</si>
  <si>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Randy Baldwin</t>
  </si>
  <si>
    <t>Kentucky 40 and State Highway 580</t>
  </si>
  <si>
    <t>Oil Springs</t>
  </si>
  <si>
    <t>41256</t>
  </si>
  <si>
    <t>A state trooper took Baldwin in, finding him intoxicated at a road intersection. Baldwin's bulky clothing prevented a full search. On the drive Baldwin told the trooper that he had a gun, and would kill him unless he pulled over. The trooper pulled over and in the ensuing confrontation Baldwin ended up with a single fatal bullet to the chest.</t>
  </si>
  <si>
    <t>Juan Diaz Chavez</t>
  </si>
  <si>
    <t>1800 block West Pico Blvd.</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</si>
  <si>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</si>
  <si>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</si>
  <si>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</si>
  <si>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</si>
  <si>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400 block Central Avenue</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</si>
  <si>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</si>
  <si>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</si>
  <si>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</si>
  <si>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</si>
  <si>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</si>
  <si>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Deon Williams</t>
  </si>
  <si>
    <t>http://ionenewsone.files.wordpress.com/2013/07/williams.jpg?w=635&amp;h=362</t>
  </si>
  <si>
    <t>1100 block Adams Street</t>
  </si>
  <si>
    <t>72204</t>
  </si>
  <si>
    <t>Officers pursued a stolen car; the driver stopped and exited the vehicle and foot pursuit ensued; the officer thought he saw a handgun fall out of the suspect's waistband and fired at him.</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</si>
  <si>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</si>
  <si>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</si>
  <si>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</si>
  <si>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</si>
  <si>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</si>
  <si>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</si>
  <si>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Harold J. Bastin</t>
  </si>
  <si>
    <t>http://ak-cache.legacy.net/legacy/images/Cobrands/TheAdvertiser/Photos/LDA019839-1_20130719.jpg</t>
  </si>
  <si>
    <t>306 Chateau Place</t>
  </si>
  <si>
    <t>70503</t>
  </si>
  <si>
    <t>Lafayette Police Department</t>
  </si>
  <si>
    <t>Officers responded to call about attempted suicide, encountered armed Bastin in yard, resulting in him being shot and killed.</t>
  </si>
  <si>
    <t>http://theadvocate.com/home/6518179-125/state-police-investigate-police-shooting</t>
  </si>
  <si>
    <t>Dustin Cole</t>
  </si>
  <si>
    <t>http://myktem.com/files/2013/07/Pfc.-Dustin-Billy-Cole-KWTX-TV-630x413.jpg</t>
  </si>
  <si>
    <t>1600 block Grandon Drive</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</si>
  <si>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</si>
  <si>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</si>
  <si>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</si>
  <si>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</si>
  <si>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</si>
  <si>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</si>
  <si>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</si>
  <si>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</si>
  <si>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</si>
  <si>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</si>
  <si>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</si>
  <si>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</si>
  <si>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</si>
  <si>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</si>
  <si>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</si>
  <si>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10000 block Old Creek Road</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</si>
  <si>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</si>
  <si>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</si>
  <si>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</si>
  <si>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</si>
  <si>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</si>
  <si>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</si>
  <si>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</si>
  <si>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</si>
  <si>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</si>
  <si>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http://www.newsreview.com/imager/house-of-pain/b/original/14648624/eb2c/cover3-1.jpg</t>
  </si>
  <si>
    <t>2187 Bellcrest Circle</t>
  </si>
  <si>
    <t>Reno Police Department/SparksPolice Department (Regional Unit)</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</si>
  <si>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</si>
  <si>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</si>
  <si>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</si>
  <si>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</si>
  <si>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</si>
  <si>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</si>
  <si>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</si>
  <si>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</si>
  <si>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</si>
  <si>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</si>
  <si>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</si>
  <si>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</si>
  <si>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</si>
  <si>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</si>
  <si>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</si>
  <si>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</si>
  <si>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</si>
  <si>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Shawn Payne</t>
  </si>
  <si>
    <t>https://usgunviolence.files.wordpress.com/2014/11/shawn-maurice-payne.jpg?w=625</t>
  </si>
  <si>
    <t>I-70</t>
  </si>
  <si>
    <t>Loma</t>
  </si>
  <si>
    <t>81524</t>
  </si>
  <si>
    <t>A suspect in an attempted kidnapping and car theft in Lakewood on Tuesday night was fatally shot after he pointed a weapon at officers.</t>
  </si>
  <si>
    <t>http://www.denverpost.com/breakingnews/ci_23634479/police-suspect-violent-lakewood-crime-killed-i-70</t>
  </si>
  <si>
    <t>late teens-early 20s</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</si>
  <si>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</si>
  <si>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</si>
  <si>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</si>
  <si>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Gerald Altomare Jr.</t>
  </si>
  <si>
    <t>http://thumbs.mugshots.com/gallery/images/2/7c/df/Gerald-F-Altomare-Jr_mugshot.400x800.jpg</t>
  </si>
  <si>
    <t>Fifth Street and Dakota Avenue.</t>
  </si>
  <si>
    <t>St. Cloud</t>
  </si>
  <si>
    <t>34769</t>
  </si>
  <si>
    <t>Altomare was driving recklessly and crashed into an elementary school fence. Altomare resisted officers and police tasered him.</t>
  </si>
  <si>
    <t>http://www.wftv.com/news/news/local/police-reckless-driver-died-after-being-shocked-ta/nYkzY/</t>
  </si>
  <si>
    <t>Antonio Johnson</t>
  </si>
  <si>
    <t>http://bloximages.newyork1.vip.townnews.com/stltoday.com/content/tncms/assets/v3/editorial/9/f2/9f2648bc-9aff-5bb7-a8e2-c1890e5bbbdd/52be52ea1f7d8.preview-300.jpg</t>
  </si>
  <si>
    <t>4600 block Aubuchon Road</t>
  </si>
  <si>
    <t>Hazelwood</t>
  </si>
  <si>
    <t>63042</t>
  </si>
  <si>
    <t>Hazelwood Police Department</t>
  </si>
  <si>
    <t>Tasered, Beaten</t>
  </si>
  <si>
    <t>Johnson was pulled over because officers suspected he was driving under the influence of drugs and alcohol. They tried to arrest him, but he resisted. Officers tasered and hit Johnson with a baton. He died two days later in the hospital.</t>
  </si>
  <si>
    <t>http://www.stltoday.com/news/local/crime-and-courts/man-in-critical-condition-after-arrest-by-hazelwood-police/article_7a6a5523-2a32-51e0-b24d-b704d9024dea.html</t>
  </si>
  <si>
    <t>Herman Pickens</t>
  </si>
  <si>
    <t>http://www.news4jax.com/image/view/-/20919360/highRes/1/-/53t549z/-/Herman-Pickens--JSO-2012-mug-.jpg</t>
  </si>
  <si>
    <t>6400 block San Juan Avenue at Jammes Road</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</si>
  <si>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</si>
  <si>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</si>
  <si>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</si>
  <si>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</si>
  <si>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</si>
  <si>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</si>
  <si>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</si>
  <si>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</si>
  <si>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</si>
  <si>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</si>
  <si>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</si>
  <si>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</si>
  <si>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8100 block S Avenue 7 E</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</si>
  <si>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</si>
  <si>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</si>
  <si>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</si>
  <si>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</si>
  <si>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</si>
  <si>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</si>
  <si>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</si>
  <si>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</si>
  <si>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</si>
  <si>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</si>
  <si>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Glenn Llewellyn Briggs</t>
  </si>
  <si>
    <t>http://thumbs.mugshots.com/gallery/images/a5/fe/Glenn-Llewellyn-Briggs-mugshot-24546369.400x800.jpg</t>
  </si>
  <si>
    <t>905 East 23rd Place</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</si>
  <si>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</si>
  <si>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</si>
  <si>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</si>
  <si>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</si>
  <si>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Hernan Jaramillo</t>
  </si>
  <si>
    <t>2300 block East 21st Street</t>
  </si>
  <si>
    <t>94601</t>
  </si>
  <si>
    <t>Died after a struggle with Oakland police officers who were attempting to force him into a police vehicle.</t>
  </si>
  <si>
    <t>http://www.sfgate.com/bayarea/article/Oakland-man-dies-in-police-custody-4653384.php</t>
  </si>
  <si>
    <t>2300 block East 21st St</t>
  </si>
  <si>
    <t>Officers responded to a disturbing-the-peace call at a home, and may have removed the man from this home. They report that when they tried to place him in their vehicle "for a psychiatric evaluation" he resisted. The police stated: "During the ensuing struggle, the subject and the involved officers went to the ground. ... The subject then became unresponsive."</t>
  </si>
  <si>
    <t>http://www.insidebayarea.com/breaking-news/ci_23618853/police-man-collapses-dies-during-arrest-east-oakland</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</si>
  <si>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</si>
  <si>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</si>
  <si>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</si>
  <si>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</si>
  <si>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</si>
  <si>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</si>
  <si>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</si>
  <si>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</si>
  <si>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</si>
  <si>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</si>
  <si>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</si>
  <si>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</si>
  <si>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</si>
  <si>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</si>
  <si>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100 block Chinese Fir Court</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</si>
  <si>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</si>
  <si>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</si>
  <si>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</si>
  <si>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</si>
  <si>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</si>
  <si>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</si>
  <si>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</si>
  <si>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</si>
  <si>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</si>
  <si>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</si>
  <si>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</si>
  <si>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</si>
  <si>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Carlos D. Runyon</t>
  </si>
  <si>
    <t>http://wave.images.worldnow.com/images/22785642_BG1.jpg</t>
  </si>
  <si>
    <t>9100 block Beulah Church Road</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</si>
  <si>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</si>
  <si>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</si>
  <si>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</si>
  <si>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German Mata</t>
  </si>
  <si>
    <t>http://d3trabu2dfbdfb.cloudfront.net/2/3/2325564_300x300_1.jpeg</t>
  </si>
  <si>
    <t>1615 S. Jackson St.</t>
  </si>
  <si>
    <t>79102</t>
  </si>
  <si>
    <t>Potter</t>
  </si>
  <si>
    <t>Amarillo Police Department</t>
  </si>
  <si>
    <t>Amarillo police fatally shot a man at 1615 S. Jackson St. on Sunday after they said he pointed a replica pistol at officers.</t>
  </si>
  <si>
    <t>http://amarillo.com/news/local-news/2013-07-07/amarillo-police-shoot-kill-man-who-pointed-replica-pistol</t>
  </si>
  <si>
    <t>Roy D. Barnhart Sr.</t>
  </si>
  <si>
    <t>Main Street</t>
  </si>
  <si>
    <t>Buckner</t>
  </si>
  <si>
    <t>62819</t>
  </si>
  <si>
    <t>Buckner Police Department</t>
  </si>
  <si>
    <t>Tasered/Pepper spray/beaten</t>
  </si>
  <si>
    <t>Officers responded to a multi-party fight in progress. McKinney pepper sprayed and tasered the handcuffed Barnhart and beat him. He died a few days later. McKinney plead guilty involuntary manslaughter.</t>
  </si>
  <si>
    <t>Sentenced to 18 months</t>
  </si>
  <si>
    <t>http://thesouthern.com/news/local/isp-probes-death-of-buckner-man/article_e98fb9b0-eb79-11e2-a010-0019bb2963f4.html</t>
  </si>
  <si>
    <t>Adam Ignatz Bosch</t>
  </si>
  <si>
    <t>http://ak-cache.legacy.net/legacy/Images/Cobrands/DignityMemorial/Photos/f8811866-0e4d-4ac7-bebb-21c4a010a2bd.jpg</t>
  </si>
  <si>
    <t>3600 block Valley Way Ave.</t>
  </si>
  <si>
    <t>Norco</t>
  </si>
  <si>
    <t>92860</t>
  </si>
  <si>
    <t>Deputies recognized Bosch from arrest warrant, pulled him over, claims he then drove at one deputy, who shot and killed him.</t>
  </si>
  <si>
    <t>http://www.pe.com/articles/bosch-677879-officer-brian.html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</si>
  <si>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</si>
  <si>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</si>
  <si>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</si>
  <si>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</si>
  <si>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</si>
  <si>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</si>
  <si>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</si>
  <si>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</si>
  <si>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</si>
  <si>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</si>
  <si>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</si>
  <si>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</si>
  <si>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</si>
  <si>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</si>
  <si>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</si>
  <si>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</si>
  <si>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</si>
  <si>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</si>
  <si>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</si>
  <si>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</si>
  <si>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</si>
  <si>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</si>
  <si>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Felix Coss</t>
  </si>
  <si>
    <t>http://www.streetsblog.org/wp-content/uploads/2013/07/coss-felix.jpg</t>
  </si>
  <si>
    <t>300 block Hooper Street</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</si>
  <si>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</si>
  <si>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</si>
  <si>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</si>
  <si>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Vincent Wood</t>
  </si>
  <si>
    <t>66</t>
  </si>
  <si>
    <t>http://main.abqjournal.netdna-cdn.com/wp-content/uploads/2014/01/130725_victorWood.jpg</t>
  </si>
  <si>
    <t>San Mateo Blvd. NE and Montgomery Blvd. NE</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</si>
  <si>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</si>
  <si>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Larry Hawkins</t>
  </si>
  <si>
    <t>1113 24th St.</t>
  </si>
  <si>
    <t>50311</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</si>
  <si>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</si>
  <si>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</si>
  <si>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James Wyman McGlothlin</t>
  </si>
  <si>
    <t>http://www.northescambia.com/wp-content/uploads/2013/07/mcglothinjameswyman.jpg</t>
  </si>
  <si>
    <t>400 block 72nd Ave</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</si>
  <si>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</si>
  <si>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</si>
  <si>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</si>
  <si>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</si>
  <si>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</si>
  <si>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100 block Bellevue Ave East.</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</si>
  <si>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</si>
  <si>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</si>
  <si>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</si>
  <si>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</si>
  <si>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</si>
  <si>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</si>
  <si>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</si>
  <si>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</si>
  <si>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</si>
  <si>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</si>
  <si>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</si>
  <si>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</si>
  <si>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</si>
  <si>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Christian Green</t>
  </si>
  <si>
    <t>https://tribwgntv.files.wordpress.com/2013/07/teen-killed-by-police.jpg</t>
  </si>
  <si>
    <t>5600 block S State St</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</si>
  <si>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</si>
  <si>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</si>
  <si>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</si>
  <si>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</si>
  <si>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</si>
  <si>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</si>
  <si>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</si>
  <si>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</si>
  <si>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</si>
  <si>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</si>
  <si>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</si>
  <si>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</si>
  <si>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</si>
  <si>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</si>
  <si>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</si>
  <si>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</si>
  <si>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</si>
  <si>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</si>
  <si>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</si>
  <si>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</si>
  <si>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</si>
  <si>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</si>
  <si>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</si>
  <si>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</si>
  <si>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</si>
  <si>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</si>
  <si>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</si>
  <si>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</si>
  <si>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</si>
  <si>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</si>
  <si>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</si>
  <si>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</si>
  <si>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</si>
  <si>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</si>
  <si>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</si>
  <si>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</si>
  <si>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</si>
  <si>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</si>
  <si>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</si>
  <si>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</si>
  <si>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</si>
  <si>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</si>
  <si>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</si>
  <si>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</si>
  <si>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</si>
  <si>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</si>
  <si>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</si>
  <si>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</si>
  <si>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</si>
  <si>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</si>
  <si>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Brandon Rennie Turner</t>
  </si>
  <si>
    <t>http://katv.images.worldnow.com/images/22746228_BG1.jpg</t>
  </si>
  <si>
    <t>1910 Martin Luther King Boulevard</t>
  </si>
  <si>
    <t>Malvern</t>
  </si>
  <si>
    <t>72104</t>
  </si>
  <si>
    <t>Hot Spring</t>
  </si>
  <si>
    <t>Rockport Police Department</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</si>
  <si>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</si>
  <si>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</si>
  <si>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Jose Estrada</t>
  </si>
  <si>
    <t>http://www.bacasfuneralchapelslascruces.com/sitemaker/memsol_data/991/1029774/1029774_profile_pic.jpg</t>
  </si>
  <si>
    <t>1300 block Bronco Way</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</si>
  <si>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</si>
  <si>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</si>
  <si>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Cindy Annette Shepard</t>
  </si>
  <si>
    <t>200 block Southwest 67th Street</t>
  </si>
  <si>
    <t>Redmond</t>
  </si>
  <si>
    <t>97756</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</si>
  <si>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</si>
  <si>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</si>
  <si>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</si>
  <si>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</si>
  <si>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</si>
  <si>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</si>
  <si>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</si>
  <si>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</si>
  <si>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</si>
  <si>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Andrew Stigliano</t>
  </si>
  <si>
    <t>13 Metropolitan Ave</t>
  </si>
  <si>
    <t>01721</t>
  </si>
  <si>
    <t>Ashland Police Department.</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</si>
  <si>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</si>
  <si>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</si>
  <si>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</si>
  <si>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</si>
  <si>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</si>
  <si>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</si>
  <si>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</si>
  <si>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</si>
  <si>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</si>
  <si>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</si>
  <si>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Johnny Taylor</t>
  </si>
  <si>
    <t>33</t>
  </si>
  <si>
    <t>5000 block Parkside Ave.</t>
  </si>
  <si>
    <t>Shot to death. Police said they killed Taylor after he fired at them outside his home.</t>
  </si>
  <si>
    <t>http://www.myfoxmemphis.com/story/22737396/mpd-investigate-officer-involved-shooting-on-parkside</t>
  </si>
  <si>
    <t>George Harvey</t>
  </si>
  <si>
    <t>http://media.graytvinc.com/images/George+Harvey.jpg</t>
  </si>
  <si>
    <t>1501 Gordon Highway</t>
  </si>
  <si>
    <t>Harvey asked for police assistance. After some altercation Harvey was tasered multiple times and died.</t>
  </si>
  <si>
    <t>http://www.wafb.com/story/22726842/man-dies-after-tased-by-deputies</t>
  </si>
  <si>
    <t>12700 block Van Nuys Boulevard</t>
  </si>
  <si>
    <t>Pacoima</t>
  </si>
  <si>
    <t>91331</t>
  </si>
  <si>
    <t>The suspect turned a gun towards deputies and the deputies fired killing the suspect.</t>
  </si>
  <si>
    <t>http://www.dailynews.com/general-news/20130702/suspect-shot-dead-by-police-in-pacoima-identified</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</si>
  <si>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</si>
  <si>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</si>
  <si>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</si>
  <si>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</si>
  <si>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</si>
  <si>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</si>
  <si>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Paul M. Caruso</t>
  </si>
  <si>
    <t>163 Carlton Dr E</t>
  </si>
  <si>
    <t>Shirley</t>
  </si>
  <si>
    <t>11967</t>
  </si>
  <si>
    <t>Caruso fired 15 shots towards officers. Officers then fired at Caruso, killing him.</t>
  </si>
  <si>
    <t>http://abclocal.go.com/wabc/story?section=news%2Flocal%2Flong_island&amp;id=9156482</t>
  </si>
  <si>
    <t>Merlin Factor</t>
  </si>
  <si>
    <t>12900 block 2nd Street</t>
  </si>
  <si>
    <t>Yucaipa</t>
  </si>
  <si>
    <t>92399</t>
  </si>
  <si>
    <t>Yucaipa Sheriff's Department</t>
  </si>
  <si>
    <t>Factor fought with police and supposedly took out a gun. An officer fatally shot him.</t>
  </si>
  <si>
    <t>http://usgunviolence.wordpress.com/2013/06/29/killed-merlin-factor-yucaipa-ca/</t>
  </si>
  <si>
    <t>Christopher A. Fredette</t>
  </si>
  <si>
    <t>http://ak-cache.legacy.net/legacy/images/Cobrands/SanAntonio/Photos/2453076_245307620130704.jpg</t>
  </si>
  <si>
    <t>5100 block Galahad Drive</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</si>
  <si>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</si>
  <si>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</si>
  <si>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</si>
  <si>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</si>
  <si>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</si>
  <si>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</si>
  <si>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</si>
  <si>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</si>
  <si>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</si>
  <si>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</si>
  <si>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</si>
  <si>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</si>
  <si>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</si>
  <si>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</si>
  <si>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</si>
  <si>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</si>
  <si>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</si>
  <si>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</si>
  <si>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</si>
  <si>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</si>
  <si>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</si>
  <si>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Uniontown</t>
  </si>
  <si>
    <t>15401</t>
  </si>
  <si>
    <t>Knight had a handgun in each hand. Knight did not comply with the officer's verbal commands. The officers then opened fire, killing Knight.</t>
  </si>
  <si>
    <t>https://usgunviolence.wordpress.com/category/shot-by-police/page/4/</t>
  </si>
  <si>
    <t>Deangelo Lopez</t>
  </si>
  <si>
    <t>22</t>
  </si>
  <si>
    <t>1100 block West Arbutus Street</t>
  </si>
  <si>
    <t>Deputies responded to a call reporting a burglary in progress and found Lopez attempting to escape a house. Lopez allegedly confronted deputies and pointed a revolver at them. He was shot and killed.</t>
  </si>
  <si>
    <t>http://homicide.latimes.com/post/lopez-deangelo/</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</si>
  <si>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</si>
  <si>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</si>
  <si>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</si>
  <si>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</si>
  <si>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</si>
  <si>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Eugene Mallory</t>
  </si>
  <si>
    <t>80</t>
  </si>
  <si>
    <t>http://i.dailymail.co.uk/i/pix/2013/10/11/article-2454911-18AE46C000000578-494_634x373.jpg</t>
  </si>
  <si>
    <t>36600 block 117th Street East</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</si>
  <si>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</si>
  <si>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</si>
  <si>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</si>
  <si>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</si>
  <si>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Helen Adams</t>
  </si>
  <si>
    <t>6300 block North Federal Highway</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</si>
  <si>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</si>
  <si>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</si>
  <si>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</si>
  <si>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</si>
  <si>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</si>
  <si>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</si>
  <si>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</si>
  <si>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</si>
  <si>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</si>
  <si>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</si>
  <si>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</si>
  <si>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</si>
  <si>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</si>
  <si>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</si>
  <si>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</si>
  <si>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</si>
  <si>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</si>
  <si>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</si>
  <si>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</si>
  <si>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William McCullough</t>
  </si>
  <si>
    <t>http://cbsla.files.wordpress.com/2013/06/hemet-suspect.jpg?w=420</t>
  </si>
  <si>
    <t>40300 block Mayberry Avenue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</si>
  <si>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</si>
  <si>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</si>
  <si>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Anthony Thompson</t>
  </si>
  <si>
    <t>8000 block 45th Street</t>
  </si>
  <si>
    <t>Jurupa Valley</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</si>
  <si>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</si>
  <si>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</si>
  <si>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</si>
  <si>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</si>
  <si>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</si>
  <si>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</si>
  <si>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</si>
  <si>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</si>
  <si>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Mark Alan Chernin</t>
  </si>
  <si>
    <t>http://www.cape-coral-daily-breeze.com/photos/news/md/535433_1.jpg</t>
  </si>
  <si>
    <t>2200 block SE 15th Street</t>
  </si>
  <si>
    <t>33990</t>
  </si>
  <si>
    <t>Cape Coral Police Department</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</si>
  <si>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</si>
  <si>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</si>
  <si>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</si>
  <si>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</si>
  <si>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</si>
  <si>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</si>
  <si>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</si>
  <si>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</si>
  <si>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</si>
  <si>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</si>
  <si>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Jessica Gonzalez</t>
  </si>
  <si>
    <t>http://tribktla.files.wordpress.com/2013/06/jessica-gonzalez.jpg?w=210&amp;h=240</t>
  </si>
  <si>
    <t>800 block South Townsend Street</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</si>
  <si>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</si>
  <si>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</si>
  <si>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Damon Earl Bacy Byrd</t>
  </si>
  <si>
    <t>245 Bridge Ave.</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</si>
  <si>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</si>
  <si>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</si>
  <si>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</si>
  <si>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</si>
  <si>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</si>
  <si>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</si>
  <si>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</si>
  <si>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</si>
  <si>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</si>
  <si>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</si>
  <si>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</si>
  <si>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78664</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</si>
  <si>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</si>
  <si>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</si>
  <si>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Ceaser Joe Mendoza</t>
  </si>
  <si>
    <t>https://usgunviolence.files.wordpress.com/2014/04/cesar-mendoza.jpeg</t>
  </si>
  <si>
    <t>15613 Loukelton St.</t>
  </si>
  <si>
    <t>La Puente</t>
  </si>
  <si>
    <t>91744</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</si>
  <si>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</si>
  <si>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</si>
  <si>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</si>
  <si>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</si>
  <si>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</si>
  <si>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</si>
  <si>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</si>
  <si>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</si>
  <si>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</si>
  <si>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</si>
  <si>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</si>
  <si>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</si>
  <si>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</si>
  <si>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</si>
  <si>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</si>
  <si>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</si>
  <si>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</si>
  <si>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</si>
  <si>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</si>
  <si>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</si>
  <si>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</si>
  <si>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</si>
  <si>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</si>
  <si>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Jourdan Akili Wagner</t>
  </si>
  <si>
    <t>http://kpho.images.worldnow.com/images/22650419_BG6.jpg</t>
  </si>
  <si>
    <t>5100 block Morten Avenue</t>
  </si>
  <si>
    <t>85303</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</si>
  <si>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</si>
  <si>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</si>
  <si>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</si>
  <si>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</si>
  <si>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</si>
  <si>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</si>
  <si>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</si>
  <si>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</si>
  <si>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</si>
  <si>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Jordan R. Camp</t>
  </si>
  <si>
    <t>21</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</si>
  <si>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</si>
  <si>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</si>
  <si>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</si>
  <si>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</si>
  <si>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</si>
  <si>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</si>
  <si>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</si>
  <si>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</si>
  <si>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</si>
  <si>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</si>
  <si>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Uriel Juarez</t>
  </si>
  <si>
    <t>44</t>
  </si>
  <si>
    <t>http://cbsdallas.files.wordpress.com/2013/06/uriel-juarez1.jpg?w=420&amp;h=315</t>
  </si>
  <si>
    <t>600 block Balleywood</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</si>
  <si>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</si>
  <si>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</si>
  <si>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</si>
  <si>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</si>
  <si>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</si>
  <si>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</si>
  <si>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</si>
  <si>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</si>
  <si>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Joseph Hanegan</t>
  </si>
  <si>
    <t>6800 block North Colony Drive</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</si>
  <si>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</si>
  <si>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</si>
  <si>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</si>
  <si>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</si>
  <si>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Matthew Scott Wiese</t>
  </si>
  <si>
    <t>15200 block Meadow Road</t>
  </si>
  <si>
    <t>Lynnwood</t>
  </si>
  <si>
    <t>98087</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</si>
  <si>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</si>
  <si>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</si>
  <si>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</si>
  <si>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</si>
  <si>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</si>
  <si>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</si>
  <si>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</si>
  <si>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</si>
  <si>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</si>
  <si>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</si>
  <si>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</si>
  <si>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300 block Grant Circle</t>
  </si>
  <si>
    <t>23669</t>
  </si>
  <si>
    <t>Hampton City</t>
  </si>
  <si>
    <t>Hampton Police Division</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</si>
  <si>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CPR was administered unsuccessfully.</t>
  </si>
  <si>
    <t>http://www.13newsnow.com/story/news/local/mycity/hampton/2014/09/09/14817318/</t>
  </si>
  <si>
    <t>Thomas Robinson</t>
  </si>
  <si>
    <t>Dumont Ave &amp; Hinsdale St</t>
  </si>
  <si>
    <t>Police interrupted a mugging. The suspect shot at them, so they returned fire, shooting and killing him.</t>
  </si>
  <si>
    <t>http://www.newsday.com/news/nypd-suspect-dead-in-police-shooting-1.5519051</t>
  </si>
  <si>
    <t>Patrick O'Meara</t>
  </si>
  <si>
    <t>14900 block Washington Avenue Southwest</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</si>
  <si>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</si>
  <si>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</si>
  <si>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</si>
  <si>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Cedric Howard</t>
  </si>
  <si>
    <t>http://ww3.hdnux.com/photos/22/25/65/4808058/7/622x350.jpg</t>
  </si>
  <si>
    <t>5200 block Gawain Drive</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</si>
  <si>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</si>
  <si>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</si>
  <si>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Wilfredo Ramos</t>
  </si>
  <si>
    <t>http://www.myhighplains.com/media/lib/192/1/6/2/1627a120-699d-445f-a1f0-6e026251f222/Story.jpg</t>
  </si>
  <si>
    <t>1900 block South J Street</t>
  </si>
  <si>
    <t>93304</t>
  </si>
  <si>
    <t>Kern County Sheriff’s Office</t>
  </si>
  <si>
    <t>Drug Overdose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</si>
  <si>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</si>
  <si>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</si>
  <si>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Robert Bergeson</t>
  </si>
  <si>
    <t>59</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</si>
  <si>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</si>
  <si>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</si>
  <si>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</si>
  <si>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</si>
  <si>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</si>
  <si>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</si>
  <si>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</si>
  <si>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</si>
  <si>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</si>
  <si>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</si>
  <si>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</si>
  <si>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</si>
  <si>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</si>
  <si>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</si>
  <si>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</si>
  <si>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</si>
  <si>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</si>
  <si>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</si>
  <si>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</si>
  <si>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</si>
  <si>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Antwon Johnson</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</si>
  <si>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</si>
  <si>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</si>
  <si>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</si>
  <si>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</si>
  <si>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Joe White III</t>
  </si>
  <si>
    <t>48</t>
  </si>
  <si>
    <t>http://usgunviolence.files.wordpress.com/2014/04/joe-white-iii.jpg?w=625&amp;h=350</t>
  </si>
  <si>
    <t>15015 Monroe St.</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</si>
  <si>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</si>
  <si>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</si>
  <si>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</si>
  <si>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http://kwtv.images.worldnow.com/images/22625075_BG2.jpg</t>
  </si>
  <si>
    <t>7520 E Reno Ave.</t>
  </si>
  <si>
    <t>Midwest City</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</si>
  <si>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</si>
  <si>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</si>
  <si>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</si>
  <si>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</si>
  <si>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</si>
  <si>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</si>
  <si>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</si>
  <si>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</si>
  <si>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</si>
  <si>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</si>
  <si>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</si>
  <si>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Jonathan Demarco</t>
  </si>
  <si>
    <t>23</t>
  </si>
  <si>
    <t>http://www.beckchapels.com/sitemaker/memsol_data/1038/1013961/1013961_profile_pic.jpg</t>
  </si>
  <si>
    <t>1900 block Nicole Circle</t>
  </si>
  <si>
    <t>Jonathan Demarco allegedly shot Sarai Alexis Valdez. Demarco then allegedly raised his handgun toward two officers and both officers fired back, killing Demarco,</t>
  </si>
  <si>
    <t>http://www.statesman.com/news/news/local/two-dead-in-nicole-circle-shootings/nYMf9/</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</si>
  <si>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</si>
  <si>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</si>
  <si>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</si>
  <si>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</si>
  <si>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400 block Ohlones Street</t>
  </si>
  <si>
    <t>Officers shot and killed a 53-year-old Fremont man Sunday morning who they said carried out an armed rampage in the home he shares with his family.</t>
  </si>
  <si>
    <t>James D. Jones</t>
  </si>
  <si>
    <t>60</t>
  </si>
  <si>
    <t>4739 U.S. 50</t>
  </si>
  <si>
    <t>47558</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</si>
  <si>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</si>
  <si>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</si>
  <si>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Caleb Wade Blackburn</t>
  </si>
  <si>
    <t>https://www.meaningfulfunerals.net/fh_live/14000/14072/images/obituaries/2095823.jpg</t>
  </si>
  <si>
    <t>100 block Woodrow Avenue</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</si>
  <si>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</si>
  <si>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</si>
  <si>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</si>
  <si>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</si>
  <si>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4400 block Edgewater Dr</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</si>
  <si>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</si>
  <si>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</si>
  <si>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Recardio Shormon Clark</t>
  </si>
  <si>
    <t>http://archive.firstcoastnews.com/images/640/360/2/assetpool/images/130616023531_clark.JPG</t>
  </si>
  <si>
    <t>6900 SW 21st Lane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</si>
  <si>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</si>
  <si>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</si>
  <si>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</si>
  <si>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</si>
  <si>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Michael Westly</t>
  </si>
  <si>
    <t>15</t>
  </si>
  <si>
    <t>http://cbschicago.files.wordpress.com/2013/06/michael-westley.jpg?w=1280</t>
  </si>
  <si>
    <t>6600 block South Sangamon Avenue</t>
  </si>
  <si>
    <t>Officers were investigating gunfire. Three suspects ran. They followed Westley down an alley where he pointed a gun at them, so they shot and killed him.</t>
  </si>
  <si>
    <t>http://www.huffingtonpost.com/2013/06/17/michael-westley-shot_n_3453969.html</t>
  </si>
  <si>
    <t>Jorge Abraham Zarazua-Rubio</t>
  </si>
  <si>
    <t>25</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</si>
  <si>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</si>
  <si>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</si>
  <si>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</si>
  <si>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</si>
  <si>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</si>
  <si>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</si>
  <si>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</si>
  <si>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</si>
  <si>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</si>
  <si>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</si>
  <si>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</si>
  <si>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</si>
  <si>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</si>
  <si>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</si>
  <si>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</si>
  <si>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</si>
  <si>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</si>
  <si>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</si>
  <si>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</si>
  <si>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</si>
  <si>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</si>
  <si>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</si>
  <si>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</si>
  <si>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Wilfredo Justiniano Jr.</t>
  </si>
  <si>
    <t>41</t>
  </si>
  <si>
    <t>http://usgunviolence.files.wordpress.com/2014/04/wilfredo-justiniano-jr.jpg</t>
  </si>
  <si>
    <t>695 Hillside St.</t>
  </si>
  <si>
    <t>Randolph</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</si>
  <si>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</si>
  <si>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</si>
  <si>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</si>
  <si>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</si>
  <si>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</si>
  <si>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</si>
  <si>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</si>
  <si>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William Sage Berger</t>
  </si>
  <si>
    <t>http://image2.findagrave.com/photos250/photos/2013/292/119026428_138229804549.jpg</t>
  </si>
  <si>
    <t>5501 S. Regal St</t>
  </si>
  <si>
    <t>99223</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</si>
  <si>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</si>
  <si>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</si>
  <si>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Jeremiah B. Krubert</t>
  </si>
  <si>
    <t>http://www.lakegenevanews.net/datedimages/2013/07/09/124CD3UPl2F973B9.med.jpg</t>
  </si>
  <si>
    <t>Millard Road and Pierce Road</t>
  </si>
  <si>
    <t>Elkhorn</t>
  </si>
  <si>
    <t>53121</t>
  </si>
  <si>
    <t>Walworth</t>
  </si>
  <si>
    <t>Walworth County Sheriff's Office</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</si>
  <si>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</si>
  <si>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</si>
  <si>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Joseph Thomas Brewer Jr.</t>
  </si>
  <si>
    <t>2100 block N Shaffer St</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</si>
  <si>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</si>
  <si>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</si>
  <si>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</si>
  <si>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</si>
  <si>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Simon Buckles</t>
  </si>
  <si>
    <t>http://blogs.ocweekly.com/navelgazing/assets_c/2013/11/Simon-Halley-Buckles-thumb-200x203.jpg</t>
  </si>
  <si>
    <t>1400 block East Valencia Drive</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</si>
  <si>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</si>
  <si>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</si>
  <si>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</si>
  <si>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</si>
  <si>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</si>
  <si>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</si>
  <si>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</si>
  <si>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</si>
  <si>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</si>
  <si>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</si>
  <si>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</si>
  <si>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</si>
  <si>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</si>
  <si>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</si>
  <si>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</si>
  <si>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</si>
  <si>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</si>
  <si>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</si>
  <si>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</si>
  <si>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</si>
  <si>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</si>
  <si>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</si>
  <si>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</si>
  <si>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</si>
  <si>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</si>
  <si>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</si>
  <si>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</si>
  <si>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</si>
  <si>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</si>
  <si>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</si>
  <si>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</si>
  <si>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Joseph Paige</t>
  </si>
  <si>
    <t>https://usgunviolence.files.wordpress.com/2014/04/joseph-paige1.jpg?w=625</t>
  </si>
  <si>
    <t>I-4 and Colonial Drive</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</si>
  <si>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</si>
  <si>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</si>
  <si>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Gregory Bayne</t>
  </si>
  <si>
    <t>http://lipnews.com/site/wp-content/uploads/Gregory-Bayne11.jpg</t>
  </si>
  <si>
    <t>first block North Queen Street</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</si>
  <si>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</si>
  <si>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</si>
  <si>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</si>
  <si>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</si>
  <si>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</si>
  <si>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</si>
  <si>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</si>
  <si>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</si>
  <si>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</si>
  <si>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</si>
  <si>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</si>
  <si>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Noel Mendoza</t>
  </si>
  <si>
    <t>http://wfsb.images.worldnow.com/images/22556951_BG1.jpg</t>
  </si>
  <si>
    <t>50 W Main St</t>
  </si>
  <si>
    <t>Meriden</t>
  </si>
  <si>
    <t>06451</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</si>
  <si>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</si>
  <si>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</si>
  <si>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</si>
  <si>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</si>
  <si>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</si>
  <si>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</si>
  <si>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</si>
  <si>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</si>
  <si>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</si>
  <si>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</si>
  <si>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</si>
  <si>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</si>
  <si>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900 block Walnut St</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</si>
  <si>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</si>
  <si>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</si>
  <si>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</si>
  <si>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</si>
  <si>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</si>
  <si>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</si>
  <si>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</si>
  <si>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200 block North Wolcott Street</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</si>
  <si>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</si>
  <si>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</si>
  <si>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</si>
  <si>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</si>
  <si>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</si>
  <si>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</si>
  <si>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</si>
  <si>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</si>
  <si>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</si>
  <si>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</si>
  <si>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</si>
  <si>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</si>
  <si>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57</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</si>
  <si>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</si>
  <si>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</si>
  <si>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</si>
  <si>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Rustin Wilkerson</t>
  </si>
  <si>
    <t>21600 block Oak Street</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</si>
  <si>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</si>
  <si>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</si>
  <si>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</si>
  <si>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</si>
  <si>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</si>
  <si>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</si>
  <si>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</si>
  <si>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</si>
  <si>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</si>
  <si>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</si>
  <si>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</si>
  <si>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</si>
  <si>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</si>
  <si>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</si>
  <si>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</si>
  <si>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Craig Devon Rodgers</t>
  </si>
  <si>
    <t>Manatee Avenue and 19th Street East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</si>
  <si>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</si>
  <si>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</si>
  <si>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Gregory Allen Rosson Jr.</t>
  </si>
  <si>
    <t>http://bloximages.newyork1.vip.townnews.com/dailyprogress.com/content/tncms/assets/v3/editorial/6/a6/6a657fa6-0c5a-11e3-95ee-0019bb30f31a/521808fa1d9b3.image.jpg</t>
  </si>
  <si>
    <t>9000 block Rockfish Gap Turnpike</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</si>
  <si>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</si>
  <si>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</si>
  <si>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</si>
  <si>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</si>
  <si>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</si>
  <si>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</si>
  <si>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</si>
  <si>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</si>
  <si>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</si>
  <si>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</si>
  <si>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</si>
  <si>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</si>
  <si>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</si>
  <si>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</si>
  <si>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</si>
  <si>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</si>
  <si>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</si>
  <si>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</si>
  <si>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John Zawahri</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</si>
  <si>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</si>
  <si>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</si>
  <si>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</si>
  <si>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</si>
  <si>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</si>
  <si>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</si>
  <si>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</si>
  <si>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Seon Rose</t>
  </si>
  <si>
    <t>Upper Riverdale Road and Tara Boulevard</t>
  </si>
  <si>
    <t>30236</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</si>
  <si>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</si>
  <si>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</si>
  <si>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</si>
  <si>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</si>
  <si>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</si>
  <si>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</si>
  <si>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</si>
  <si>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</si>
  <si>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</si>
  <si>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</si>
  <si>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</si>
  <si>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</si>
  <si>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</si>
  <si>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</si>
  <si>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</si>
  <si>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</si>
  <si>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</si>
  <si>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</si>
  <si>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</si>
  <si>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</si>
  <si>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</si>
  <si>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</si>
  <si>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</si>
  <si>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</si>
  <si>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</si>
  <si>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</si>
  <si>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</si>
  <si>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</si>
  <si>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</si>
  <si>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</si>
  <si>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</si>
  <si>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</si>
  <si>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</si>
  <si>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</si>
  <si>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</si>
  <si>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Blake Compton</t>
  </si>
  <si>
    <t>http://www.coopersorrells.com/fh_live/11400/11454/images/obituaries/2112628.jpg</t>
  </si>
  <si>
    <t>1500 block N. Hwy 78</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</si>
  <si>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</si>
  <si>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</si>
  <si>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</si>
  <si>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</si>
  <si>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</si>
  <si>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</si>
  <si>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</si>
  <si>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</si>
  <si>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</si>
  <si>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</si>
  <si>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Lana Morris</t>
  </si>
  <si>
    <t>http://usgunviolence.files.wordpress.com/2014/03/lana-morris.jpg?w=625</t>
  </si>
  <si>
    <t>Camden Avenue</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</si>
  <si>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</si>
  <si>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</si>
  <si>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</si>
  <si>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</si>
  <si>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</si>
  <si>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</si>
  <si>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</si>
  <si>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</si>
  <si>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</si>
  <si>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</si>
  <si>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</si>
  <si>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</si>
  <si>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</si>
  <si>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</si>
  <si>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</si>
  <si>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</si>
  <si>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</si>
  <si>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</si>
  <si>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</si>
  <si>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</si>
  <si>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</si>
  <si>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</si>
  <si>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Ariel Russo</t>
  </si>
  <si>
    <t>http://assets.nydailynews.com/polopoly_fs/1.1362912.1370371100!/img/httpImage/image.jpg_gen/derivatives/article_970/ariel-russo.jpg?enlarged</t>
  </si>
  <si>
    <t>West 97th Street and Amsterdam Avenue</t>
  </si>
  <si>
    <t>10025</t>
  </si>
  <si>
    <t>Young Russo was killed, and her grandmother injured, as they were pinned against a streetside restaurant by a 17-year-old unlicensed driver being chased by police. He'd been pulled over for erratic driving, then pursued for fleeing a traffic stop.</t>
  </si>
  <si>
    <t>http://www.nydailynews.com/new-york/uptown/car-kills-4-year-old-girl-jumping-curb-article-1.1362549</t>
  </si>
  <si>
    <t>Luiz Urdez</t>
  </si>
  <si>
    <t>North Scovell Avenue and South State Street</t>
  </si>
  <si>
    <t>San Jacinto</t>
  </si>
  <si>
    <t>92582</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</si>
  <si>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</si>
  <si>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</si>
  <si>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Byron "Big B" Kelley</t>
  </si>
  <si>
    <t>5744 Lancaster Drive</t>
  </si>
  <si>
    <t>Shot to death in Olive Branch, Miss., by Memphis police and DEA agents.</t>
  </si>
  <si>
    <t>http://www.commercialappeal.com/news/2013/jun/04/drug-suspect-killed-in-shootout-with-officers-in/</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</si>
  <si>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</si>
  <si>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</si>
  <si>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</si>
  <si>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</si>
  <si>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</si>
  <si>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</si>
  <si>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</si>
  <si>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</si>
  <si>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</si>
  <si>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</si>
  <si>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</si>
  <si>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</si>
  <si>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Tyler Wilkins</t>
  </si>
  <si>
    <t>16</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</si>
  <si>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</si>
  <si>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</si>
  <si>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</si>
  <si>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</si>
  <si>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</si>
  <si>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</si>
  <si>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</si>
  <si>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</si>
  <si>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</si>
  <si>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</si>
  <si>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</si>
  <si>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</si>
  <si>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</si>
  <si>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</si>
  <si>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</si>
  <si>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</si>
  <si>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</si>
  <si>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</si>
  <si>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</si>
  <si>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</si>
  <si>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</si>
  <si>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</si>
  <si>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</si>
  <si>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</si>
  <si>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</si>
  <si>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</si>
  <si>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</si>
  <si>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Dwight Moorer Jr.</t>
  </si>
  <si>
    <t>http://i.dailymail.co.uk/i/pix/2013/06/03/article-2335041-1A1F599B000005DC-132_306x406.jpg</t>
  </si>
  <si>
    <t>2400 block Springdale Street</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</si>
  <si>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</si>
  <si>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</si>
  <si>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Keoshia L. Hill</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</si>
  <si>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</si>
  <si>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</si>
  <si>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Bill Jackson</t>
  </si>
  <si>
    <t>300 block 10th Street</t>
  </si>
  <si>
    <t>Dwayne Thomas witnessed the first shooting on 10th Avenue. "The man tried to tell Moorer 'It doesn't have to be this way' and put up his hands to try to defend himself, but Moorer opened fire.. bam.. bam.. bam and shot him," said Thomas.</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</si>
  <si>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</si>
  <si>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</si>
  <si>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</si>
  <si>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</si>
  <si>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</si>
  <si>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</si>
  <si>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</si>
  <si>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</si>
  <si>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Ross Batista or Baptista</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</si>
  <si>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</si>
  <si>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</si>
  <si>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</si>
  <si>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</si>
  <si>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</si>
  <si>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</si>
  <si>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</si>
  <si>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</si>
  <si>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</si>
  <si>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</si>
  <si>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</si>
  <si>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</si>
  <si>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</si>
  <si>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</si>
  <si>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</si>
  <si>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</si>
  <si>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Eliseo Mercado</t>
  </si>
  <si>
    <t>900 block Cottonwood Circle</t>
  </si>
  <si>
    <t>Corsicana</t>
  </si>
  <si>
    <t>75110</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</si>
  <si>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</si>
  <si>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</si>
  <si>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</si>
  <si>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Justin Tyler Riedisser</t>
  </si>
  <si>
    <t>71st Avenue and Indian School Road</t>
  </si>
  <si>
    <t>85033</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</si>
  <si>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</si>
  <si>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</si>
  <si>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</si>
  <si>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</si>
  <si>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</si>
  <si>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</si>
  <si>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</si>
  <si>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</si>
  <si>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</si>
  <si>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</si>
  <si>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4100 block N. McDonald Road</t>
  </si>
  <si>
    <t>Spokane County Sheriff's Office</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</si>
  <si>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</si>
  <si>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</si>
  <si>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Deion Montell Thompson</t>
  </si>
  <si>
    <t>I-95 &amp; U.S. Route 421</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</si>
  <si>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</si>
  <si>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</si>
  <si>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</si>
  <si>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</si>
  <si>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</si>
  <si>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Michael Neal Peters</t>
  </si>
  <si>
    <t>http://www.jdnews.com/polopoly_fs/1.152096.1370099123!/fileImage/httpImage/image.jpg_gen/derivatives/landscape_174/michael-neal-peters.jpg</t>
  </si>
  <si>
    <t>3100 block Highway 24</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</si>
  <si>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</si>
  <si>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</si>
  <si>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</si>
  <si>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</si>
  <si>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</si>
  <si>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</si>
  <si>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</si>
  <si>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</si>
  <si>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</si>
  <si>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</si>
  <si>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</si>
  <si>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</si>
  <si>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</si>
  <si>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Gerardo Diego Ayala</t>
  </si>
  <si>
    <t>1000 block Rosewood Court</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</si>
  <si>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</si>
  <si>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</si>
  <si>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</si>
  <si>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</si>
  <si>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</si>
  <si>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</si>
  <si>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</si>
  <si>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</si>
  <si>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</si>
  <si>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</si>
  <si>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</si>
  <si>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</si>
  <si>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</si>
  <si>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</si>
  <si>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</si>
  <si>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</si>
  <si>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</si>
  <si>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</si>
  <si>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</si>
  <si>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</si>
  <si>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Bernard Peters Jr.</t>
  </si>
  <si>
    <t>http://i.ytimg.com/vi/hXyqH-g2z7A/maxresdefault.jpg</t>
  </si>
  <si>
    <t>2400 block Ritchie Street</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</si>
  <si>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</si>
  <si>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</si>
  <si>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</si>
  <si>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</si>
  <si>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</si>
  <si>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</si>
  <si>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</si>
  <si>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</si>
  <si>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Douglas Francis Harper</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</si>
  <si>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</si>
  <si>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</si>
  <si>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</si>
  <si>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</si>
  <si>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</si>
  <si>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</si>
  <si>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</si>
  <si>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Donald T. Moskites</t>
  </si>
  <si>
    <t>Massachusetts Turnpike</t>
  </si>
  <si>
    <t>Brighton</t>
  </si>
  <si>
    <t>02135</t>
  </si>
  <si>
    <t>Massachusetts State Police Department</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</si>
  <si>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</si>
  <si>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</si>
  <si>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</si>
  <si>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</si>
  <si>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</si>
  <si>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</si>
  <si>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</si>
  <si>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</si>
  <si>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</si>
  <si>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</si>
  <si>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</si>
  <si>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</si>
  <si>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</si>
  <si>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</si>
  <si>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William Dupree</t>
  </si>
  <si>
    <t>http://bloximages.newyork1.vip.townnews.com/stltoday.com/content/tncms/assets/v3/editorial/c/c5/cc509e70-d96e-5f39-a5d6-aa8d04cbfd28/51a4eca915105.preview-620.jpg</t>
  </si>
  <si>
    <t>2100 block Farrar Avenue</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</si>
  <si>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</si>
  <si>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</si>
  <si>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</si>
  <si>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</si>
  <si>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</si>
  <si>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</si>
  <si>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</si>
  <si>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</si>
  <si>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</si>
  <si>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</si>
  <si>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</si>
  <si>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</si>
  <si>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</si>
  <si>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</si>
  <si>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</si>
  <si>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</si>
  <si>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</si>
  <si>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</si>
  <si>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</si>
  <si>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</si>
  <si>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</si>
  <si>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Theodore Dennis Vanosdall</t>
  </si>
  <si>
    <t>1200 block H Street</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</si>
  <si>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</si>
  <si>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</si>
  <si>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</si>
  <si>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</si>
  <si>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</si>
  <si>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</si>
  <si>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</si>
  <si>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</si>
  <si>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</si>
  <si>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</si>
  <si>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</si>
  <si>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</si>
  <si>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</si>
  <si>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</si>
  <si>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Ajani Mitchell</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</si>
  <si>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</si>
  <si>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</si>
  <si>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</si>
  <si>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</si>
  <si>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</si>
  <si>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</si>
  <si>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</si>
  <si>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</si>
  <si>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</si>
  <si>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</si>
  <si>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</si>
  <si>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20s-30s</t>
  </si>
  <si>
    <t>6200 block Paramount Avenue</t>
  </si>
  <si>
    <t>90805</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</si>
  <si>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</si>
  <si>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</si>
  <si>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</si>
  <si>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</si>
  <si>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</si>
  <si>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John N. Torretti</t>
  </si>
  <si>
    <t>http://www.fatalencounters.org/wp-content/uploads/2013/10/JohnN.Torretti.jpg</t>
  </si>
  <si>
    <t>8300 block Folsom Blvd</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</si>
  <si>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</si>
  <si>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</si>
  <si>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</si>
  <si>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</si>
  <si>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</si>
  <si>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</si>
  <si>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</si>
  <si>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</si>
  <si>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</si>
  <si>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</si>
  <si>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</si>
  <si>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Adolfo Vargas Tovar</t>
  </si>
  <si>
    <t>7400 block Woodridge Way</t>
  </si>
  <si>
    <t>92114</t>
  </si>
  <si>
    <t>Tovar was fatally shot by officers after he drove a car in reverse towards them. He had allegedly robbed a nearby gas station.</t>
  </si>
  <si>
    <t>http://www.cbs8.com/story/22427599/suspect-killed-in-officer-involved-shooting-identified</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</si>
  <si>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</si>
  <si>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</si>
  <si>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</si>
  <si>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</si>
  <si>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</si>
  <si>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</si>
  <si>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</si>
  <si>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</si>
  <si>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</si>
  <si>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</si>
  <si>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</si>
  <si>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</si>
  <si>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</si>
  <si>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Leonard Thomas</t>
  </si>
  <si>
    <t>200 block 55th Avenue East</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</si>
  <si>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</si>
  <si>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</si>
  <si>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</si>
  <si>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</si>
  <si>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</si>
  <si>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</si>
  <si>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</si>
  <si>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</si>
  <si>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</si>
  <si>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</si>
  <si>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</si>
  <si>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</si>
  <si>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</si>
  <si>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</si>
  <si>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8300 block Folsom Boulevard</t>
  </si>
  <si>
    <t>http://sacramento.cbslocal.com/2013/05/27/man-who-died-in-sacramento-police-custody-identified/</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</si>
  <si>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</si>
  <si>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</si>
  <si>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</si>
  <si>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</si>
  <si>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</si>
  <si>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</si>
  <si>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</si>
  <si>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</si>
  <si>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</si>
  <si>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</si>
  <si>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</si>
  <si>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</si>
  <si>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</si>
  <si>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</si>
  <si>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</si>
  <si>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</si>
  <si>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</si>
  <si>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</si>
  <si>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</si>
  <si>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Julian Dawkins</t>
  </si>
  <si>
    <t>http://images.wjla.com/communities/juian_dawkins_296.jpg</t>
  </si>
  <si>
    <t>100 block Lynhaven Drive</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</si>
  <si>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</si>
  <si>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</si>
  <si>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</si>
  <si>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</si>
  <si>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</si>
  <si>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</si>
  <si>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</si>
  <si>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</si>
  <si>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</si>
  <si>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</si>
  <si>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</si>
  <si>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5600 block Wyalusing Avenue</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</si>
  <si>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</si>
  <si>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</si>
  <si>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</si>
  <si>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</si>
  <si>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</si>
  <si>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</si>
  <si>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</si>
  <si>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</si>
  <si>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</si>
  <si>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</si>
  <si>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</si>
  <si>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</si>
  <si>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</si>
  <si>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</si>
  <si>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</si>
  <si>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</si>
  <si>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</si>
  <si>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</si>
  <si>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</si>
  <si>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</si>
  <si>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</si>
  <si>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</si>
  <si>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</si>
  <si>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</si>
  <si>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</si>
  <si>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</si>
  <si>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</si>
  <si>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Jose SiFuentes</t>
  </si>
  <si>
    <t>http://bloximages.chicago2.vip.townnews.com/news-journal.com/content/tncms/assets/v3/editorial/e/63/e6326e18-c223-11e2-ad1c-0019bb2963f4/519b86aa716a1.image.jpg</t>
  </si>
  <si>
    <t>Highway 80 and U.S. 259</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</si>
  <si>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</si>
  <si>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</si>
  <si>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Terrence Dawson</t>
  </si>
  <si>
    <t>http://localtvwreg.files.wordpress.com/2013/05/promo193202183.jpg?w=185&amp;h=103&amp;crop=1</t>
  </si>
  <si>
    <t>400 block South 1st Street</t>
  </si>
  <si>
    <t>Blytheville</t>
  </si>
  <si>
    <t>72315</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</si>
  <si>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</si>
  <si>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</si>
  <si>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</si>
  <si>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</si>
  <si>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</si>
  <si>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</si>
  <si>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</si>
  <si>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</si>
  <si>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</si>
  <si>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</si>
  <si>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6100 block Miramonte Boulevard</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</si>
  <si>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</si>
  <si>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</si>
  <si>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</si>
  <si>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John Walker</t>
  </si>
  <si>
    <t>Holly Circle and Airways Boulevard</t>
  </si>
  <si>
    <t>Died when an off-duty police officer hit the motorcycle Walker was riding while working as a traffic escort for a funeral.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</si>
  <si>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</si>
  <si>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</si>
  <si>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</si>
  <si>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</si>
  <si>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</si>
  <si>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</si>
  <si>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</si>
  <si>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</si>
  <si>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</si>
  <si>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</si>
  <si>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</si>
  <si>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</si>
  <si>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</si>
  <si>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</si>
  <si>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</si>
  <si>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</si>
  <si>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</si>
  <si>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</si>
  <si>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</si>
  <si>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</si>
  <si>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</si>
  <si>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</si>
  <si>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</si>
  <si>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Guillermo Pablo Cedano</t>
  </si>
  <si>
    <t>http://ak-cache.legacy.net/legacy/Images/Cobrands/DignityMemorial/Photos/21e8857f-18ed-459c-bf54-76bc1c67ad82.jpg</t>
  </si>
  <si>
    <t>1000 block Carob Way</t>
  </si>
  <si>
    <t>Montebello</t>
  </si>
  <si>
    <t>90640</t>
  </si>
  <si>
    <t>Montebello Police Department</t>
  </si>
  <si>
    <t>Undetermined</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</si>
  <si>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</si>
  <si>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</si>
  <si>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</si>
  <si>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</si>
  <si>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</si>
  <si>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</si>
  <si>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</si>
  <si>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</si>
  <si>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</si>
  <si>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</si>
  <si>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</si>
  <si>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</si>
  <si>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</si>
  <si>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</si>
  <si>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</si>
  <si>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</si>
  <si>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</si>
  <si>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</si>
  <si>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Jermaine Darden</t>
  </si>
  <si>
    <t>http://cbsdallas.files.wordpress.com/2013/05/377.jpg?w=420&amp;h=315</t>
  </si>
  <si>
    <t>3200 block Thannisch Avenue</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</si>
  <si>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</si>
  <si>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</si>
  <si>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</si>
  <si>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</si>
  <si>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13000 block Corcoran Street</t>
  </si>
  <si>
    <t>Eaddy, had a knife, acting suicidal, was shot but police. He died in the hospital.</t>
  </si>
  <si>
    <t>http://www.dailynews.com/general-news/20130517/pacoima-fatal-police-shooting-of-apparently-suicidal-man-probed</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</si>
  <si>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</si>
  <si>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</si>
  <si>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</si>
  <si>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</si>
  <si>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</si>
  <si>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Justin Cairns</t>
  </si>
  <si>
    <t>http://usgunviolence.files.wordpress.com/2014/03/justin-cairns1.jpg</t>
  </si>
  <si>
    <t>22000 block West Charles Road</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</si>
  <si>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</si>
  <si>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</si>
  <si>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</si>
  <si>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</si>
  <si>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</si>
  <si>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</si>
  <si>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</si>
  <si>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</si>
  <si>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</si>
  <si>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</si>
  <si>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</si>
  <si>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Kourtney Hahn</t>
  </si>
  <si>
    <t>http://wcmh.images.worldnow.com/images/22254746_BG3.jpg</t>
  </si>
  <si>
    <t>N. High Street</t>
  </si>
  <si>
    <t>Clintonville</t>
  </si>
  <si>
    <t>43214</t>
  </si>
  <si>
    <t>Kourtney Hahn and her boyfriend, Emmanuel Gatewood, who shot dead by Columbus police in Clintonville knew that police were looking for Gatewood in connection with an April 5 homicide.</t>
  </si>
  <si>
    <t>http://www.dispatch.com/content/stories/local/2013/05/16/shootout-officers-identified.html</t>
  </si>
  <si>
    <t>Emmanuel Gatewood</t>
  </si>
  <si>
    <t>http://wcmh.images.worldnow.com/images/22254746_BG5.jpg</t>
  </si>
  <si>
    <t>Gatewood and his girlfriend, Kourtney Hahn, who shot dead by Columbus police in Clintonville knew that police were looking for Gatewood in connection with an April 5 homicide.</t>
  </si>
  <si>
    <t>Louis M. Squires</t>
  </si>
  <si>
    <t>http://media.masslive.com/breakingnews/photo/2013/05/12751976-large.jpg</t>
  </si>
  <si>
    <t>18 Braddock St.</t>
  </si>
  <si>
    <t>01109</t>
  </si>
  <si>
    <t>What began as a relationship dispute, escalated when property was destroyed and Squires fired a gun. Police intervened, shooting and killing Squires.</t>
  </si>
  <si>
    <t>http://www.masslive.com/news/index.ssf/2013/05/springfield_police_records_lou.html</t>
  </si>
  <si>
    <t>Jesus Espinosa</t>
  </si>
  <si>
    <t>24 Heath Street</t>
  </si>
  <si>
    <t>06106</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</si>
  <si>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</si>
  <si>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</si>
  <si>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</si>
  <si>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</si>
  <si>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</si>
  <si>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</si>
  <si>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Christopher Dubois</t>
  </si>
  <si>
    <t>http://usgunviolence.files.wordpress.com/2014/03/christopher-dubois.jpg?w=625</t>
  </si>
  <si>
    <t>2600 block South Federal Boulevard</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</si>
  <si>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</si>
  <si>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</si>
  <si>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</si>
  <si>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</si>
  <si>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</si>
  <si>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</si>
  <si>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</si>
  <si>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</si>
  <si>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</si>
  <si>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</si>
  <si>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</si>
  <si>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</si>
  <si>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</si>
  <si>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</si>
  <si>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Gerald "Skip" Tyrone Murphy</t>
  </si>
  <si>
    <t>http://binaryapi.ap.org/7f44409a56664c5a97185e0a1f2138fc/460x.jpg</t>
  </si>
  <si>
    <t>200 block Grand Street</t>
  </si>
  <si>
    <t>08611</t>
  </si>
  <si>
    <t>Trenton Police Department SWAT</t>
  </si>
  <si>
    <t>After a murder/hostage standoff involving at least three children, officers stormed the home, shooting and killing Murphy.</t>
  </si>
  <si>
    <t>http://www.nytimes.com/2013/05/13/nyregion/trenton-hostage-standoff.html?_r=0</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</si>
  <si>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</si>
  <si>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</si>
  <si>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</si>
  <si>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</si>
  <si>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</si>
  <si>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</si>
  <si>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</si>
  <si>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</si>
  <si>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4400 block El Paulo Ct.</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</si>
  <si>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</si>
  <si>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</si>
  <si>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</si>
  <si>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</si>
  <si>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</si>
  <si>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</si>
  <si>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</si>
  <si>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</si>
  <si>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</si>
  <si>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</si>
  <si>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</si>
  <si>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</si>
  <si>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Rigoberto Arceo</t>
  </si>
  <si>
    <t>http://www.guerragutierrez.com/sitemaker/memsol_data/1722/987052/987052_profile_pic.jpg</t>
  </si>
  <si>
    <t>4105 block Walnut St</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</si>
  <si>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</si>
  <si>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</si>
  <si>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</si>
  <si>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</si>
  <si>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</si>
  <si>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</si>
  <si>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</si>
  <si>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</si>
  <si>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</si>
  <si>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</si>
  <si>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</si>
  <si>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</si>
  <si>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Terrance Terrell Franklin</t>
  </si>
  <si>
    <t>http://blogs.citypages.com/blotter/terrencefranklinrect.jpg</t>
  </si>
  <si>
    <t>2717 Bryant Avenue South</t>
  </si>
  <si>
    <t>55408</t>
  </si>
  <si>
    <t>Minneapolis Police Department</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</si>
  <si>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</si>
  <si>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</si>
  <si>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</si>
  <si>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</si>
  <si>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</si>
  <si>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</si>
  <si>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</si>
  <si>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No Charges</t>
  </si>
  <si>
    <t>http://www.myfoxphilly.com/story/23967768/minneapolis-police-update-ivan-romero-olivares-motorcycle-crash</t>
  </si>
  <si>
    <t>Jose Garcia</t>
  </si>
  <si>
    <t>Williams road and Augustine Road</t>
  </si>
  <si>
    <t>63025</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</si>
  <si>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</si>
  <si>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</si>
  <si>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William McKnight</t>
  </si>
  <si>
    <t>Springcrest Street and Almond Drive</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</si>
  <si>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</si>
  <si>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</si>
  <si>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</si>
  <si>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</si>
  <si>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</si>
  <si>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</si>
  <si>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</si>
  <si>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</si>
  <si>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</si>
  <si>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</si>
  <si>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</si>
  <si>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</si>
  <si>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</si>
  <si>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</si>
  <si>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</si>
  <si>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2000 block Eden Drive</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</si>
  <si>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</si>
  <si>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</si>
  <si>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</si>
  <si>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</si>
  <si>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</si>
  <si>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</si>
  <si>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</si>
  <si>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</si>
  <si>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</si>
  <si>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</si>
  <si>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Alberto F. Valdes</t>
  </si>
  <si>
    <t>611 NW Bronco Terrace</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</si>
  <si>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</si>
  <si>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</si>
  <si>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</si>
  <si>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</si>
  <si>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</si>
  <si>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</si>
  <si>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</si>
  <si>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</si>
  <si>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Southwest Philadelphia</t>
  </si>
  <si>
    <t>19142</t>
  </si>
  <si>
    <t>Police killed a man when he allegedly pulled out a gun while they were pursuing him for an unspecified reason.</t>
  </si>
  <si>
    <t>http://www.metro.us/local/police-shoot-kill-man-in-southwest-philadelphia/tmWmej---3fnjMDUtul2Y/</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</si>
  <si>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</si>
  <si>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</si>
  <si>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</si>
  <si>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</si>
  <si>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</si>
  <si>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</si>
  <si>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</si>
  <si>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</si>
  <si>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</si>
  <si>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Thomas Edward Pulst</t>
  </si>
  <si>
    <t>http://usgunviolence.files.wordpress.com/2014/02/thomas-edward-pulst.jpg?w=625</t>
  </si>
  <si>
    <t>2700 block Carmel Drive</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</si>
  <si>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</si>
  <si>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</si>
  <si>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</si>
  <si>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</si>
  <si>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</si>
  <si>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</si>
  <si>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</si>
  <si>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</si>
  <si>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</si>
  <si>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</si>
  <si>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Kendra Diggs</t>
  </si>
  <si>
    <t>http://www.wyliefh.com/ObituaryPhoto.php?id=1874</t>
  </si>
  <si>
    <t>1100 block N. Parrish St.</t>
  </si>
  <si>
    <t>Dibbs was killed by her fiance, an Baltimore City police officer. He later committed suicide in jail.</t>
  </si>
  <si>
    <t>http://articles.baltimoresun.com/2013-05-08/news/bs-md-officer-charged-20130508_1_james-smith-west-baltimore-officers</t>
  </si>
  <si>
    <t>Carlos Domingo Oquendo</t>
  </si>
  <si>
    <t>http://bloximages.newyork1.vip.townnews.com/dailycommercial.com/content/tncms/assets/v3/editorial/c/bf/cbfacc21-577c-52a9-a0ef-a52fa59b04b7/5238cf4204bc1.preview-300.jpg</t>
  </si>
  <si>
    <t>Lucerne Circle and Euclid Avenue</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</si>
  <si>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</si>
  <si>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</si>
  <si>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</si>
  <si>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</si>
  <si>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</si>
  <si>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</si>
  <si>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</si>
  <si>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</si>
  <si>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</si>
  <si>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</si>
  <si>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</si>
  <si>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Tywon Jones</t>
  </si>
  <si>
    <t>http://usgunviolence.files.wordpress.com/2014/02/tywon-jones1.jpg?w=625</t>
  </si>
  <si>
    <t>1300 block South Independence Boulevard</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</si>
  <si>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</si>
  <si>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</si>
  <si>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</si>
  <si>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</si>
  <si>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</si>
  <si>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</si>
  <si>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</si>
  <si>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</si>
  <si>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</si>
  <si>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</si>
  <si>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</si>
  <si>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</si>
  <si>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</si>
  <si>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</si>
  <si>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Pedro Martinez Campos</t>
  </si>
  <si>
    <t>Washington Avenue and North Citrus Avenue</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</si>
  <si>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</si>
  <si>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</si>
  <si>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</si>
  <si>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</si>
  <si>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Northwest 114th Street and 27th Avenue</t>
  </si>
  <si>
    <t>33167</t>
  </si>
  <si>
    <t>Passengers on bus called police to report armed man brandishing a gun. Police arrived and exchanged gunfire, wounding man. Man was also holding novelty grenade. Shooting occurred near college campus.</t>
  </si>
  <si>
    <t>http://www.nbcmiami.com/news/local/Miami-Dade-Police-Investigating-Shooting-By-Miami-Dade-College-North-Campus-206117031.html</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</si>
  <si>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</si>
  <si>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</si>
  <si>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</si>
  <si>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</si>
  <si>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</si>
  <si>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</si>
  <si>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</si>
  <si>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Josiah M. Fischer</t>
  </si>
  <si>
    <t>Stone Road and Hazen Road</t>
  </si>
  <si>
    <t>97053</t>
  </si>
  <si>
    <t>After a high-speed chase, Fischer crashed and an officer shot him after seeing a gun.</t>
  </si>
  <si>
    <t>http://www.katu.com/news/local/Police-shoot-kill-woman-after-pursuit-near-St-Helens-206067741.html</t>
  </si>
  <si>
    <t>Carnell Moore</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</si>
  <si>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</si>
  <si>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</si>
  <si>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</si>
  <si>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</si>
  <si>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</si>
  <si>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</si>
  <si>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Ryan Koontz</t>
  </si>
  <si>
    <t>http://lintvwane.files.wordpress.com/2014/01/ryan-koontz1.jpg?w=307</t>
  </si>
  <si>
    <t>7700-block Weymouth Court</t>
  </si>
  <si>
    <t>46825</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</si>
  <si>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</si>
  <si>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</si>
  <si>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</si>
  <si>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</si>
  <si>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</si>
  <si>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</si>
  <si>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</si>
  <si>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Julio Colon</t>
  </si>
  <si>
    <t>3290 Balltown Road</t>
  </si>
  <si>
    <t>Schenectady</t>
  </si>
  <si>
    <t>12304</t>
  </si>
  <si>
    <t>Schenectady Police Department</t>
  </si>
  <si>
    <t>The man shot held a knife to the chest of a man, whom he'd already stabbed.</t>
  </si>
  <si>
    <t>http://www.news10.com/story/22141329/police-involved-shooting-on-balltown-road</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</si>
  <si>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</si>
  <si>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</si>
  <si>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</si>
  <si>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</si>
  <si>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</si>
  <si>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</si>
  <si>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</si>
  <si>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</si>
  <si>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</si>
  <si>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</si>
  <si>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</si>
  <si>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</si>
  <si>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</si>
  <si>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</si>
  <si>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</si>
  <si>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</si>
  <si>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</si>
  <si>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</si>
  <si>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</si>
  <si>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</si>
  <si>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</si>
  <si>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</si>
  <si>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</si>
  <si>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</si>
  <si>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</si>
  <si>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</si>
  <si>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</si>
  <si>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</si>
  <si>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</si>
  <si>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</si>
  <si>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</si>
  <si>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</si>
  <si>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</si>
  <si>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</si>
  <si>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</si>
  <si>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Eddie Callaway</t>
  </si>
  <si>
    <t>http://o.aolcdn.com/dims-shared/dims3/PATCH/format/jpg/quality/82/resize/433x295/http://hss-prod.hss.aol.com/hss/storage/patch/b3059ecb92f85fa6109a83053da65c95</t>
  </si>
  <si>
    <t>B-Line trail</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</si>
  <si>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</si>
  <si>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</si>
  <si>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</si>
  <si>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</si>
  <si>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Edward Ramirez</t>
  </si>
  <si>
    <t>500 block Fairview Avenue</t>
  </si>
  <si>
    <t>Ramirez carjacked a vehicle. About five hours later, police caught up with him. He went into an apartment building and took hostages, before being shot by SWAT.</t>
  </si>
  <si>
    <t>http://egpnews.com/2013/05/suspect-in-boyle-heights-fatal-standoff-identified/</t>
  </si>
  <si>
    <t>Gary Dean Carty</t>
  </si>
  <si>
    <t>100 block Paul Stanley Road</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</si>
  <si>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</si>
  <si>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</si>
  <si>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</si>
  <si>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</si>
  <si>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</si>
  <si>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</si>
  <si>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</si>
  <si>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</si>
  <si>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</si>
  <si>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</si>
  <si>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</si>
  <si>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</si>
  <si>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</si>
  <si>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</si>
  <si>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</si>
  <si>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</si>
  <si>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</si>
  <si>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</si>
  <si>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</si>
  <si>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</si>
  <si>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</si>
  <si>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</si>
  <si>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</si>
  <si>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</si>
  <si>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</si>
  <si>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</si>
  <si>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Todd Jones</t>
  </si>
  <si>
    <t>9900 block Beach Boulevard</t>
  </si>
  <si>
    <t>32246</t>
  </si>
  <si>
    <t>Three officers shot and killed Jones after police said he stabbed his stepfather, then later charged an officer while holding a pellet gun following a nearly two-hour standoff.</t>
  </si>
  <si>
    <t>http://www.news4jax.com/news/3-officers-shoot-kill-man-in-suicide-by-cop/19968562</t>
  </si>
  <si>
    <t>Ross Darkis</t>
  </si>
  <si>
    <t>42</t>
  </si>
  <si>
    <t>215 Wilbur Street</t>
  </si>
  <si>
    <t>Vincennes</t>
  </si>
  <si>
    <t>47591</t>
  </si>
  <si>
    <t>Officers trying to subdue a man with a gun fatally shot him Monday night on his front porch. Police say Ross Darkis, 42, threatened them with the gun and was shot multiple times. He later died at the hospital.</t>
  </si>
  <si>
    <t>https://local.nixle.com/alert/4994687/</t>
  </si>
  <si>
    <t>300 block West Courtland Street</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</si>
  <si>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</si>
  <si>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</si>
  <si>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</si>
  <si>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</si>
  <si>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</si>
  <si>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</si>
  <si>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</si>
  <si>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</si>
  <si>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</si>
  <si>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</si>
  <si>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</si>
  <si>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</si>
  <si>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</si>
  <si>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Tavontae Jamar Haney</t>
  </si>
  <si>
    <t>http://lintvwane.files.wordpress.com/2014/01/tavontae-jamar-haney-19-fort-wayne.jpg?w=261</t>
  </si>
  <si>
    <t>4300 block Spatz Avenue</t>
  </si>
  <si>
    <t>46806</t>
  </si>
  <si>
    <t>Haney ran from a traffic stop, carrying a gun, police said. They chased him down an alley, shooting and killing him.</t>
  </si>
  <si>
    <t>http://wane.com/2013/04/27/man-fatally-shot-by-police-on-spatz-avenue-identified/</t>
  </si>
  <si>
    <t>Gabriel Winzer</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</si>
  <si>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</si>
  <si>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</si>
  <si>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</si>
  <si>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</si>
  <si>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</si>
  <si>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</si>
  <si>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</si>
  <si>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</si>
  <si>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</si>
  <si>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</si>
  <si>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</si>
  <si>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</si>
  <si>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</si>
  <si>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</si>
  <si>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6800 block Quebec Court</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</si>
  <si>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</si>
  <si>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</si>
  <si>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</si>
  <si>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</si>
  <si>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</si>
  <si>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</si>
  <si>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</si>
  <si>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</si>
  <si>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</si>
  <si>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</si>
  <si>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</si>
  <si>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</si>
  <si>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</si>
  <si>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</si>
  <si>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</si>
  <si>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</si>
  <si>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</si>
  <si>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</si>
  <si>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</si>
  <si>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</si>
  <si>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2600 block S. 71st St.</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</si>
  <si>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</si>
  <si>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</si>
  <si>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</si>
  <si>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Cody Point</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</si>
  <si>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</si>
  <si>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</si>
  <si>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</si>
  <si>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</si>
  <si>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</si>
  <si>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</si>
  <si>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</si>
  <si>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</si>
  <si>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</si>
  <si>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</si>
  <si>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</si>
  <si>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</si>
  <si>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</si>
  <si>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</si>
  <si>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</si>
  <si>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Felipe Corrales</t>
  </si>
  <si>
    <t>800 block Truman Street</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</si>
  <si>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</si>
  <si>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</si>
  <si>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</si>
  <si>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James Coleman</t>
  </si>
  <si>
    <t>http://localtvwiti.files.wordpress.com/2013/04/coleman.jpg?w=185&amp;h=103&amp;crop=1</t>
  </si>
  <si>
    <t>7200 block W. Mill Road</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</si>
  <si>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</si>
  <si>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</si>
  <si>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</si>
  <si>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</si>
  <si>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</si>
  <si>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</si>
  <si>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</si>
  <si>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</si>
  <si>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Brandon Smith</t>
  </si>
  <si>
    <t>6400 block Brentwood Stair Road</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</si>
  <si>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</si>
  <si>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</si>
  <si>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Amjustine Hunter</t>
  </si>
  <si>
    <t>Jackson Avenue and Lyndale Avenue</t>
  </si>
  <si>
    <t>Police said officers fatally shot Hunter when he accelerated and hit two officers who had been checking his vehicle for “suspicious” activity.</t>
  </si>
  <si>
    <t>http://www.commercialappeal.com/news/2013/apr/23/memphis-police-kill-man-who-hit-two-officers-car/</t>
  </si>
  <si>
    <t>Robert Lopez</t>
  </si>
  <si>
    <t>http://usgunviolence.files.wordpress.com/2014/01/robert-lopez.jpg?w=625</t>
  </si>
  <si>
    <t>5300 block East Ferry Drive</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</si>
  <si>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</si>
  <si>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</si>
  <si>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Herbert Babelay</t>
  </si>
  <si>
    <t>54</t>
  </si>
  <si>
    <t>http://media.cmgdigital.com/shared/lt/lt_cache/thumbnail/908/img/photos/2013/04/24/e2/6c/Herbert-Babelay-OBIT.jpg</t>
  </si>
  <si>
    <t>700 block Valdez Street</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</si>
  <si>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</si>
  <si>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</si>
  <si>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</si>
  <si>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</si>
  <si>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</si>
  <si>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</si>
  <si>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</si>
  <si>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</si>
  <si>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</si>
  <si>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Larry Hooker</t>
  </si>
  <si>
    <t>2700 block Edmondson Avenue</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</si>
  <si>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</si>
  <si>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</si>
  <si>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Michael Everett Morgan</t>
  </si>
  <si>
    <t>1170 W. State Road 434</t>
  </si>
  <si>
    <t>Longwood</t>
  </si>
  <si>
    <t>32750</t>
  </si>
  <si>
    <t>Seminole County Sheriff's Office</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</si>
  <si>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</si>
  <si>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</si>
  <si>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Victor Johnson</t>
  </si>
  <si>
    <t>400 block Freeland Avenue</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</si>
  <si>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</si>
  <si>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</si>
  <si>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</si>
  <si>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</si>
  <si>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</si>
  <si>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</si>
  <si>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</si>
  <si>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</si>
  <si>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</si>
  <si>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</si>
  <si>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</si>
  <si>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</si>
  <si>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</si>
  <si>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</si>
  <si>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</si>
  <si>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</si>
  <si>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</si>
  <si>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</si>
  <si>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</si>
  <si>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</si>
  <si>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800 block West Park Avenue</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</si>
  <si>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</si>
  <si>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</si>
  <si>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</si>
  <si>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</si>
  <si>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</si>
  <si>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Fred Bradford Jr.</t>
  </si>
  <si>
    <t>http://cityhallblog.dallasnews.com/files/2013/11/FredBradfordJr.jpeg</t>
  </si>
  <si>
    <t>3100 Julius Schepps Fwy</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</si>
  <si>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</si>
  <si>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</si>
  <si>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</si>
  <si>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</si>
  <si>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</si>
  <si>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</si>
  <si>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</si>
  <si>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</si>
  <si>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</si>
  <si>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</si>
  <si>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</si>
  <si>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</si>
  <si>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</si>
  <si>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Demps, with a considerable criminal record, carjacked a white pickup truck at a restaurant. The owner called 911, and the pickup was quickly spotted. Demps pulled into a Marriott parking lot, was seen making a gesture towards his waistband, and was fatally shot.</t>
  </si>
  <si>
    <t>Jonathan Pimentel</t>
  </si>
  <si>
    <t>http://ksaz.images.worldnow.com/images/22032057_BG3.jpg</t>
  </si>
  <si>
    <t>79th Avenue and Indian School Road</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</si>
  <si>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</si>
  <si>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</si>
  <si>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</si>
  <si>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</si>
  <si>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</si>
  <si>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</si>
  <si>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</si>
  <si>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</si>
  <si>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</si>
  <si>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</si>
  <si>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</si>
  <si>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</si>
  <si>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</si>
  <si>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</si>
  <si>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</si>
  <si>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</si>
  <si>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</si>
  <si>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</si>
  <si>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</si>
  <si>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</si>
  <si>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</si>
  <si>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</si>
  <si>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</si>
  <si>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</si>
  <si>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</si>
  <si>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</si>
  <si>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</si>
  <si>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</si>
  <si>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</si>
  <si>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Julie Serna Gonzales</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</si>
  <si>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</si>
  <si>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</si>
  <si>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</si>
  <si>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</si>
  <si>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</si>
  <si>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</si>
  <si>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Anthony Howard</t>
  </si>
  <si>
    <t>8800 block Cross Country Place</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</si>
  <si>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</si>
  <si>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</si>
  <si>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</si>
  <si>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4400 block West Olive Avenue</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</si>
  <si>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</si>
  <si>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</si>
  <si>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</si>
  <si>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</si>
  <si>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100 block West Main Street</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</si>
  <si>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</si>
  <si>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</si>
  <si>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</si>
  <si>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</si>
  <si>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</si>
  <si>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</si>
  <si>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</si>
  <si>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</si>
  <si>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</si>
  <si>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</si>
  <si>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</si>
  <si>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</si>
  <si>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</si>
  <si>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John R. Monroe</t>
  </si>
  <si>
    <t>3400-block Foster Avenue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</si>
  <si>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</si>
  <si>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</si>
  <si>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</si>
  <si>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</si>
  <si>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</si>
  <si>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</si>
  <si>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</si>
  <si>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</si>
  <si>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</si>
  <si>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</si>
  <si>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</si>
  <si>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</si>
  <si>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</si>
  <si>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</si>
  <si>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</si>
  <si>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</si>
  <si>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</si>
  <si>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</si>
  <si>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</si>
  <si>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</si>
  <si>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Lisa Renee Miller</t>
  </si>
  <si>
    <t>1501 Coal City Road</t>
  </si>
  <si>
    <t>West Virginia State Police Department</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</si>
  <si>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</si>
  <si>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</si>
  <si>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</si>
  <si>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</si>
  <si>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</si>
  <si>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</si>
  <si>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</si>
  <si>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</si>
  <si>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</si>
  <si>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Margarito Martinez Gallegos</t>
  </si>
  <si>
    <t>1500 block Hackberry Street</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</si>
  <si>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</si>
  <si>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</si>
  <si>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</si>
  <si>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</si>
  <si>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</si>
  <si>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Dale Wilkerson</t>
  </si>
  <si>
    <t>900 block De Haro Street</t>
  </si>
  <si>
    <t>Wilkerson allegedly charged at police with a hammer after a stabbing was reported in the area.</t>
  </si>
  <si>
    <t>http://www.sfexaminer.com/blogs/law-and-disorder/2013/04/san-francisco-police-shoot-hammer-wielding-man-dead</t>
  </si>
  <si>
    <t>Dylan Samuel-Peters</t>
  </si>
  <si>
    <t>East 56th Street in the East Flatbush</t>
  </si>
  <si>
    <t>Off duty police kills 1-year-old child, boyfriend and self.</t>
  </si>
  <si>
    <t>http://newyork.cbslocal.com/2013/04/15/police-3-dead-in-brooklyn-shooting/</t>
  </si>
  <si>
    <t>Dason Peters</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</si>
  <si>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</si>
  <si>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</si>
  <si>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</si>
  <si>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</si>
  <si>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</si>
  <si>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</si>
  <si>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</si>
  <si>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</si>
  <si>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</si>
  <si>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</si>
  <si>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</si>
  <si>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</si>
  <si>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</si>
  <si>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</si>
  <si>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</si>
  <si>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</si>
  <si>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</si>
  <si>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</si>
  <si>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</si>
  <si>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</si>
  <si>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</si>
  <si>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Nicholas Peterson</t>
  </si>
  <si>
    <t>2800 block 99th Avenue NE</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</si>
  <si>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</si>
  <si>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</si>
  <si>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</si>
  <si>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</si>
  <si>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</si>
  <si>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Adam James Stevens</t>
  </si>
  <si>
    <t>http://www.fatalencounters.org/wp-content/uploads/2013/10/AdamJamesStevens.jpg</t>
  </si>
  <si>
    <t>800 block Kimball Road</t>
  </si>
  <si>
    <t>Red Bluff</t>
  </si>
  <si>
    <t>96080</t>
  </si>
  <si>
    <t>Red Bluff Police Department</t>
  </si>
  <si>
    <t>Officers were responding to a man breaking into an apartment.</t>
  </si>
  <si>
    <t>http://www.redbluffdailynews.com/ci_23052803/red-bluff-police-officers-cleared-shooting</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</si>
  <si>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</si>
  <si>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</si>
  <si>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</si>
  <si>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</si>
  <si>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</si>
  <si>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</si>
  <si>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</si>
  <si>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</si>
  <si>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</si>
  <si>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</si>
  <si>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</si>
  <si>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</si>
  <si>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</si>
  <si>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</si>
  <si>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</si>
  <si>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</si>
  <si>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</si>
  <si>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Raleigh Police Department</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</si>
  <si>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</si>
  <si>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</si>
  <si>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Edgar Villareal</t>
  </si>
  <si>
    <t>4049 Agnes Ave</t>
  </si>
  <si>
    <t>As reported to the Los Angeles Times, Edgar Villareal, 25, died after being shot in Lynwood, according to Los Angeles County coroner's records.</t>
  </si>
  <si>
    <t>http://homicide.latimes.com/post/edgar-villareal/</t>
  </si>
  <si>
    <t>Stacy Stout</t>
  </si>
  <si>
    <t>http://kwtv.images.worldnow.com/images/21936844_BG2.jpg</t>
  </si>
  <si>
    <t>S.E. 44th and I-36</t>
  </si>
  <si>
    <t>73129</t>
  </si>
  <si>
    <t>Stout was shot and killed by OKCPD officers after attempting to flee the scene where a warrant was being served by US Marshals.</t>
  </si>
  <si>
    <t>http://www.newson6.com/story/21936844/suspects-officers-identified-in-se-okc-officer-involved-shooting</t>
  </si>
  <si>
    <t>Christopher Lee Stout</t>
  </si>
  <si>
    <t>http://kwtv.images.worldnow.com/images/21936844_BG1.jpg</t>
  </si>
  <si>
    <t>S.E. 44th and I-35</t>
  </si>
  <si>
    <t>Alexander Wilson</t>
  </si>
  <si>
    <t>http://media.phoenixnewtimes.com/a-teen-s-shooting-death-was-avoidable-even-if-the-cops-call-it-justified.8730666.40.jpg</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</si>
  <si>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</si>
  <si>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</si>
  <si>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</si>
  <si>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</si>
  <si>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</si>
  <si>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</si>
  <si>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</si>
  <si>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</si>
  <si>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</si>
  <si>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</si>
  <si>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</si>
  <si>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</si>
  <si>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http://www.news-journalonline.com/article/20130406/news/130409845?tc=ar</t>
  </si>
  <si>
    <t>Wilbur Frederick Miller II</t>
  </si>
  <si>
    <t>http://matchbin-assets.s3.amazonaws.com/public/sites/312/assets/GBLQ_obitpicWeb_miller.jpg</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</si>
  <si>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</si>
  <si>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</si>
  <si>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</si>
  <si>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</si>
  <si>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</si>
  <si>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</si>
  <si>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</si>
  <si>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</si>
  <si>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</si>
  <si>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</si>
  <si>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</si>
  <si>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</si>
  <si>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</si>
  <si>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Kristina A. Almase</t>
  </si>
  <si>
    <t>I-95 and Ives Dairy Road</t>
  </si>
  <si>
    <t>33179</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</si>
  <si>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</si>
  <si>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</si>
  <si>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</si>
  <si>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Lily Marie Azarcon</t>
  </si>
  <si>
    <t>Albertson Anthony Almase</t>
  </si>
  <si>
    <t>Dennis Ryan Rinon Ortiz</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</si>
  <si>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</si>
  <si>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</si>
  <si>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</si>
  <si>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</si>
  <si>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</si>
  <si>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Sheri P. Brower</t>
  </si>
  <si>
    <t>8800 block Northwest Seventh Court</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</si>
  <si>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</si>
  <si>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</si>
  <si>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</si>
  <si>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</si>
  <si>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</si>
  <si>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</si>
  <si>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</si>
  <si>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</si>
  <si>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</si>
  <si>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</si>
  <si>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</si>
  <si>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</si>
  <si>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</si>
  <si>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</si>
  <si>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</si>
  <si>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</si>
  <si>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Broderick Huggins</t>
  </si>
  <si>
    <t>33rd Avenue and San Leandro Street</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</si>
  <si>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</si>
  <si>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</si>
  <si>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</si>
  <si>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</si>
  <si>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</si>
  <si>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</si>
  <si>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</si>
  <si>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</si>
  <si>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</si>
  <si>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</si>
  <si>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</si>
  <si>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</si>
  <si>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</si>
  <si>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</si>
  <si>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</si>
  <si>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</si>
  <si>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</si>
  <si>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</si>
  <si>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</si>
  <si>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</si>
  <si>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</si>
  <si>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</si>
  <si>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</si>
  <si>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</si>
  <si>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</si>
  <si>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</si>
  <si>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</si>
  <si>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</si>
  <si>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</si>
  <si>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</si>
  <si>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</si>
  <si>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</si>
  <si>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</si>
  <si>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</si>
  <si>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</si>
  <si>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</si>
  <si>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</si>
  <si>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</si>
  <si>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</si>
  <si>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</si>
  <si>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1800 block Pierce Road</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</si>
  <si>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</si>
  <si>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</si>
  <si>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Russell Lydell Smith</t>
  </si>
  <si>
    <t>http://www.fatalencounters.org/wp-content/uploads/2013/10/RussellLydellSmith.jpg</t>
  </si>
  <si>
    <t>5000 block 43rd Avenue South</t>
  </si>
  <si>
    <t>98118</t>
  </si>
  <si>
    <t>Bellevue Police Departmen</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</si>
  <si>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</si>
  <si>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</si>
  <si>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</si>
  <si>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</si>
  <si>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</si>
  <si>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</si>
  <si>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</si>
  <si>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</si>
  <si>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</si>
  <si>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</si>
  <si>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</si>
  <si>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</si>
  <si>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</si>
  <si>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</si>
  <si>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</si>
  <si>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</si>
  <si>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</si>
  <si>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</si>
  <si>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</si>
  <si>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</si>
  <si>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Kenneth Knight</t>
  </si>
  <si>
    <t>http://usgunviolence.files.wordpress.com/2013/11/kenneth-knight.jpg?w=625</t>
  </si>
  <si>
    <t>3000 block Holton Street</t>
  </si>
  <si>
    <t>Knight allegedly shot a woman before taking a child hostage. After several hours, SWAT shot Knight, killing him. The child was removed unharmed.</t>
  </si>
  <si>
    <t>http://wane.com/2013/03/20/3-year-old-safe-after-police-kill-hostage-taker-murder-suspect/</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</si>
  <si>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</si>
  <si>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</si>
  <si>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</si>
  <si>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</si>
  <si>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</si>
  <si>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</si>
  <si>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</si>
  <si>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</si>
  <si>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</si>
  <si>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</si>
  <si>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</si>
  <si>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</si>
  <si>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</si>
  <si>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</si>
  <si>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</si>
  <si>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</si>
  <si>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</si>
  <si>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</si>
  <si>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</si>
  <si>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2700 block Murtha Drive</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</si>
  <si>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</si>
  <si>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</si>
  <si>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</si>
  <si>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</si>
  <si>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</si>
  <si>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</si>
  <si>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</si>
  <si>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</si>
  <si>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</si>
  <si>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</si>
  <si>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</si>
  <si>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</si>
  <si>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</si>
  <si>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</si>
  <si>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</si>
  <si>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</si>
  <si>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</si>
  <si>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</si>
  <si>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</si>
  <si>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</si>
  <si>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</si>
  <si>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</si>
  <si>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Tyrique Rashad Johnson</t>
  </si>
  <si>
    <t>10333 Technology Blvd E</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</si>
  <si>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</si>
  <si>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</si>
  <si>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John Harris</t>
  </si>
  <si>
    <t>200 block North Homan Avenue</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</si>
  <si>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</si>
  <si>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</si>
  <si>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</si>
  <si>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</si>
  <si>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</si>
  <si>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</si>
  <si>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</si>
  <si>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</si>
  <si>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</si>
  <si>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</si>
  <si>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</si>
  <si>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</si>
  <si>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</si>
  <si>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</si>
  <si>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</si>
  <si>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</si>
  <si>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</si>
  <si>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</si>
  <si>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</si>
  <si>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</si>
  <si>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</si>
  <si>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</si>
  <si>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</si>
  <si>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</si>
  <si>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</si>
  <si>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</si>
  <si>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</si>
  <si>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100 block South Queen Street</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</si>
  <si>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</si>
  <si>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</si>
  <si>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</si>
  <si>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</si>
  <si>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</si>
  <si>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Jose Manuel Cantu</t>
  </si>
  <si>
    <t>100 block Stony Mont Drive</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</si>
  <si>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</si>
  <si>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</si>
  <si>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</si>
  <si>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</si>
  <si>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</si>
  <si>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</si>
  <si>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</si>
  <si>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</si>
  <si>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</si>
  <si>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</si>
  <si>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</si>
  <si>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Austin Ryan Thomas</t>
  </si>
  <si>
    <t>https://usgunviolence.files.wordpress.com/2013/11/austin-ryan-thomas.jpg?w=625</t>
  </si>
  <si>
    <t>23000 block Greenfield Road</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</si>
  <si>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</si>
  <si>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</si>
  <si>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</si>
  <si>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</si>
  <si>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</si>
  <si>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</si>
  <si>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</si>
  <si>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</si>
  <si>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</si>
  <si>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</si>
  <si>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</si>
  <si>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</si>
  <si>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</si>
  <si>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</si>
  <si>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</si>
  <si>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</si>
  <si>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</si>
  <si>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</si>
  <si>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</si>
  <si>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</si>
  <si>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</si>
  <si>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</si>
  <si>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</si>
  <si>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</si>
  <si>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Clinton Roebexar Allen</t>
  </si>
  <si>
    <t>http://www.kesq.com/image/view/-/21256528/medRes/1/-/maxh/360/maxw/640/-/u2ngwpz/-/shirar-jpg.jpg</t>
  </si>
  <si>
    <t>3300 block Southern Oaks Boulevard</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</si>
  <si>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</si>
  <si>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</si>
  <si>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</si>
  <si>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</si>
  <si>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</si>
  <si>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</si>
  <si>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</si>
  <si>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</si>
  <si>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</si>
  <si>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</si>
  <si>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</si>
  <si>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</si>
  <si>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</si>
  <si>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</si>
  <si>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</si>
  <si>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</si>
  <si>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</si>
  <si>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</si>
  <si>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</si>
  <si>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</si>
  <si>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</si>
  <si>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</si>
  <si>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</si>
  <si>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</si>
  <si>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</si>
  <si>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</si>
  <si>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</si>
  <si>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</si>
  <si>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</si>
  <si>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</si>
  <si>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</si>
  <si>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</si>
  <si>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</si>
  <si>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</si>
  <si>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</si>
  <si>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</si>
  <si>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</si>
  <si>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</si>
  <si>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</si>
  <si>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</si>
  <si>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</si>
  <si>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</si>
  <si>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</si>
  <si>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</si>
  <si>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</si>
  <si>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</si>
  <si>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</si>
  <si>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</si>
  <si>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</si>
  <si>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</si>
  <si>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</si>
  <si>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</si>
  <si>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</si>
  <si>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</si>
  <si>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</si>
  <si>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</si>
  <si>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</si>
  <si>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</si>
  <si>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</si>
  <si>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</si>
  <si>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Adam Christian Donohue</t>
  </si>
  <si>
    <t>Spanish River Boulevard and Military Trail</t>
  </si>
  <si>
    <t>33431</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</si>
  <si>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</si>
  <si>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</si>
  <si>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</si>
  <si>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</si>
  <si>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</si>
  <si>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</si>
  <si>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</si>
  <si>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</si>
  <si>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</si>
  <si>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</si>
  <si>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</si>
  <si>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</si>
  <si>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</si>
  <si>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</si>
  <si>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</si>
  <si>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</si>
  <si>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Jason Glover</t>
  </si>
  <si>
    <t>https://jasonilosglover.files.wordpress.com/2013/08/wpid-jason-glover.jpg</t>
  </si>
  <si>
    <t>28260 LA-435</t>
  </si>
  <si>
    <t>Abita Springs</t>
  </si>
  <si>
    <t>70420</t>
  </si>
  <si>
    <t>St. Tammany</t>
  </si>
  <si>
    <t>St. Tammany Parish Sheriff's Office</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</si>
  <si>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</si>
  <si>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</si>
  <si>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</si>
  <si>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</si>
  <si>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</si>
  <si>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</si>
  <si>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</si>
  <si>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</si>
  <si>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</si>
  <si>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</si>
  <si>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</si>
  <si>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</si>
  <si>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</si>
  <si>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</si>
  <si>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5600 block Lebanon Avenue</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</si>
  <si>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</si>
  <si>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</si>
  <si>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</si>
  <si>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</si>
  <si>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</si>
  <si>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</si>
  <si>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</si>
  <si>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</si>
  <si>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</si>
  <si>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Eulice Troy Kelley</t>
  </si>
  <si>
    <t>http://wltz.images.worldnow.com/images/21532130_BG1.jpg</t>
  </si>
  <si>
    <t>Oates Avenue</t>
  </si>
  <si>
    <t>31904</t>
  </si>
  <si>
    <t>Police were responding to a domestic dispute. Officers shot and killed Kelley after he allegedly fired a weapon at them.</t>
  </si>
  <si>
    <t>http://www.wltz.com/story/21532130/gbi-probing-officer-involved-shooting</t>
  </si>
  <si>
    <t>Terence Anderson</t>
  </si>
  <si>
    <t>4100 block Turner Ave.</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</si>
  <si>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</si>
  <si>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</si>
  <si>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Venancio Perez-Najera</t>
  </si>
  <si>
    <t>S Wichita St. and W Harry St.</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</si>
  <si>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</si>
  <si>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</si>
  <si>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</si>
  <si>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</si>
  <si>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</si>
  <si>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</si>
  <si>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</si>
  <si>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</si>
  <si>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</si>
  <si>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</si>
  <si>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</si>
  <si>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</si>
  <si>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</si>
  <si>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Anthony Desean Meeks</t>
  </si>
  <si>
    <t>https://usgunviolence.files.wordpress.com/2013/10/anthony-desean-meeks.jpg?w=625</t>
  </si>
  <si>
    <t>300 block Freedom St. SW</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</si>
  <si>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</si>
  <si>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</si>
  <si>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</si>
  <si>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</si>
  <si>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Jimmy James Garza Jr.</t>
  </si>
  <si>
    <t>http://ww1.hdnux.com/photos/20/25/44/4282668/4/622x350.jpg</t>
  </si>
  <si>
    <t>900 block Drury Lane</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</si>
  <si>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</si>
  <si>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</si>
  <si>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</si>
  <si>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Santiago A. Cisneros III</t>
  </si>
  <si>
    <t>http://media.oregonlive.com/portland_impact/photo/santiagocisnerosiiijpg-025988f7e1c6d421.jpg</t>
  </si>
  <si>
    <t>NE 7th and Lloyd Blvd.</t>
  </si>
  <si>
    <t>97232</t>
  </si>
  <si>
    <t>Portland Police Bureau</t>
  </si>
  <si>
    <t>Cisneros confronted two North Precinct police officers atop a garage at Northeast Lloyd Boulevard and Seventh Avenue. He fired with a shotgun.</t>
  </si>
  <si>
    <t>http://www.oregonlive.com/portland/index.ssf/2013/04/transcript_released_of_grand_j.html</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</si>
  <si>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</si>
  <si>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</si>
  <si>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</si>
  <si>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</si>
  <si>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</si>
  <si>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</si>
  <si>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</si>
  <si>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</si>
  <si>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</si>
  <si>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</si>
  <si>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</si>
  <si>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</si>
  <si>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</si>
  <si>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</si>
  <si>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</si>
  <si>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</si>
  <si>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</si>
  <si>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</si>
  <si>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Amos G. Smith</t>
  </si>
  <si>
    <t>http://usgunviolence.files.wordpress.com/2013/10/amos-g-smith.jpg?w=625</t>
  </si>
  <si>
    <t>Dyer Street south of Meteor Way</t>
  </si>
  <si>
    <t>Smith was pulled over by officers and attempted to flee, police say. Police shot and killed him after he allegedly pointed a gun at officers.</t>
  </si>
  <si>
    <t>http://www.contracostatimes.com/breaking-news/ci_24362149/union-city-police-shoot-kill-parolee-armed-pipe</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</si>
  <si>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</si>
  <si>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</si>
  <si>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</si>
  <si>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</si>
  <si>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</si>
  <si>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</si>
  <si>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</si>
  <si>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</si>
  <si>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</si>
  <si>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</si>
  <si>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</si>
  <si>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</si>
  <si>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</si>
  <si>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</si>
  <si>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</si>
  <si>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</si>
  <si>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</si>
  <si>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</si>
  <si>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</si>
  <si>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</si>
  <si>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John Stanley Schaefer</t>
  </si>
  <si>
    <t>http://media.cmgdigital.com/shared/lt/lt_cache/resize/300x300/img/photos/2013/03/12/38/dc/John-Schaefer-OBIT.jpg</t>
  </si>
  <si>
    <t>10000 block Lanshire Drive</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</si>
  <si>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</si>
  <si>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</si>
  <si>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</si>
  <si>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</si>
  <si>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</si>
  <si>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</si>
  <si>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</si>
  <si>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</si>
  <si>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</si>
  <si>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4911 Dumfries Dr</t>
  </si>
  <si>
    <t>77096</t>
  </si>
  <si>
    <t>Suspect charged at officer with scissors in his hand.  Officer fearing for his life, discharged weapon at suspect multiple times.  Suspect was struck with multiple rounds and collapsed to the ground and died.</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</si>
  <si>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</si>
  <si>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</si>
  <si>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</si>
  <si>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</si>
  <si>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Jack Sun Keewatinawin</t>
  </si>
  <si>
    <t>http://www.mynorthwest.com/emedia/seattle/9/956/95625.jpg?filter=mynw/335wide</t>
  </si>
  <si>
    <t>10100 block 4th Avenue NW</t>
  </si>
  <si>
    <t>98177</t>
  </si>
  <si>
    <t>Police were answering a domestic violence dispute between subject and his father.</t>
  </si>
  <si>
    <t>http://blog.seattlepi.com/seattle911/2013/02/27/court-docs-man-shot-by-police-was-schizophrenic-sex-offender/</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</si>
  <si>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</si>
  <si>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</si>
  <si>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</si>
  <si>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</si>
  <si>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</si>
  <si>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</si>
  <si>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Jeremy Goulet</t>
  </si>
  <si>
    <t>http://extras.mnginteractive.com/live/media/site6/2013/0227/20130227_122600_sscs0227goulet01_GALLERY.jpg</t>
  </si>
  <si>
    <t>800 block North Branciforte Avenue</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</si>
  <si>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</si>
  <si>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</si>
  <si>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</si>
  <si>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</si>
  <si>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</si>
  <si>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</si>
  <si>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</si>
  <si>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</si>
  <si>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</si>
  <si>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</si>
  <si>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</si>
  <si>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</si>
  <si>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</si>
  <si>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</si>
  <si>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</si>
  <si>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</si>
  <si>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</si>
  <si>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</si>
  <si>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</si>
  <si>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</si>
  <si>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</si>
  <si>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</si>
  <si>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</si>
  <si>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</si>
  <si>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</si>
  <si>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</si>
  <si>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</si>
  <si>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</si>
  <si>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</si>
  <si>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</si>
  <si>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</si>
  <si>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</si>
  <si>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</si>
  <si>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</si>
  <si>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</si>
  <si>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</si>
  <si>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</si>
  <si>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</si>
  <si>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</si>
  <si>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</si>
  <si>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</si>
  <si>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</si>
  <si>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</si>
  <si>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</si>
  <si>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</si>
  <si>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</si>
  <si>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</si>
  <si>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</si>
  <si>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200 block S. Adelbert Avenue</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</si>
  <si>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</si>
  <si>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</si>
  <si>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</si>
  <si>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</si>
  <si>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Taser/illegal restraints</t>
  </si>
  <si>
    <t>Jose Elias Mata</t>
  </si>
  <si>
    <t>http://usgunviolence.files.wordpress.com/2013/10/jose-elias-mata.jpg?w=625</t>
  </si>
  <si>
    <t>7400 block Kitty Hawk</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</si>
  <si>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</si>
  <si>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</si>
  <si>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</si>
  <si>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</si>
  <si>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</si>
  <si>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</si>
  <si>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</si>
  <si>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</si>
  <si>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Ryo Oyamada</t>
  </si>
  <si>
    <t>http://assets.dnainfo.com/generated/photo/2013/08/ryo-oyamada-1377121223.jpg/larger.jpg</t>
  </si>
  <si>
    <t>40th Avenue and 10th Street</t>
  </si>
  <si>
    <t>Long Island City</t>
  </si>
  <si>
    <t>11101</t>
  </si>
  <si>
    <t>Oyamada was struck and killed by a speeding NYPD patrol car. The incident is remarkable for the extent of the police cover-up afterward, some elements of which have been objectively proven as fabricated.</t>
  </si>
  <si>
    <t>http://gothamist.com/2014/08/20/ryo_oyamada_video.php</t>
  </si>
  <si>
    <t>Christopher Allen Taylor</t>
  </si>
  <si>
    <t>6400 block Keynote St.</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</si>
  <si>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</si>
  <si>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</si>
  <si>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</si>
  <si>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Saturnino Perez De La Rosa</t>
  </si>
  <si>
    <t>North Howard Street and Oak Street</t>
  </si>
  <si>
    <t>18102</t>
  </si>
  <si>
    <t>Allentown Police Department</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</si>
  <si>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</si>
  <si>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</si>
  <si>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</si>
  <si>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</si>
  <si>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</si>
  <si>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</si>
  <si>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</si>
  <si>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</si>
  <si>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Clifton Thomson</t>
  </si>
  <si>
    <t>http://extras.mnginteractive.com/live/media/site515/2013/0910/20130910_074057_thomson_200.jpeg</t>
  </si>
  <si>
    <t>400 block Hykes Mill Road</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</si>
  <si>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</si>
  <si>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</si>
  <si>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</si>
  <si>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</si>
  <si>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Stephen O'Neal Wattley II</t>
  </si>
  <si>
    <t>http://usgunviolence.files.wordpress.com/2013/09/stephen-oneal-wattley-ii1.jpg?w=625</t>
  </si>
  <si>
    <t>1900 block Hobson Road</t>
  </si>
  <si>
    <t>46805</t>
  </si>
  <si>
    <t>Wattley was killed after he allegedly robbed a drugstore, fled the scene and pointed an assault rifle at two officers, police said.</t>
  </si>
  <si>
    <t>http://www.journalgazette.com/article/20130221/LOCAL07/302219987</t>
  </si>
  <si>
    <t>Keith Williamson</t>
  </si>
  <si>
    <t>Courtney Campbell Causeway</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</si>
  <si>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</si>
  <si>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</si>
  <si>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</si>
  <si>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</si>
  <si>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</si>
  <si>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</si>
  <si>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</si>
  <si>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</si>
  <si>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Javier Reyes</t>
  </si>
  <si>
    <t>5400 block Alpaca Circle</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</si>
  <si>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</si>
  <si>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</si>
  <si>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</si>
  <si>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</si>
  <si>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</si>
  <si>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</si>
  <si>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</si>
  <si>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</si>
  <si>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</si>
  <si>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</si>
  <si>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</si>
  <si>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</si>
  <si>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</si>
  <si>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</si>
  <si>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</si>
  <si>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Taft Sellers</t>
  </si>
  <si>
    <t>http://alextimes.com/wp-content/uploads/2013/02/Taft-Sellers.jpeg</t>
  </si>
  <si>
    <t>3400 block Duke St.</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</si>
  <si>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</si>
  <si>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</si>
  <si>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</si>
  <si>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</si>
  <si>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Kevin William Hassell</t>
  </si>
  <si>
    <t>http://www.annarbor.com/assets_c/2013/02/Kevin_Hassell-thumb-150x181-135041.jpg</t>
  </si>
  <si>
    <t>8200 block Twilight Drive</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</si>
  <si>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</si>
  <si>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</si>
  <si>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</si>
  <si>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</si>
  <si>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</si>
  <si>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</si>
  <si>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3400 block Nut Plains Drive</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</si>
  <si>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</si>
  <si>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</si>
  <si>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</si>
  <si>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</si>
  <si>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</si>
  <si>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</si>
  <si>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</si>
  <si>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</si>
  <si>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</si>
  <si>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</si>
  <si>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</si>
  <si>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</si>
  <si>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</si>
  <si>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</si>
  <si>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</si>
  <si>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</si>
  <si>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</si>
  <si>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</si>
  <si>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</si>
  <si>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Alberto Morales</t>
  </si>
  <si>
    <t>http://a57.foxnews.com/global.fncstatic.com/static/876/493/AlbertoMorales.jpg?ve=1&amp;tl=1</t>
  </si>
  <si>
    <t>2100 block Forest Hills Road</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</si>
  <si>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</si>
  <si>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</si>
  <si>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</si>
  <si>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</si>
  <si>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</si>
  <si>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</si>
  <si>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</si>
  <si>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</si>
  <si>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</si>
  <si>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</si>
  <si>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</si>
  <si>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</si>
  <si>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</si>
  <si>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</si>
  <si>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</si>
  <si>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400 block South Atlantic Avenue</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</si>
  <si>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</si>
  <si>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</si>
  <si>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</si>
  <si>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</si>
  <si>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</si>
  <si>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</si>
  <si>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</si>
  <si>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</si>
  <si>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</si>
  <si>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</si>
  <si>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Kayla Moore</t>
  </si>
  <si>
    <t>http://www.berkeleyside.com/wp-content/uploads/2014/02/xavier-peace-sign.jpeg</t>
  </si>
  <si>
    <t>2116 Allston Way</t>
  </si>
  <si>
    <t>94704</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</si>
  <si>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</si>
  <si>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</si>
  <si>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</si>
  <si>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</si>
  <si>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</si>
  <si>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</si>
  <si>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</si>
  <si>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</si>
  <si>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</si>
  <si>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</si>
  <si>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</si>
  <si>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</si>
  <si>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</si>
  <si>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</si>
  <si>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</si>
  <si>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</si>
  <si>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</si>
  <si>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</si>
  <si>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</si>
  <si>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</si>
  <si>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</si>
  <si>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</si>
  <si>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</si>
  <si>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</si>
  <si>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</si>
  <si>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40200 block Mimulus Way</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</si>
  <si>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</si>
  <si>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</si>
  <si>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</si>
  <si>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</si>
  <si>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</si>
  <si>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</si>
  <si>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</si>
  <si>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</si>
  <si>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</si>
  <si>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</si>
  <si>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</si>
  <si>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</si>
  <si>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</si>
  <si>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</si>
  <si>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</si>
  <si>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</si>
  <si>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</si>
  <si>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</si>
  <si>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</si>
  <si>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</si>
  <si>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</si>
  <si>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</si>
  <si>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</si>
  <si>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</si>
  <si>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</si>
  <si>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</si>
  <si>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</si>
  <si>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</si>
  <si>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</si>
  <si>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</si>
  <si>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</si>
  <si>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</si>
  <si>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</si>
  <si>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</si>
  <si>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</si>
  <si>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</si>
  <si>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</si>
  <si>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</si>
  <si>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</si>
  <si>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</si>
  <si>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</si>
  <si>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</si>
  <si>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</si>
  <si>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</si>
  <si>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</si>
  <si>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</si>
  <si>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</si>
  <si>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</si>
  <si>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</si>
  <si>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</si>
  <si>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</si>
  <si>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</si>
  <si>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</si>
  <si>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</si>
  <si>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</si>
  <si>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</si>
  <si>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</si>
  <si>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</si>
  <si>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</si>
  <si>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</si>
  <si>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</si>
  <si>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</si>
  <si>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</si>
  <si>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</si>
  <si>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</si>
  <si>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</si>
  <si>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Price Robinson Perrin</t>
  </si>
  <si>
    <t>1300 block Maple Ave.</t>
  </si>
  <si>
    <t>Harlingen</t>
  </si>
  <si>
    <t>78550</t>
  </si>
  <si>
    <t>Harlingen Police Department</t>
  </si>
  <si>
    <t>Officers responded to a report of a domestic disturbance. They arrived to witness a man shoot a woman in the chest. The officers fatally shot the man.</t>
  </si>
  <si>
    <t>http://www.valleymorningstar.com/news/local_news/article_1cab6d48-6f4d-11e2-ae87-0019bb30f31a.html?mode=jqm</t>
  </si>
  <si>
    <t>Kristopher Charles Gagliardi</t>
  </si>
  <si>
    <t>http://www.innocentdown.org/wp-content/uploads/2013/02/kristofer-gagliardi.jpg</t>
  </si>
  <si>
    <t>500 block Westview Lane</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</si>
  <si>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</si>
  <si>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</si>
  <si>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</si>
  <si>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</si>
  <si>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</si>
  <si>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</si>
  <si>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</si>
  <si>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</si>
  <si>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</si>
  <si>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</si>
  <si>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</si>
  <si>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Ronette Morales</t>
  </si>
  <si>
    <t>http://img01.funeralnet.com/obit_photo.php?type=obit&amp;fullsize=1&amp;id=1322663&amp;clientid=pipkinbraswell&amp;rand=1424279682</t>
  </si>
  <si>
    <t>305 Park Avenue West</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</si>
  <si>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</si>
  <si>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</si>
  <si>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</si>
  <si>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</si>
  <si>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700 block Blaine Avenue</t>
  </si>
  <si>
    <t>­Fillmore</t>
  </si>
  <si>
    <t>93015</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</si>
  <si>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</si>
  <si>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</si>
  <si>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</si>
  <si>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</si>
  <si>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</si>
  <si>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</si>
  <si>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</si>
  <si>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</si>
  <si>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</si>
  <si>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</si>
  <si>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</si>
  <si>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</si>
  <si>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</si>
  <si>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</si>
  <si>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</si>
  <si>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</si>
  <si>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</si>
  <si>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</si>
  <si>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</si>
  <si>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</si>
  <si>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</si>
  <si>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</si>
  <si>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</si>
  <si>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William Joseph Perneau</t>
  </si>
  <si>
    <t>http://usgunviolence.files.wordpress.com/2013/08/william-joseph-perneau.jpg?w=625</t>
  </si>
  <si>
    <t>495 Mid America Drive</t>
  </si>
  <si>
    <t>Pryor Creek</t>
  </si>
  <si>
    <t>74361</t>
  </si>
  <si>
    <t>Mayes County Sheriff's Office</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</si>
  <si>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</si>
  <si>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</si>
  <si>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Ishmael Muhammad</t>
  </si>
  <si>
    <t>http://whtm.images.worldnow.com/images/20753798_BG6.JPG</t>
  </si>
  <si>
    <t>100 block Evergreen Street</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</si>
  <si>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</si>
  <si>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</si>
  <si>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</si>
  <si>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</si>
  <si>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</si>
  <si>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</si>
  <si>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</si>
  <si>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33021</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</si>
  <si>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</si>
  <si>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</si>
  <si>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</si>
  <si>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</si>
  <si>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</si>
  <si>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</si>
  <si>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</si>
  <si>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Randall Davis</t>
  </si>
  <si>
    <t>http://ak-cache.legacy.net/legacy/images/cobrands/fresnobee/photos/fbee_288829_02062013_02_07_2013.jpg?v=0x000000002b4c4a2f</t>
  </si>
  <si>
    <t>5000 block East Thomas Avenue</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</si>
  <si>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</si>
  <si>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</si>
  <si>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</si>
  <si>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</si>
  <si>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</si>
  <si>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</si>
  <si>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</si>
  <si>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</si>
  <si>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</si>
  <si>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Devin Peterson</t>
  </si>
  <si>
    <t>http://i.huffpost.com/gen/969899/thumbs/o-DEVIN-PETERSON-facebook.jpg</t>
  </si>
  <si>
    <t>Interstate 80 Eb Fy/Mile Marker 23</t>
  </si>
  <si>
    <t>Fernley</t>
  </si>
  <si>
    <t>89408</t>
  </si>
  <si>
    <t>Lyon</t>
  </si>
  <si>
    <t>Gunshot/suicide</t>
  </si>
  <si>
    <t>During a traffic stop, Devin Peterson, a felon on probation for carrying a concealed weapon, managed to steal a trooper's cruiser and use his shotgun to carjack another vehicle. The chase ended with Peterson shooting himself in the chest with the officer's weapon near Fernley. Some 109 pounds of pot was found wrapped in packages in the back of the vehicle.</t>
  </si>
  <si>
    <t>http://www.huffingtonpost.com/2013/02/01/devin-peterson-100-pounds-marijuana-carjacking-police_n_2598163.html</t>
  </si>
  <si>
    <t>Brandon Culpepper</t>
  </si>
  <si>
    <t>900 block Olive Road</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</si>
  <si>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</si>
  <si>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</si>
  <si>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</si>
  <si>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</si>
  <si>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</si>
  <si>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</si>
  <si>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</si>
  <si>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</si>
  <si>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</si>
  <si>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James Brown</t>
  </si>
  <si>
    <t>500 block North Madeira Street in east Baltimore</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</si>
  <si>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</si>
  <si>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</si>
  <si>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</si>
  <si>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</si>
  <si>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</si>
  <si>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</si>
  <si>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</si>
  <si>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</si>
  <si>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</si>
  <si>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</si>
  <si>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</si>
  <si>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</si>
  <si>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</si>
  <si>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</si>
  <si>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</si>
  <si>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</si>
  <si>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</si>
  <si>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</si>
  <si>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</si>
  <si>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</si>
  <si>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</si>
  <si>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</si>
  <si>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200 block West Second Street</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</si>
  <si>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</si>
  <si>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</si>
  <si>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</si>
  <si>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</si>
  <si>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Jordan Hatcher</t>
  </si>
  <si>
    <t>2100 Southeast Parkway</t>
  </si>
  <si>
    <t>76018</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</si>
  <si>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</si>
  <si>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</si>
  <si>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</si>
  <si>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</si>
  <si>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</si>
  <si>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</si>
  <si>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</si>
  <si>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</si>
  <si>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</si>
  <si>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James Eric Griffin</t>
  </si>
  <si>
    <t>http://usgunviolence.files.wordpress.com/2013/08/james-eric-griffin.jpg?w=625</t>
  </si>
  <si>
    <t>100 S. Marcus St.</t>
  </si>
  <si>
    <t>Alto</t>
  </si>
  <si>
    <t>75925</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</si>
  <si>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</si>
  <si>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</si>
  <si>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</si>
  <si>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Daniel Rey</t>
  </si>
  <si>
    <t>517 Leighton Ave</t>
  </si>
  <si>
    <t>87401</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</si>
  <si>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</si>
  <si>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</si>
  <si>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</si>
  <si>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</si>
  <si>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</si>
  <si>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</si>
  <si>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</si>
  <si>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</si>
  <si>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</si>
  <si>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</si>
  <si>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Maximillian Walters</t>
  </si>
  <si>
    <t>1300 block Esther Drive</t>
  </si>
  <si>
    <t>Wife and child (Maximillian) killed during a domestic dispute incident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</si>
  <si>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</si>
  <si>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Kathryn Walters</t>
  </si>
  <si>
    <t>http://i.huffpost.com/gen/955356/thumbs/s-HANS-WALTERS-MURDER-SUICIDE-large.jpg?6</t>
  </si>
  <si>
    <t>Both child and mother killed during a domestic dispute by their husband/father who was a Las Vegas Police Lieutenant. Subject then set fire to the house, called 911 and waited for officers to arrive after which he stepped inside and shot himself.</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</si>
  <si>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</si>
  <si>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</si>
  <si>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</si>
  <si>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</si>
  <si>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</si>
  <si>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</si>
  <si>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</si>
  <si>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</si>
  <si>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</si>
  <si>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Alfredo Emilio Villarreal</t>
  </si>
  <si>
    <t>http://media.graytvinc.com/images/AlfredoEmilioVillarreal.jpg</t>
  </si>
  <si>
    <t>W3985 County Rd NN</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</si>
  <si>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</si>
  <si>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</si>
  <si>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</si>
  <si>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</si>
  <si>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</si>
  <si>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</si>
  <si>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</si>
  <si>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</si>
  <si>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</si>
  <si>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</si>
  <si>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</si>
  <si>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</si>
  <si>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</si>
  <si>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</si>
  <si>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</si>
  <si>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</si>
  <si>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</si>
  <si>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</si>
  <si>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</si>
  <si>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</si>
  <si>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</si>
  <si>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</si>
  <si>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</si>
  <si>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</si>
  <si>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</si>
  <si>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</si>
  <si>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</si>
  <si>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</si>
  <si>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</si>
  <si>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</si>
  <si>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</si>
  <si>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</si>
  <si>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</si>
  <si>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</si>
  <si>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</si>
  <si>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</si>
  <si>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</si>
  <si>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</si>
  <si>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</si>
  <si>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</si>
  <si>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</si>
  <si>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</si>
  <si>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</si>
  <si>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</si>
  <si>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</si>
  <si>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</si>
  <si>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</si>
  <si>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</si>
  <si>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</si>
  <si>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</si>
  <si>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</si>
  <si>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</si>
  <si>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</si>
  <si>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</si>
  <si>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</si>
  <si>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</si>
  <si>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Angel Miguel Lopez</t>
  </si>
  <si>
    <t>http://kfmb.images.worldnow.com/images/20627940_BG1.jpg</t>
  </si>
  <si>
    <t>5400 block Reservoir Drive</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</si>
  <si>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</si>
  <si>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</si>
  <si>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</si>
  <si>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</si>
  <si>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</si>
  <si>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200 block South F Street</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</si>
  <si>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</si>
  <si>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</si>
  <si>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</si>
  <si>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</si>
  <si>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67</t>
  </si>
  <si>
    <t>Eric Ramsey</t>
  </si>
  <si>
    <t>6515 N Old 27</t>
  </si>
  <si>
    <t>Frederic</t>
  </si>
  <si>
    <t>49733</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</si>
  <si>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</si>
  <si>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</si>
  <si>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</si>
  <si>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</si>
  <si>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</si>
  <si>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</si>
  <si>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</si>
  <si>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</si>
  <si>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</si>
  <si>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</si>
  <si>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</si>
  <si>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</si>
  <si>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</si>
  <si>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</si>
  <si>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</si>
  <si>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</si>
  <si>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</si>
  <si>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</si>
  <si>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</si>
  <si>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</si>
  <si>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</si>
  <si>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Allen Eugene Ott</t>
  </si>
  <si>
    <t>Dews Pond Road</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</si>
  <si>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</si>
  <si>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</si>
  <si>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</si>
  <si>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</si>
  <si>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</si>
  <si>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</si>
  <si>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</si>
  <si>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</si>
  <si>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</si>
  <si>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</si>
  <si>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</si>
  <si>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</si>
  <si>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</si>
  <si>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</si>
  <si>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</si>
  <si>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</si>
  <si>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</si>
  <si>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</si>
  <si>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Jimmy Ray Phea</t>
  </si>
  <si>
    <t>Harrison and Broadway</t>
  </si>
  <si>
    <t>Police were responding to a domestic violence disturbance between a man and his sister</t>
  </si>
  <si>
    <t>http://abclocal.go.com/kfsn/story?section=news/local&amp;id=8957000</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</si>
  <si>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</si>
  <si>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</si>
  <si>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</si>
  <si>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</si>
  <si>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</si>
  <si>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</si>
  <si>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</si>
  <si>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</si>
  <si>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</si>
  <si>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</si>
  <si>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</si>
  <si>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</si>
  <si>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</si>
  <si>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</si>
  <si>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</si>
  <si>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</si>
  <si>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</si>
  <si>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</si>
  <si>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</si>
  <si>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</si>
  <si>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</si>
  <si>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</si>
  <si>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</si>
  <si>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Karlando Roberts</t>
  </si>
  <si>
    <t>400 block Norwood Avenue</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</si>
  <si>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</si>
  <si>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</si>
  <si>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</si>
  <si>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</si>
  <si>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</si>
  <si>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</si>
  <si>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</si>
  <si>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</si>
  <si>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</si>
  <si>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</si>
  <si>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</si>
  <si>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</si>
  <si>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</si>
  <si>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</si>
  <si>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</si>
  <si>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Frankie Pitt</t>
  </si>
  <si>
    <t>http://wric.images.worldnow.com/images/20574027_BG4.jpg</t>
  </si>
  <si>
    <t>Chippenham Parkway ramp and Hull Street Road</t>
  </si>
  <si>
    <t>Midlothian</t>
  </si>
  <si>
    <t>23112</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</si>
  <si>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</si>
  <si>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</si>
  <si>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</si>
  <si>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Robert Guzman</t>
  </si>
  <si>
    <t>http://www.noozhawk.com/images/uploads/Robert-Guzman175.jpg</t>
  </si>
  <si>
    <t>1100 block East Sunset Avenue</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</si>
  <si>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</si>
  <si>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</si>
  <si>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</si>
  <si>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</si>
  <si>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</si>
  <si>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</si>
  <si>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</si>
  <si>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</si>
  <si>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</si>
  <si>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</si>
  <si>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</si>
  <si>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</si>
  <si>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</si>
  <si>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</si>
  <si>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</si>
  <si>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</si>
  <si>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Jonathan F. Vasquez</t>
  </si>
  <si>
    <t>6500 block Brooklyn Avenue</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</si>
  <si>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</si>
  <si>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</si>
  <si>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</si>
  <si>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</si>
  <si>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</si>
  <si>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</si>
  <si>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</si>
  <si>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</si>
  <si>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</si>
  <si>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</si>
  <si>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2700 block Co Rd 243</t>
  </si>
  <si>
    <t>Smiths Station</t>
  </si>
  <si>
    <t>36877</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</si>
  <si>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</si>
  <si>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</si>
  <si>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Robert Ethan Saylor</t>
  </si>
  <si>
    <t>http://i.dailymail.co.uk/i/pix/2013/07/20/article-0-1AD882EE000005DC-792_306x423.jpg</t>
  </si>
  <si>
    <t>5243 Buckeystown Pike</t>
  </si>
  <si>
    <t>21701</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</si>
  <si>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</si>
  <si>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</si>
  <si>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</si>
  <si>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</si>
  <si>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</si>
  <si>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</si>
  <si>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</si>
  <si>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</si>
  <si>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Binh Van Nguyen</t>
  </si>
  <si>
    <t>http://media.nbcbayarea.com/images/01-bihnnguyen.JPG</t>
  </si>
  <si>
    <t>200 block North Maxine Street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</si>
  <si>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</si>
  <si>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</si>
  <si>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</si>
  <si>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</si>
  <si>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</si>
  <si>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</si>
  <si>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</si>
  <si>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Chad Moretz</t>
  </si>
  <si>
    <t>http://www.sanduskyregister.com/sites/www.sanduskyregister.com/files/styles/large/public/11895132_0.jpg?itok=nPawZnkC</t>
  </si>
  <si>
    <t>205 Whitehall Avenue</t>
  </si>
  <si>
    <t>Effingham</t>
  </si>
  <si>
    <t>Effingham County Sheriff's Office</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</si>
  <si>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</si>
  <si>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</si>
  <si>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Donald Moore</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</si>
  <si>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</si>
  <si>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</si>
  <si>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</si>
  <si>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</si>
  <si>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Rabih Ozeir</t>
  </si>
  <si>
    <t>http://media2.kjrh.com//photo/2013/01/11/Cushing_Ozeil_20130111212814_320_240.JPG</t>
  </si>
  <si>
    <t>1523 E. Main St.</t>
  </si>
  <si>
    <t>74023</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</si>
  <si>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</si>
  <si>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</si>
  <si>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Daniel Alain Vail</t>
  </si>
  <si>
    <t>http://www.staufferfuneralhome.com/obituaries/uploads/OI1654414267_Vail,%20Daniel.jpg</t>
  </si>
  <si>
    <t>4800 block Westwind Drive</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</si>
  <si>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</si>
  <si>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</si>
  <si>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</si>
  <si>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</si>
  <si>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</si>
  <si>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</si>
  <si>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</si>
  <si>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</si>
  <si>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</si>
  <si>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</si>
  <si>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</si>
  <si>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</si>
  <si>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</si>
  <si>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</si>
  <si>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</si>
  <si>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Linda Sue Davis</t>
  </si>
  <si>
    <t>4700 block Northwest 44th Street</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</si>
  <si>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</si>
  <si>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</si>
  <si>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</si>
  <si>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</si>
  <si>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</si>
  <si>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</si>
  <si>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</si>
  <si>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</si>
  <si>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</si>
  <si>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</si>
  <si>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</si>
  <si>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</si>
  <si>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</si>
  <si>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</si>
  <si>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</si>
  <si>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</si>
  <si>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Angella Falconi</t>
  </si>
  <si>
    <t>http://media.cmgdigital.com/shared/lt/lt_cache/thumbnail/188/img/photos/2013/01/08/75/8d/falconi-NU.jpg</t>
  </si>
  <si>
    <t>1400 block North J Street</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</si>
  <si>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</si>
  <si>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</si>
  <si>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</si>
  <si>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</si>
  <si>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</si>
  <si>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</si>
  <si>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</si>
  <si>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</si>
  <si>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</si>
  <si>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</si>
  <si>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</si>
  <si>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</si>
  <si>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</si>
  <si>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</si>
  <si>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</si>
  <si>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</si>
  <si>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</si>
  <si>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</si>
  <si>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</si>
  <si>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</si>
  <si>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</si>
  <si>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</si>
  <si>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</si>
  <si>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</si>
  <si>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</si>
  <si>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</si>
  <si>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</si>
  <si>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</si>
  <si>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300 block Cooper Drive</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</si>
  <si>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</si>
  <si>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</si>
  <si>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</si>
  <si>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Jeremy Rucinski</t>
  </si>
  <si>
    <t>6900 block Rattalee Lake Road</t>
  </si>
  <si>
    <t>Independence Charter Township</t>
  </si>
  <si>
    <t>48348</t>
  </si>
  <si>
    <t>Oakland County Sheriff's Office</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</si>
  <si>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</si>
  <si>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</si>
  <si>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</si>
  <si>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</si>
  <si>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</si>
  <si>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</si>
  <si>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</si>
  <si>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</si>
  <si>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</si>
  <si>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</si>
  <si>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</si>
  <si>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</si>
  <si>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</si>
  <si>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</si>
  <si>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</si>
  <si>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</si>
  <si>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</si>
  <si>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</si>
  <si>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</si>
  <si>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</si>
  <si>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</si>
  <si>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</si>
  <si>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</si>
  <si>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</si>
  <si>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</si>
  <si>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</si>
  <si>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</si>
  <si>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</si>
  <si>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</si>
  <si>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</si>
  <si>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</si>
  <si>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</si>
  <si>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</si>
  <si>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</si>
  <si>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</si>
  <si>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</si>
  <si>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</si>
  <si>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</si>
  <si>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</si>
  <si>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</si>
  <si>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</si>
  <si>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</si>
  <si>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</si>
  <si>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</si>
  <si>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</si>
  <si>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</si>
  <si>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</si>
  <si>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</si>
  <si>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</si>
  <si>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Xavier Tyrell Johnson</t>
  </si>
  <si>
    <t>SW 56th Street and 117th Avenue</t>
  </si>
  <si>
    <t>Westwood Lakes</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</si>
  <si>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</si>
  <si>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</si>
  <si>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</si>
  <si>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Darrell Banks</t>
  </si>
  <si>
    <t>2400 block Cleveland Street</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</si>
  <si>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</si>
  <si>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</si>
  <si>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</si>
  <si>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</si>
  <si>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</si>
  <si>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</si>
  <si>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</si>
  <si>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</si>
  <si>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</si>
  <si>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Barry Cloninger</t>
  </si>
  <si>
    <t>http://altondailynews.interactivemediapartners.net/shared/inc/client/17/articles/images/1081342834-BarryCloninger.JPG</t>
  </si>
  <si>
    <t>7100 block IL-140</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</si>
  <si>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</si>
  <si>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</si>
  <si>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</si>
  <si>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</si>
  <si>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</si>
  <si>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</si>
  <si>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</si>
  <si>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</si>
  <si>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</si>
  <si>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</si>
  <si>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</si>
  <si>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</si>
  <si>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</si>
  <si>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</si>
  <si>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</si>
  <si>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</si>
  <si>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</si>
  <si>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</si>
  <si>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</si>
  <si>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</si>
  <si>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</si>
  <si>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Hunter Jacob Todd</t>
  </si>
  <si>
    <t>http://ak-cache.legacy.net/legacy/Images/Cobrands/DignityMemorial/Photos/59c43772-643e-42c2-b704-fdffa91a9e43.jpg</t>
  </si>
  <si>
    <t>8000 block Debbie Ann Court</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</si>
  <si>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</si>
  <si>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</si>
  <si>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</si>
  <si>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</si>
  <si>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</si>
  <si>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</si>
  <si>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</si>
  <si>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</si>
  <si>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</si>
  <si>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</si>
  <si>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</si>
  <si>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</si>
  <si>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</si>
  <si>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</si>
  <si>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</si>
  <si>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</si>
  <si>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</si>
  <si>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</si>
  <si>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</si>
  <si>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</si>
  <si>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</si>
  <si>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</si>
  <si>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</si>
  <si>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</si>
  <si>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</si>
  <si>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</si>
  <si>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</si>
  <si>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</si>
  <si>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</si>
  <si>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</si>
  <si>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</si>
  <si>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</si>
  <si>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</si>
  <si>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</si>
  <si>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</si>
  <si>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</si>
  <si>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</si>
  <si>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</si>
  <si>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</si>
  <si>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</si>
  <si>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</si>
  <si>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</si>
  <si>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</si>
  <si>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Yvens Seide</t>
  </si>
  <si>
    <t>http://www.sun-sentinel.com/local/broward/fl-pedestrian-fatal-20151031-story.html</t>
  </si>
  <si>
    <t>Deaunte Lamar Bell</t>
  </si>
  <si>
    <t>http://www.dispatch.com/content/stories/local/2015/10/29/Officer-involved-shooting.html</t>
  </si>
  <si>
    <t>Jerry Michael Graham Jr.</t>
  </si>
  <si>
    <t>http://www.news4jax.com/news/policeinvolved-shooting-in-east-arlington/36098444</t>
  </si>
  <si>
    <t>200 Century St</t>
  </si>
  <si>
    <t>Tyrie Cuyler</t>
  </si>
  <si>
    <t>http://www.wtoc.com/story/30372168/gbi-releases-new-details-on-officer-involved-shooting-in-savannah</t>
  </si>
  <si>
    <t>37th St Connector and Ogeechee Rd</t>
  </si>
  <si>
    <t>Anthony Ashford</t>
  </si>
  <si>
    <t>http://www.nbcsandiego.com/news/local/San-Diego-Harbor-Police-Shooting-Fatal-Officer-Involved-337915742.html</t>
  </si>
  <si>
    <t>4800 N Harbor Dr</t>
  </si>
  <si>
    <t>San Diego Harbor Police Department</t>
  </si>
  <si>
    <t>Marquesha McMillan</t>
  </si>
  <si>
    <t>http://www.nbcwashington.com/news/local/1-Injured-in-NW-DC-Shooting-337103121.html</t>
  </si>
  <si>
    <t>7700 Georgia Ave NW</t>
  </si>
  <si>
    <t>Washington Metropolitan Police Department</t>
  </si>
  <si>
    <t>Kobvey Igbuhay</t>
  </si>
  <si>
    <t>http://www.tampabay.com/news/publicsafety/crime/one-suspect-shot-two-in-custody-and-tampa-police-hunting-for-a-fourth/2251265</t>
  </si>
  <si>
    <t>Kevin T. Brunson</t>
  </si>
  <si>
    <t>http://www.fredericknewspost.com/news/crime_and_justice/cops_and_crime/maryland-state-trooper-involved-in-shooting-at-east-patrick-street/article_f815b31a-5e20-5a00-9136-c0a71d2c7be7.html</t>
  </si>
  <si>
    <t>1300 E Patrick St</t>
  </si>
  <si>
    <t>Rolly Thomas</t>
  </si>
  <si>
    <t>1518 NE 43rd Ln</t>
  </si>
  <si>
    <t>Dominic Hutchinson</t>
  </si>
  <si>
    <t>http://www.desertsun.com/story/news/crime_courts/2015/10/25/cathedral-city-officer-shooting/74582286/</t>
  </si>
  <si>
    <t>68200 33rd Ave</t>
  </si>
  <si>
    <t>Cathedral City</t>
  </si>
  <si>
    <t>Cathedral City Police Department</t>
  </si>
  <si>
    <t>Charles A. Pettit</t>
  </si>
  <si>
    <t>http://newsok.com/article/5456285</t>
  </si>
  <si>
    <t>6420 Southeast 15th Street</t>
  </si>
  <si>
    <t>Adriene Jamarr Ludd</t>
  </si>
  <si>
    <t>Carmichael</t>
  </si>
  <si>
    <t>Lawrence Green</t>
  </si>
  <si>
    <t>451 Clyde Fant Pkwy</t>
  </si>
  <si>
    <t>Lamontez Jones</t>
  </si>
  <si>
    <t>6th Ave and F St</t>
  </si>
  <si>
    <t>Corey Jones</t>
  </si>
  <si>
    <t>Dequan L. Williams</t>
  </si>
  <si>
    <t>York Police Department</t>
  </si>
  <si>
    <t>Rayshaun Cole</t>
  </si>
  <si>
    <t>http://www.sandiegouniontribune.com/news/2015/oct/17/chula-vista-shooting/</t>
  </si>
  <si>
    <t>1310 Santa Rita E</t>
  </si>
  <si>
    <t>Paterson Brown Jr.</t>
  </si>
  <si>
    <t>http://www.richmond.com/news/local/chesterfield/article_c725c915-9977-5246-be48-5a2b51f13953.html</t>
  </si>
  <si>
    <t>7559 Midlothian Turnpike</t>
  </si>
  <si>
    <t>Ricky Javenta Ball</t>
  </si>
  <si>
    <t>21st St N &amp; 15th Ave N</t>
  </si>
  <si>
    <t>Kaleb Alexander</t>
  </si>
  <si>
    <t>2660 Noe Bixby Rd</t>
  </si>
  <si>
    <t>Martin Ryans</t>
  </si>
  <si>
    <t>http://abc13.com/news/one-dead-in-officer-involved-shooting-in-nw-houston/1035019/</t>
  </si>
  <si>
    <t>7844 W Tidwell Rd</t>
  </si>
  <si>
    <t>Leslie Portis</t>
  </si>
  <si>
    <t>Evergreen</t>
  </si>
  <si>
    <t>Conecuh County Sheriff's Office, Alabama Department of Public Safety</t>
  </si>
  <si>
    <t>Bernard Brandon Powers</t>
  </si>
  <si>
    <t>Jason Day</t>
  </si>
  <si>
    <t>Mario Martinez</t>
  </si>
  <si>
    <t>http://crimeblog.dallasnews.com/2015/10/gunman-killed-by-police-after-overnight-chase-standoff-in-mesquite.html/</t>
  </si>
  <si>
    <t>N Town E Blvd and I-635</t>
  </si>
  <si>
    <t>Omar Miguel Lopez</t>
  </si>
  <si>
    <t>Video shows struggle with SEPTA cop that left man dead: http://6abc.com/news/police-suspect-dead-after-assaulting-septa-officer-in-kensington/1051327/</t>
  </si>
  <si>
    <t>Kensington Ave and Huntingdon St</t>
  </si>
  <si>
    <t>Southeastern Pennsylvania Transportation Authority Police Department</t>
  </si>
  <si>
    <t>Juan Eliseo Ulloa</t>
  </si>
  <si>
    <t>http://www.pe.com/articles/riverside-784400-officers-stop.html</t>
  </si>
  <si>
    <t>E La Cadena Dr and Iowa Ave</t>
  </si>
  <si>
    <t>Jeremy Galvez</t>
  </si>
  <si>
    <t>http://www.wesh.com/news/fhp-investigating-fatal-crash-in-casselberry/36003338</t>
  </si>
  <si>
    <t>Miguel Angel Marin Galena</t>
  </si>
  <si>
    <t>200 East First Street</t>
  </si>
  <si>
    <t>Calexico</t>
  </si>
  <si>
    <t>Ryan Rodriguez</t>
  </si>
  <si>
    <t>Joel Lopes</t>
  </si>
  <si>
    <t>http://krqe.com/2015/10/20/police-officer-involved-in-shooting-at-elephant-butte/</t>
  </si>
  <si>
    <t>Truth or Consequences</t>
  </si>
  <si>
    <t>Sierra County Sheriff's Office</t>
  </si>
  <si>
    <t>Silviano Ortiz</t>
  </si>
  <si>
    <t>http://www.krgv.com/news/local-news/man-in-police-custody-found-unresponsive-later-died/35917204</t>
  </si>
  <si>
    <t>Gino Paredes</t>
  </si>
  <si>
    <t>4000 E Briggsmore Ave</t>
  </si>
  <si>
    <t>Johnny Angel Rangel</t>
  </si>
  <si>
    <t>Herbert Benitez</t>
  </si>
  <si>
    <t>Market St and 8th St</t>
  </si>
  <si>
    <t>Jorge Santiago Tapia</t>
  </si>
  <si>
    <t>http://www.miamiherald.com/news/local/community/miami-dade/article39262830.html</t>
  </si>
  <si>
    <t>SW 137th Ave and SW 280th St</t>
  </si>
  <si>
    <t>Jonathan Peña</t>
  </si>
  <si>
    <t>http://ktla.com/2015/10/16/1-dead-3-injured-in-deputy-involved-crash-in-west-hollywood/</t>
  </si>
  <si>
    <t>Santa Monica Blvd and San Vicente Blvd</t>
  </si>
  <si>
    <t>Samuel Villarreal</t>
  </si>
  <si>
    <t>Robert Humberto Medellin</t>
  </si>
  <si>
    <t>http://www.oaoa.com/news/article_56304b5e-70eb-11e5-b3b8-73e54f868fb5.html</t>
  </si>
  <si>
    <t>Ector County Sheriff's Office</t>
  </si>
  <si>
    <t>Joe Pasquez Ortiz</t>
  </si>
  <si>
    <t>http://www.sbsun.com/general-news/20151011/san-bernardino-police-officer-fatally-shoots-suspect</t>
  </si>
  <si>
    <t>Unknown name</t>
  </si>
  <si>
    <t>http://www.muskogeephoenix.com/news/man-dead-after-cherokee-county-deputy-forced-to-shoot-him/article_3f61699f-87c3-5576-ac6c-47ec84673edb.html</t>
  </si>
  <si>
    <t>http://www.click2houston.com/news/breaking-3-shot-in-northwest-harris-county-life-flight-on-scene/36144374</t>
  </si>
  <si>
    <t>Larry Busby</t>
  </si>
  <si>
    <t>Jon Ployhar</t>
  </si>
  <si>
    <t>Stephen H. Brock</t>
  </si>
  <si>
    <t>1138 Nealy Creek Rd</t>
  </si>
  <si>
    <t>Pine Top</t>
  </si>
  <si>
    <t>Mario Perdigone</t>
  </si>
  <si>
    <t>http://www.kristv.com/story/30317738/man-dies-in-corpus-christi-pd-custody</t>
  </si>
  <si>
    <t>Leopard St</t>
  </si>
  <si>
    <t>400 W 111th St</t>
  </si>
  <si>
    <t>Jason Foreman</t>
  </si>
  <si>
    <t>http://www.ajc.com/news/news/crime-law/gbi-murder-suspect-believed-killed-by-hall-county-/nn5PY/</t>
  </si>
  <si>
    <t>Jarek Kozlowski</t>
  </si>
  <si>
    <t>http://www.rgj.com/story/news/crime/2015/10/17/police-gardnerville-man-killed-mother-dies-hospital/74121444/</t>
  </si>
  <si>
    <t>http://www.houstonchronicle.com/news/houston-texas/houston/article/Police-fatally-shoot-man-barricaded-in-house-6575018.php</t>
  </si>
  <si>
    <t>900 Panama St</t>
  </si>
  <si>
    <t>Michael Clark</t>
  </si>
  <si>
    <t>3 Geary Plaza</t>
  </si>
  <si>
    <t>http://www.necn.com/news/new-england/Man-Dies-Following-Struggle-With-Police-332162782.html</t>
  </si>
  <si>
    <t>Anthony L. Aguilar Sr.</t>
  </si>
  <si>
    <t>Lisle</t>
  </si>
  <si>
    <t>Lisle Police Department</t>
  </si>
  <si>
    <t>Margaret Wagner</t>
  </si>
  <si>
    <t>http://www.pe.com/articles/shooting-782957-information-officer.html</t>
  </si>
  <si>
    <t>Aguanga</t>
  </si>
  <si>
    <t>Noah Jacob Harpham</t>
  </si>
  <si>
    <t>Floyd Ray Cook</t>
  </si>
  <si>
    <t>6800 KY-61</t>
  </si>
  <si>
    <t>Burkesville</t>
  </si>
  <si>
    <t>Kentucky State Police, United States Marshals Service</t>
  </si>
  <si>
    <t>Andrew G. Dehart</t>
  </si>
  <si>
    <t>http://www.kgw.com/story/news/local/2015/10/29/police-chase-hwy-26-ends-crash-man-hospitalized/74787522/</t>
  </si>
  <si>
    <t>Dennis L. Edwards Tunnel</t>
  </si>
  <si>
    <t>Forest Grove</t>
  </si>
  <si>
    <t>Allen Quintez Swader</t>
  </si>
  <si>
    <t>Ricky Keith Keeton</t>
  </si>
  <si>
    <t>http://www.clarionledger.com/story/news/2015/10/28/fatal-deputy-involved-shooting-monroe-county/74730994/</t>
  </si>
  <si>
    <t>60021 Sizemore Rd</t>
  </si>
  <si>
    <t>Smithville</t>
  </si>
  <si>
    <t>Jasper Levi Adams</t>
  </si>
  <si>
    <t>http://www.statesmanjournal.com/story/news/crime/2015/10/28/-5-southbound-traffic-detourced-kuebler/74775822/</t>
  </si>
  <si>
    <t>Bendetta L. Miller</t>
  </si>
  <si>
    <t>http://www.heraldstandard.com/news/hsnewsnow/woman-injured-in-bute-road-police-pursuit-has-died/article_d2b0eb60-ca0c-5a25-9600-76e7263fa5db.html</t>
  </si>
  <si>
    <t>John Harley Turner</t>
  </si>
  <si>
    <t>http://www.11alive.com/story/news/local/2015/10/24/two-deputies-shot-pickens-county/74569260/</t>
  </si>
  <si>
    <t>1600 Carver Mill Rd</t>
  </si>
  <si>
    <t>Talking Rock</t>
  </si>
  <si>
    <t>Arthur W. West Jr.</t>
  </si>
  <si>
    <t>http://www.zanesvilletimesrecorder.com/story/news/crime/2015/10/25/sheriff-one-dead-officer-involved-shooting/74581242/</t>
  </si>
  <si>
    <t>2800 Pinkerton Ln</t>
  </si>
  <si>
    <t>Zanesville</t>
  </si>
  <si>
    <t>Muskingum County Sheriff's Office</t>
  </si>
  <si>
    <t>Darren Myron Fude</t>
  </si>
  <si>
    <t>6107 236th Ave</t>
  </si>
  <si>
    <t>Timothy Richard Arnold</t>
  </si>
  <si>
    <t>1400 Hidden Valley Dr SE</t>
  </si>
  <si>
    <t>Kentwood</t>
  </si>
  <si>
    <t>Kentwood Police Department</t>
  </si>
  <si>
    <t>Jonathan Tyler Gossman</t>
  </si>
  <si>
    <t>3200 Ravenwood Terrace NW</t>
  </si>
  <si>
    <t>Cedar Rapids</t>
  </si>
  <si>
    <t>Cedar Rapids Police Department</t>
  </si>
  <si>
    <t>Darien Greenwood</t>
  </si>
  <si>
    <t>Mandeville</t>
  </si>
  <si>
    <t>Kenneth Darryl Schick</t>
  </si>
  <si>
    <t>http://www.osagecountyonline.com/archives/18642</t>
  </si>
  <si>
    <t>11651 S Jordan Rd</t>
  </si>
  <si>
    <t>Wakarusa</t>
  </si>
  <si>
    <t>Roger D. Hall</t>
  </si>
  <si>
    <t>Jeffersontown Police Department</t>
  </si>
  <si>
    <t>Danny Leroy Hammond</t>
  </si>
  <si>
    <t>http://www.startribune.com/Security-guard-fatally-shot-in-St.-Cloud-Hospital/333868281/</t>
  </si>
  <si>
    <t>Krikor Ekizian</t>
  </si>
  <si>
    <t>Linda Lee Lush</t>
  </si>
  <si>
    <t>Michael Brennan</t>
  </si>
  <si>
    <t>Robert Burgess</t>
  </si>
  <si>
    <t>11500 NE 120th St</t>
  </si>
  <si>
    <t>Kirkland</t>
  </si>
  <si>
    <t>Kirkland Police Department</t>
  </si>
  <si>
    <t>David Elwood Shurtz Jr.</t>
  </si>
  <si>
    <t>http://www.davisenterprise.com/?p=602436&amp;preview_id=602436</t>
  </si>
  <si>
    <t>Brent Andrew Brannon</t>
  </si>
  <si>
    <t>Emerson Police Department</t>
  </si>
  <si>
    <t>Michelle Marie Burg</t>
  </si>
  <si>
    <t>http://www.abc-7.com/story/30262286/ccso-suspect-dies-after-deputy-involved-shooting</t>
  </si>
  <si>
    <t>Tamiami Trail East</t>
  </si>
  <si>
    <t>Naples</t>
  </si>
  <si>
    <t>Collier County Sheriff's Office</t>
  </si>
  <si>
    <t>Rudolph Smith</t>
  </si>
  <si>
    <t>Brookhaven</t>
  </si>
  <si>
    <t>Brookhaven Police Department</t>
  </si>
  <si>
    <t>William Daniel Combs</t>
  </si>
  <si>
    <t>Pinon Hills</t>
  </si>
  <si>
    <t>Christopher Whitmarsh</t>
  </si>
  <si>
    <t>Balch St</t>
  </si>
  <si>
    <t>Beverly Police Department</t>
  </si>
  <si>
    <t>Matthew Ray Dobbins</t>
  </si>
  <si>
    <t>http://www.killedbypolice.net/victims/150906.jpg</t>
  </si>
  <si>
    <t>http://www.killedbypolice.net/victims/150898.jpg</t>
  </si>
  <si>
    <t>http://www.killedbypolice.net/victims/150899.jpg</t>
  </si>
  <si>
    <t>http://www.killedbypolice.net/victims/150920.jpg</t>
  </si>
  <si>
    <t>http://www.killedbypolice.net/victims/150938.jpg</t>
  </si>
  <si>
    <t>http://www.killedbypolice.net/victims/150929.jpg</t>
  </si>
  <si>
    <t>http://www.killedbypolice.net/victims/150944.jpg</t>
  </si>
  <si>
    <t>http://www.killedbypolice.net/victims/150951.jpg</t>
  </si>
  <si>
    <t>http://www.killedbypolice.net/victims/150914.jpg</t>
  </si>
  <si>
    <t>http://www.killedbypolice.net/victims/150994.jpg</t>
  </si>
  <si>
    <t>http://www.killedbypolice.net/victims/150990.jpg</t>
  </si>
  <si>
    <t>http://www.killedbypolice.net/victims/150986.jpg</t>
  </si>
  <si>
    <t>http://www.killedbypolice.net/victims/150982.jpg</t>
  </si>
  <si>
    <t>http://www.killedbypolice.net/victims/150985.jpg</t>
  </si>
  <si>
    <t>http://www.killedbypolice.net/victims/150975.jpg</t>
  </si>
  <si>
    <t>http://www.killedbypolice.net/victims/150970.jpg</t>
  </si>
  <si>
    <t>http://www.killedbypolice.net/victims/150971.jpg</t>
  </si>
  <si>
    <t>http://www.killedbypolice.net/victims/150963.jpg</t>
  </si>
  <si>
    <t>http://www.killedbypolice.net/victims/150957.jpg</t>
  </si>
  <si>
    <t>http://www.killedbypolice.net/victims/150956.jpg</t>
  </si>
  <si>
    <t>http://www.killedbypolice.net/victims/150958.jpg</t>
  </si>
  <si>
    <t>http://www.killedbypolice.net/victims/150953.jpg</t>
  </si>
  <si>
    <t>http://www.killedbypolice.net/victims/150949.jpg</t>
  </si>
  <si>
    <t>http://www.killedbypolice.net/victims/150950.jpg</t>
  </si>
  <si>
    <t>http://www.killedbypolice.net/victims/150931.jpg</t>
  </si>
  <si>
    <t>http://www.killedbypolice.net/victims/150932.jpg</t>
  </si>
  <si>
    <t>http://www.killedbypolice.net/victims/150934.jpg</t>
  </si>
  <si>
    <t>http://www.killedbypolice.net/victims/150935.jpg</t>
  </si>
  <si>
    <t>http://www.killedbypolice.net/victims/150923.jpg</t>
  </si>
  <si>
    <t>http://www.killedbypolice.net/victims/150924.jpg</t>
  </si>
  <si>
    <t>http://www.killedbypolice.net/victims/150922.jpg</t>
  </si>
  <si>
    <t>http://www.killedbypolice.net/victims/150915.jpg</t>
  </si>
  <si>
    <t>http://www.killedbypolice.net/victims/150913.jpg</t>
  </si>
  <si>
    <t>http://www.killedbypolice.net/victims/150955.jpg</t>
  </si>
  <si>
    <t>http://www.killedbypolice.net/victims/150960.jpg</t>
  </si>
  <si>
    <t>http://www.killedbypolice.net/victims/150959.jpg</t>
  </si>
  <si>
    <t>http://www.killedbypolice.net/victims/150967.jpg</t>
  </si>
  <si>
    <t>http://www.killedbypolice.net/victims/150976.jpg</t>
  </si>
  <si>
    <t>http://www.killedbypolice.net/victims/2797.jpg</t>
  </si>
  <si>
    <t>http://www.killedbypolice.net/victims/150916.jpg</t>
  </si>
  <si>
    <t>http://www.killedbypolice.net/victims/150937.jpg</t>
  </si>
  <si>
    <t>http://www.killedbypolice.net/victims/150930.jpg</t>
  </si>
  <si>
    <t>http://www.killedbypolice.net/victims/150943.jpg</t>
  </si>
  <si>
    <t>http://www.killedbypolice.net/victims/150947.jpg</t>
  </si>
  <si>
    <t>http://www.killedbypolice.net/victims/150988.jpg</t>
  </si>
  <si>
    <t>http://www.killedbypolice.net/victims/150984.jpg</t>
  </si>
  <si>
    <t>http://www.killedbypolice.net/victims/150983.jpg</t>
  </si>
  <si>
    <t>http://www.killedbypolice.net/victims/150981.jpg</t>
  </si>
  <si>
    <t>http://www.killedbypolice.net/victims/150977.jpg</t>
  </si>
  <si>
    <t>http://www.killedbypolice.net/victims/150979.jpg</t>
  </si>
  <si>
    <t>http://www.killedbypolice.net/victims/150969.jpg</t>
  </si>
  <si>
    <t>http://www.killedbypolice.net/victims/150972.jpg</t>
  </si>
  <si>
    <t>http://www.killedbypolice.net/victims/150968.jpg</t>
  </si>
  <si>
    <t>http://www.killedbypolice.net/victims/150965.jpg</t>
  </si>
  <si>
    <t>http://www.killedbypolice.net/victims/150964.jpg</t>
  </si>
  <si>
    <t>http://www.killedbypolice.net/victims/150954.jpg</t>
  </si>
  <si>
    <t>http://www.killedbypolice.net/victims/150948.jpg</t>
  </si>
  <si>
    <t>http://www.killedbypolice.net/victims/150945.jpg</t>
  </si>
  <si>
    <t>http://www.killedbypolice.net/victims/150946.jpg</t>
  </si>
  <si>
    <t>Knox County Sheriff’s Department</t>
  </si>
  <si>
    <t>Missouri State Highway Patrol, St. Louis County Police Department, Eureka Police Department, and the Franklin County Sheriff’s Department</t>
  </si>
  <si>
    <t>San Mateo Sheriff's Department</t>
  </si>
  <si>
    <t>St. Louis Park Police Department</t>
  </si>
  <si>
    <t>St. Cloud Police Department</t>
  </si>
  <si>
    <t>Comanche `</t>
  </si>
  <si>
    <t>36401</t>
  </si>
  <si>
    <t>Conecuh</t>
  </si>
  <si>
    <t>43232</t>
  </si>
  <si>
    <t>39701</t>
  </si>
  <si>
    <t>23225</t>
  </si>
  <si>
    <t>Richmond City</t>
  </si>
  <si>
    <t>17404</t>
  </si>
  <si>
    <t>95608</t>
  </si>
  <si>
    <t>Collier</t>
  </si>
  <si>
    <t>Johnson allegedly killed a former co-worker in Georgia and then drove 500 miles before police shot him in West Virginia, according to authorities. Police said Johnson got out of his car with a gun pointed at officers when they opened fire.</t>
  </si>
  <si>
    <t>Officers were executing a search warrant when Powers began shooting, police said. Deputies returned fire, killing Powers and injuring another person, according to authorities. A deputy was also injured in the exchange of gunfire.</t>
  </si>
  <si>
    <t>Officers responded to a report of a man waving a gun, police said. Police shot Day after a "brief encounter" with him, according to authorities. No additional details have been released.</t>
  </si>
  <si>
    <t>Portis barricaded himself in a house after assaulting someone in a nearby city, police said. He eventually exited the home firing at officers who returned fire and killed him, according to authorities.</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</si>
  <si>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</si>
  <si>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Ball was reportedly shot several times by police after getting out of a car and fleeing an attempted traffic stop. He was said to have been a passenger in a car being driven by a woman.</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</si>
  <si>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</si>
  <si>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Police said Williams was shot after officers arrived at a home in response to a report of a man with a knife behaving threateningly. Officers tried to subdue him with a Taser before shots were fired, according to authorities.</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</si>
  <si>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</si>
  <si>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</si>
  <si>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</si>
  <si>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Police shot Green after he approached an officer with a knife and ignored commands to drop it, police said. Officers came to the area in response to reports about an armed person, according to authorities.</t>
  </si>
  <si>
    <t>Thomas allegedly shot at officers who were responding to a report of a domestic disturbance, and officers returned fire. Two other people were found in the home and were taken to hospital for treatment, according to police.</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</si>
  <si>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</si>
  <si>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Police stopped a suspicious car with three people in it, including Bell, according to authorities. Officers shot Bell when he reached for a gun, police said.</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</si>
  <si>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</si>
  <si>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 xml:space="preserve"> Kentucky state trooper was killed in a shooting during a chase, and officers shot and killed the suspect when he refused to drop his weapon after an hours-long manhunt, police said.</t>
  </si>
  <si>
    <t>A man died while in the custody of Raleigh police Monday morning, the department said, and 911 calls released later in the day reveal a woman desperately calling for police to come to the scene.</t>
  </si>
  <si>
    <t>The Hutchinson News reports an inmate from the Hutchinson Correctional Facility died Friday at the hospital after allegedly getting into an altercation with another inmate and then becoming combative with officers.</t>
  </si>
  <si>
    <t>500 Reformatory St</t>
  </si>
  <si>
    <t>Kansas Department of Corrections</t>
  </si>
  <si>
    <t>3032 Slippery Elm Dr</t>
  </si>
  <si>
    <t>Bennie Lee Tignor</t>
  </si>
  <si>
    <t>http://bloximages.newyork1.vip.townnews.com/oanow.com/content/tncms/assets/v3/editorial/4/24/42460824-81ce-11e5-8788-17b5c2efa76d/563814cfd1a5a.image.jpg?resize=300%2C169</t>
  </si>
  <si>
    <t>400 block Comanchee Dr</t>
  </si>
  <si>
    <t>Opelika</t>
  </si>
  <si>
    <t>36804</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</si>
  <si>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</si>
  <si>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</si>
  <si>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</si>
  <si>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</si>
  <si>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</si>
  <si>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</si>
  <si>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</si>
  <si>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</si>
  <si>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</si>
  <si>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James Covington Jr.</t>
  </si>
  <si>
    <t>2800 Gainesville St SE</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</si>
  <si>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</si>
  <si>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</si>
  <si>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</si>
  <si>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John Edward Allen</t>
  </si>
  <si>
    <t>http://www.boydmortuary.com/fh_live/14900/14906/images/obituaries/3375053_wlpp.jpg</t>
  </si>
  <si>
    <t>Drew St and Nettleton St</t>
  </si>
  <si>
    <t>77004</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</si>
  <si>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</si>
  <si>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</si>
  <si>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Delvin Tyrell Simmons</t>
  </si>
  <si>
    <t>http://whns.images.worldnow.com/images/9218557_G.jpg</t>
  </si>
  <si>
    <t>1000 Powell Mill Road</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</si>
  <si>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</si>
  <si>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</si>
  <si>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</si>
  <si>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</si>
  <si>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Ryan Quinn Martin</t>
  </si>
  <si>
    <t>https://blackopswiki.s3.amazonaws.com/uploads/article/avatar/498/large_avatar_ryan_quinn_martin.jpg</t>
  </si>
  <si>
    <t>3700 block Oakmont Ave</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</si>
  <si>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</si>
  <si>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</si>
  <si>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Jamar Clark</t>
  </si>
  <si>
    <t>http://a.abcnews.go.com/images/US/ap_jamar_clark_police_shooting_float_jc_151119_4x3_992.jpg</t>
  </si>
  <si>
    <t>1600 block Plymouth Ave N</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</si>
  <si>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</si>
  <si>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</si>
  <si>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</si>
  <si>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</si>
  <si>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</si>
  <si>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</si>
  <si>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</si>
  <si>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</si>
  <si>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</si>
  <si>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</si>
  <si>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</si>
  <si>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</si>
  <si>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</si>
  <si>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</si>
  <si>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</si>
  <si>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</si>
  <si>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</si>
  <si>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</si>
  <si>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</si>
  <si>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</si>
  <si>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</si>
  <si>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</si>
  <si>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</si>
  <si>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</si>
  <si>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</si>
  <si>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</si>
  <si>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</si>
  <si>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</si>
  <si>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</si>
  <si>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</si>
  <si>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</si>
  <si>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</si>
  <si>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</si>
  <si>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</si>
  <si>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</si>
  <si>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</si>
  <si>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</si>
  <si>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</si>
  <si>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</si>
  <si>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</si>
  <si>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</si>
  <si>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</si>
  <si>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</si>
  <si>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</si>
  <si>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</si>
  <si>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</si>
  <si>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</si>
  <si>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</si>
  <si>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</si>
  <si>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</si>
  <si>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</si>
  <si>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</si>
  <si>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</si>
  <si>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</si>
  <si>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</si>
  <si>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Stephen L. Tooson</t>
  </si>
  <si>
    <t>11th Court North and Center Street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</si>
  <si>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</si>
  <si>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</si>
  <si>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</si>
  <si>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</si>
  <si>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</si>
  <si>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</si>
  <si>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</si>
  <si>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Chandra Weaver</t>
  </si>
  <si>
    <t>http://www.killedbypolice.net/victims/151043.jpg</t>
  </si>
  <si>
    <t>83rd Street and Paseo</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</si>
  <si>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</si>
  <si>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</si>
  <si>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Michael Lee Marshall</t>
  </si>
  <si>
    <t>http://www.killedbypolice.net/victims/151060.jpg</t>
  </si>
  <si>
    <t>10500 E Smith Rd</t>
  </si>
  <si>
    <t>Denver County Sheriff's Office</t>
  </si>
  <si>
    <t>Physical Restraint</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</si>
  <si>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</si>
  <si>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</si>
  <si>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DeOntre L. Dorsey</t>
  </si>
  <si>
    <t xml:space="preserve">St. Charles Parkway </t>
  </si>
  <si>
    <t>White Plains</t>
  </si>
  <si>
    <t>Charles County Sheriff’s Office</t>
  </si>
  <si>
    <t>https://www.washingtonpost.com/local/family-asks-for-federal-review-of-sons-death-after-tasering/2015/12/01/0ce7834e-9856-11e5-b499-76cbec161973_story.html</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</si>
  <si>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</si>
  <si>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</si>
  <si>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</si>
  <si>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</si>
  <si>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</si>
  <si>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</si>
  <si>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</si>
  <si>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Ralph Aguilar</t>
  </si>
  <si>
    <t>NW Grand Ave and N 111th Ave</t>
  </si>
  <si>
    <t>http://www.kpho.com/story/30624737/mcso-deputy-shoots-kills-suicidal-man-who-pulled-out-gun</t>
  </si>
  <si>
    <t>Hugo Fernando Celio</t>
  </si>
  <si>
    <t>1702 18th St</t>
  </si>
  <si>
    <t>http://www.turnto23.com/news/breaking-news/officer-involved-shooting-near-downtown-restaurant-11292015</t>
  </si>
  <si>
    <t>Lionel Kerns</t>
  </si>
  <si>
    <t>US-36 and SW Thornton Road</t>
  </si>
  <si>
    <t>Stewartsville</t>
  </si>
  <si>
    <t>Dekalb County Sheriff's Department, Missouri State Highway Patrol</t>
  </si>
  <si>
    <t>http://www.kshb.com/news/crime/man-dead-in-officer-involved-shooting-in-dekalb-county-missouri</t>
  </si>
  <si>
    <t>Zachary Grigsby</t>
  </si>
  <si>
    <t>2931 N 73rd St</t>
  </si>
  <si>
    <t>http://journalstar.com/news/local/911/one-dead-five-in-custody-after-officer-involved-shooting/article_e4cfd9fb-e157-53ad-a637-cfa8b1b1468f.html</t>
  </si>
  <si>
    <t>Justin D. McHenry</t>
  </si>
  <si>
    <t>Main St and Livingston St</t>
  </si>
  <si>
    <t>Celina</t>
  </si>
  <si>
    <t>Ohio State Highway Patrol</t>
  </si>
  <si>
    <t>http://www.whio.com/news/news/crime-law/person-shot-during-altercation-with-trooper-in-cel/npYFP/</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</si>
  <si>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</si>
  <si>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</si>
  <si>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</si>
  <si>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</si>
  <si>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</si>
  <si>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</si>
  <si>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</si>
  <si>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</si>
  <si>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Somer Brook Speer</t>
  </si>
  <si>
    <t>305 N 2nd Ave</t>
  </si>
  <si>
    <t>Ozark Police Department, Christian County Sheriff's Department, Nixa Police Department, Greene County Sheriff's Department</t>
  </si>
  <si>
    <t>http://www.ky3.com/news/local/law-enforcement-work-standoff-near-ozarks-square/21048998_36658518</t>
  </si>
  <si>
    <t>Magnum Edgar Phillips</t>
  </si>
  <si>
    <t>2260 N Golden Ave</t>
  </si>
  <si>
    <t>http://www.news-leader.com/story/news/crime/2015/11/26/man-killed-officer-involved-shooting/76409078/</t>
  </si>
  <si>
    <t>Douglas R. Slade</t>
  </si>
  <si>
    <t>66 W 3rd Ave</t>
  </si>
  <si>
    <t>Eagar Police Department</t>
  </si>
  <si>
    <t>http://www.wmicentral.com/officer-involved-shooting-in-eagar/article_3c603f82-9534-11e5-99b8-63c3ec52f2de.html</t>
  </si>
  <si>
    <t>Freddy Baez</t>
  </si>
  <si>
    <t>3200 Rutledge Walk</t>
  </si>
  <si>
    <t>http://philadelphia.cbslocal.com/2015/11/24/camden-county-prosecutor-investigating-fatal-shooting-involving-two-police-officers/</t>
  </si>
  <si>
    <t>Thomas Joseph McEniry</t>
  </si>
  <si>
    <t>Cambridge St and E Katie Ave</t>
  </si>
  <si>
    <t>http://lasvegas.cbslocal.com/2015/11/24/officer-involved-shooting-in-las-vegas/</t>
  </si>
  <si>
    <t>Michael Gerald Ray Kirvelay</t>
  </si>
  <si>
    <t>700 40th Ave NE</t>
  </si>
  <si>
    <t>Columbia Heights</t>
  </si>
  <si>
    <t>Columbia Heights Police Department, Fridley Police Department</t>
  </si>
  <si>
    <t>http://minnesota.cbslocal.com/2015/11/24/reports-of-shots-fired-in-columbia-heights-police-say/</t>
  </si>
  <si>
    <t>Henry Reyna</t>
  </si>
  <si>
    <t>5000 Concord St</t>
  </si>
  <si>
    <t>http://www.kristv.com/story/30582358/concord-st-closed-off</t>
  </si>
  <si>
    <t>Barry Kirk</t>
  </si>
  <si>
    <t>90 S Terrace Ave</t>
  </si>
  <si>
    <t>http://nbc4i.com/2015/11/23/3-people-reported-dead-after-reported-shooting-on-citys-west-side/</t>
  </si>
  <si>
    <t>Miguel Angel Martinez</t>
  </si>
  <si>
    <t>305 S Alcott St</t>
  </si>
  <si>
    <t>http://www.denverpost.com/news/ci_29154811/denver-police-fatally-shoot-gunman-during-standoff</t>
  </si>
  <si>
    <t>Mathew Grows</t>
  </si>
  <si>
    <t>220 E Grove St</t>
  </si>
  <si>
    <t>http://www.kolotv.com/home/headlines/Reno-Police-One-Person-Shot-on-Grove-St-352960401.html</t>
  </si>
  <si>
    <t>James Daniel Hall</t>
  </si>
  <si>
    <t>10510 Sierra Ave</t>
  </si>
  <si>
    <t>http://www.pe.com/articles/report-787263-suspect-officers.html</t>
  </si>
  <si>
    <t>Christopher Lynn Nichols</t>
  </si>
  <si>
    <t>US-75 and Oklahoma Highway 91</t>
  </si>
  <si>
    <t>Colbert Police Department</t>
  </si>
  <si>
    <t>http://www.kxii.com/home/headlines/New-details-released-in-officer-involved-shooting-in-Colbert-352955771.html</t>
  </si>
  <si>
    <t>Tangelo Ave &amp; San Jacinto Ct</t>
  </si>
  <si>
    <t>http://ktla.com/2015/11/20/fontana-officer-fatally-shoots-allegedly-armed-man/</t>
  </si>
  <si>
    <t>Chase Alan Sherman</t>
  </si>
  <si>
    <t>Interstate 85</t>
  </si>
  <si>
    <t>Palmetto</t>
  </si>
  <si>
    <t>Coweta County Sheriffâ€™s Department</t>
  </si>
  <si>
    <t>http://www.ajc.com/news/news/local/coweta-man-dies-after-being-tasered-by-deputies/npSZB/</t>
  </si>
  <si>
    <t>William Tarrant</t>
  </si>
  <si>
    <t>200 Mt Vernon Church Rd</t>
  </si>
  <si>
    <t>Paulding County Sheriff's Office</t>
  </si>
  <si>
    <t>http://www.wsbtv.com/news/news/local/gbi-investigates-deadly-officer-involved-shooting-/npR4n/</t>
  </si>
  <si>
    <t>Highway 99</t>
  </si>
  <si>
    <t>Lane County Sheriff's Office</t>
  </si>
  <si>
    <t>http://eugenedailynews.com/2015/11/lane-county-sheriffs-deputy-hits-kills-bicyclist/</t>
  </si>
  <si>
    <t>Michael Tindall</t>
  </si>
  <si>
    <t>Bethel Rd and Thompson Rd</t>
  </si>
  <si>
    <t>http://www.wfaa.com/story/news/crime/2015/11/17/weatherford-officer-fatally-shoots-man-in-patrol-vehicle/75931948/</t>
  </si>
  <si>
    <t>Francis Hartnett</t>
  </si>
  <si>
    <t>510 Wild Oaks Ct</t>
  </si>
  <si>
    <t>Little Egg Harbor Township</t>
  </si>
  <si>
    <t>Little Egg Harbor Police Department</t>
  </si>
  <si>
    <t>http://www.pressofatlanticcity.com/news/police-shoot-kill-man-in-little-egg-harbor-township/article_a155067e-8d51-11e5-820c-8f51f462e0d1.html</t>
  </si>
  <si>
    <t>Derry Eugene Touchstone</t>
  </si>
  <si>
    <t>17017 Highland Ave S</t>
  </si>
  <si>
    <t>Early County Sheriff's Office</t>
  </si>
  <si>
    <t>http://www.walb.com/story/30540752/gbi-one-dead-in-officer-involved-shooting</t>
  </si>
  <si>
    <t>Brett Kelby Noblitt</t>
  </si>
  <si>
    <t>Maddox Mill Rd SE and Chatsworth Hwy</t>
  </si>
  <si>
    <t>Dalton</t>
  </si>
  <si>
    <t>Whitfield County Sheriff's Office</t>
  </si>
  <si>
    <t>http://www.wdef.com/news/story/Whitfield-Deputy-Fatally-Shoots-Suspect-After-Car/2cVdW_rl30uLVjQAHyWeKw.cspx</t>
  </si>
  <si>
    <t>400 W School House Ln</t>
  </si>
  <si>
    <t>Philadelphia Housing Authority Police Department</t>
  </si>
  <si>
    <t>http://6abc.com/news/police-off-duty-pha-officer-shot-killed-robbery-suspect-/1085987/</t>
  </si>
  <si>
    <t>John Livingston</t>
  </si>
  <si>
    <t>425 Stage Rd</t>
  </si>
  <si>
    <t>Spring Lake</t>
  </si>
  <si>
    <t>Harnett County Sheriff's Office</t>
  </si>
  <si>
    <t>http://www.wral.com/one-dead-in-officer-involved-shooting-in-harnett-county/15110806/</t>
  </si>
  <si>
    <t>Ramon Salazar</t>
  </si>
  <si>
    <t>2985 Rubidoux Blvd</t>
  </si>
  <si>
    <t>http://www.pe.com/articles/riverside-786361-area-deputies.html</t>
  </si>
  <si>
    <t>Ernesto Gamino</t>
  </si>
  <si>
    <t>Rouselle Dr and Wysocki Ln</t>
  </si>
  <si>
    <t>http://www.pe.com/articles/responding-786289-involved-sheriff.html</t>
  </si>
  <si>
    <t>Michael Joseph Bartkiewicz</t>
  </si>
  <si>
    <t>26 Petty Ln</t>
  </si>
  <si>
    <t>Gibson County Sheriff's Office</t>
  </si>
  <si>
    <t>http://www.jacksonsun.com/story/news/crime/2015/11/14/tbi-investigating-officer-involved-shooting-trenton/75775108/</t>
  </si>
  <si>
    <t>Matthew Eric Coleman</t>
  </si>
  <si>
    <t>1200 US-80</t>
  </si>
  <si>
    <t>http://www.wjcl.com/news/local-news/effingham-co-sheriff-deputy-shot-suspect-killed-after-deputy-involved-shooting/94554359/story</t>
  </si>
  <si>
    <t>Moises Nerio</t>
  </si>
  <si>
    <t>1200 Ayala Dr</t>
  </si>
  <si>
    <t>Sunnyvale Bureau of Police Services</t>
  </si>
  <si>
    <t>http://www.mercurynews.com/bay-area-news/ci_29109035/sunnyvale-police-shoot-armed-male-at-apartment-complex</t>
  </si>
  <si>
    <t>Javier Lopez Garcia</t>
  </si>
  <si>
    <t>3555 Cesar Chavez St</t>
  </si>
  <si>
    <t>http://sanfrancisco.cbslocal.com/2015/11/11/reports-of-gunman-on-construction-site-near-san-francisco-hospital/</t>
  </si>
  <si>
    <t>Joseph Jaramillo</t>
  </si>
  <si>
    <t>San Ygnacio Rd SW and Tapia Blvd SW</t>
  </si>
  <si>
    <t>http://www.abqjournal.com/673935/abqnewsseeker/bcso-investigates-south-valley-shooting.html</t>
  </si>
  <si>
    <t>Brian H. Gavin Sr.</t>
  </si>
  <si>
    <t>1304 Pine Dr NW</t>
  </si>
  <si>
    <t>http://www.live5news.com/story/30496764/sled-investigating-deputy-involved-shooting-in-aiken</t>
  </si>
  <si>
    <t>Eddie Gabriel Sanchez Jr.</t>
  </si>
  <si>
    <t>800 Pomona Ave</t>
  </si>
  <si>
    <t>http://www.krcrtv.com/news/local/shooting-in-chico-leaves-one-dead/36369296</t>
  </si>
  <si>
    <t>Jason Leanard Mesaros</t>
  </si>
  <si>
    <t>US-85 and W Bromley Ln</t>
  </si>
  <si>
    <t>http://www.dailycamera.com/news/boulder/ci_29097757/suspects-reported-armed-robbery-high-speed-chase-boulder</t>
  </si>
  <si>
    <t>Andrew Blake</t>
  </si>
  <si>
    <t>Frontage Rd and I-15</t>
  </si>
  <si>
    <t>Dillon</t>
  </si>
  <si>
    <t>Beaverhead County Sheriff's Office</t>
  </si>
  <si>
    <t>http://www.nbcmontana.com/news/beaverhead-co-sheriffs-office-says-dillon-man-dies-after-officerinvolved-shooting/36485584</t>
  </si>
  <si>
    <t>Leonel Acevedo</t>
  </si>
  <si>
    <t>4400 Camden Ave</t>
  </si>
  <si>
    <t>http://www.mercurynews.com/crime-courts/ci_29098278/san-jose-authorities-identify-gunman-victim-deadly-cambrian</t>
  </si>
  <si>
    <t>Cesar Cuellar Jr.</t>
  </si>
  <si>
    <t>Kirby Dr and Eskimo Dr</t>
  </si>
  <si>
    <t>http://www.lmtonline.com/front-news/article_2cdd3578-870c-11e5-96b2-1fbfed068503.html</t>
  </si>
  <si>
    <t>Miguel Cano</t>
  </si>
  <si>
    <t>Andasol Ave and Elkwood St</t>
  </si>
  <si>
    <t>http://ktla.com/2015/11/09/authorities-responding-to-possible-police-shooting-in-lake-balboa/</t>
  </si>
  <si>
    <t>State Road 417 and Lake Mary Boulevard</t>
  </si>
  <si>
    <t>Oveido</t>
  </si>
  <si>
    <t>http://www.wftv.com/news/news/local/crash-heavy-law-enforcement-presence-causes-delays/npJ6S/</t>
  </si>
  <si>
    <t>Dale Maverick Hudson</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</si>
  <si>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</si>
  <si>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</si>
  <si>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</si>
  <si>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</si>
  <si>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</si>
  <si>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</si>
  <si>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Michael Gregory Johnson</t>
  </si>
  <si>
    <t>1015 NW 22nd Ave</t>
  </si>
  <si>
    <t>http://www.oregonlive.com/portland/index.ssf/2015/11/police_activity_closes_streets.html</t>
  </si>
  <si>
    <t>Kim Lee Long</t>
  </si>
  <si>
    <t>Stanback Ferry Ice Plant Rd</t>
  </si>
  <si>
    <t>Wadesboro</t>
  </si>
  <si>
    <t>Anson County Sheriff's Office</t>
  </si>
  <si>
    <t>http://yourdailyjournal.com/news/18292/sbi-anson-deputy-shot-killed-domestic-violence-suspect</t>
  </si>
  <si>
    <t>James Francis Smyth</t>
  </si>
  <si>
    <t>S Maryland Pkwy and E Wigwam Ave</t>
  </si>
  <si>
    <t>Clark County School District Police Department</t>
  </si>
  <si>
    <t>http://www.reviewjournal.com/news/las-vegas/school-police-shoot-kill-threatening-driver-south-valley-park</t>
  </si>
  <si>
    <t>James Wayne Bigley</t>
  </si>
  <si>
    <t>Oklahoma Hwy 20</t>
  </si>
  <si>
    <t>Hominy</t>
  </si>
  <si>
    <t>Skiatook Police Department</t>
  </si>
  <si>
    <t>http://www.newson6.com/story/30447866/osbi-investigating-officer-involved-shooting-in-osage-county</t>
  </si>
  <si>
    <t>Laura Lemieux</t>
  </si>
  <si>
    <t>Whisper Way</t>
  </si>
  <si>
    <t>Berkeley County Sheriff's Office</t>
  </si>
  <si>
    <t>http://www.postandcourier.com/article/20151105/PC16/151109561</t>
  </si>
  <si>
    <t>David Michael Romanoski</t>
  </si>
  <si>
    <t>1043 Charles Ave</t>
  </si>
  <si>
    <t>Monongalia County Sheriffâ€™s Office</t>
  </si>
  <si>
    <t>http://www.wdtv.com/wdtv.cfm?func=view§ion=5-News&amp;item=BREAKING-NEWS-One-Person-Killed-in-Police-Involved-Shooting-26608</t>
  </si>
  <si>
    <t>Jacob Hohman</t>
  </si>
  <si>
    <t>10100 Puttington Dr</t>
  </si>
  <si>
    <t>Lakeshire</t>
  </si>
  <si>
    <t>Lakeshire Police Department, St Louis County Police Department</t>
  </si>
  <si>
    <t>http://www.kmov.com/story/30452751/police-open-fire-on-suspect-charging-at-them-with-weapon</t>
  </si>
  <si>
    <t>Faisal Mohammad</t>
  </si>
  <si>
    <t>5200 Lake Rd</t>
  </si>
  <si>
    <t>University of California Police Department</t>
  </si>
  <si>
    <t>http://www.mercedsunstar.com/news/local/education/uc-merced/article42944028.html</t>
  </si>
  <si>
    <t>Timothy Gene Smith</t>
  </si>
  <si>
    <t>Grand Ave and Jewell St</t>
  </si>
  <si>
    <t>http://www.sandiegouniontribune.com/news/2015/nov/04/officer-involved-shooting-pacific-beach/</t>
  </si>
  <si>
    <t>Joseph M. Tyndall</t>
  </si>
  <si>
    <t>2000 E Kearney St</t>
  </si>
  <si>
    <t>http://www.ozarksfirst.com/news/one-man-dead-in-officer-involved-shooting</t>
  </si>
  <si>
    <t>Jeremy David Mardis</t>
  </si>
  <si>
    <t>Martin Luther King Dr</t>
  </si>
  <si>
    <t>Marksville</t>
  </si>
  <si>
    <t>http://www.katc.com/story/30434244/6-year-old-dead-another-in-critical-after-officer-involved-shooting-in-marksville</t>
  </si>
  <si>
    <t>Matthew Stephen Colligan</t>
  </si>
  <si>
    <t>200 Lakeshore Dr</t>
  </si>
  <si>
    <t>Klamath County Sheriff's Office</t>
  </si>
  <si>
    <t>http://www.oregonlive.com/pacific-northwest-news/index.ssf/2015/11/klamath_county_officials_ident.html</t>
  </si>
  <si>
    <t>Killian O’Quinn</t>
  </si>
  <si>
    <t>4th Street and Q Street</t>
  </si>
  <si>
    <t>http://www.times-standard.com/20151101/chp-officer-shot-alleged-shooter-dead-after-eureka-traffic-stop</t>
  </si>
  <si>
    <t>Jack Yantis</t>
  </si>
  <si>
    <t>US-95</t>
  </si>
  <si>
    <t>Council</t>
  </si>
  <si>
    <t>http://www.kivitv.com/news/idaho-state-police-investigating-officer-involved-shooting</t>
  </si>
  <si>
    <t>Luverne Roy Christensen</t>
  </si>
  <si>
    <t>500 Harmony Ln SW</t>
  </si>
  <si>
    <t>Hutchinson Police Department, McLeod County Sheriff's Office, Minnesota State Patrol</t>
  </si>
  <si>
    <t>http://www.kare11.com/story/news/2015/11/01/bca-investigating-hutchinson-officer-involved-shooting/75021264/</t>
  </si>
  <si>
    <t>http://www.killedbypolice.net/victims/151012.jpg</t>
  </si>
  <si>
    <t>http://www.killedbypolice.net/victims/151038.jpg</t>
  </si>
  <si>
    <t>http://www.killedbypolice.net/victims/150997.jpg</t>
  </si>
  <si>
    <t>http://www.killedbypolice.net/victims/151005.jpg</t>
  </si>
  <si>
    <t>http://www.killedbypolice.net/victims/151018.jpg</t>
  </si>
  <si>
    <t>http://www.killedbypolice.net/victims/151016.jpg</t>
  </si>
  <si>
    <t>http://www.killedbypolice.net/victims/151025.jpg</t>
  </si>
  <si>
    <t>http://www.killedbypolice.net/victims/151032.jpg</t>
  </si>
  <si>
    <t>http://www.killedbypolice.net/victims/151035.jpg</t>
  </si>
  <si>
    <t>http://www.killedbypolice.net/victims/151070.jpg</t>
  </si>
  <si>
    <t>http://www.killedbypolice.net/victims/151000.jpg</t>
  </si>
  <si>
    <t>http://www.killedbypolice.net/victims/151002.jpg</t>
  </si>
  <si>
    <t>http://www.killedbypolice.net/victims/151006.jpg</t>
  </si>
  <si>
    <t>http://www.killedbypolice.net/victims/151029.jpg</t>
  </si>
  <si>
    <t>http://www.killedbypolice.net/victims/151061.jpg</t>
  </si>
  <si>
    <t>http://www.killedbypolice.net/victims/151063.jpg</t>
  </si>
  <si>
    <t>http://www.killedbypolice.net/victims/151030.jpg</t>
  </si>
  <si>
    <t>http://www.killedbypolice.net/victims/151049.jpg</t>
  </si>
  <si>
    <t>http://www.killedbypolice.net/victims/151054.jpg</t>
  </si>
  <si>
    <t>http://www.killedbypolice.net/victims/151062.jpg</t>
  </si>
  <si>
    <t>http://www.killedbypolice.net/victims/151066.jpg</t>
  </si>
  <si>
    <t>http://www.killedbypolice.net/victims/151075.jpg</t>
  </si>
  <si>
    <t>http://www.killedbypolice.net/victims/150998.jpg</t>
  </si>
  <si>
    <t>http://www.killedbypolice.net/victims/150996.jpg</t>
  </si>
  <si>
    <t>http://www.killedbypolice.net/victims/151003.jpg</t>
  </si>
  <si>
    <t>http://www.killedbypolice.net/victims/151008.jpg</t>
  </si>
  <si>
    <t>http://www.killedbypolice.net/victims/151007.jpg</t>
  </si>
  <si>
    <t>http://www.killedbypolice.net/victims/151011.jpg</t>
  </si>
  <si>
    <t>http://www.killedbypolice.net/victims/151019.jpg</t>
  </si>
  <si>
    <t>http://www.killedbypolice.net/victims/151015.jpg</t>
  </si>
  <si>
    <t>http://www.killedbypolice.net/victims/151020.jpg</t>
  </si>
  <si>
    <t>http://www.killedbypolice.net/victims/151040.jpg</t>
  </si>
  <si>
    <t>http://www.killedbypolice.net/victims/151024.jpg</t>
  </si>
  <si>
    <t>http://www.killedbypolice.net/victims/151023.jpg</t>
  </si>
  <si>
    <t>http://www.killedbypolice.net/victims/151027.jpg</t>
  </si>
  <si>
    <t>http://www.killedbypolice.net/victims/151026.jpg</t>
  </si>
  <si>
    <t>http://www.killedbypolice.net/victims/151031.jpg</t>
  </si>
  <si>
    <t>http://www.killedbypolice.net/victims/151058.jpg</t>
  </si>
  <si>
    <t>http://www.killedbypolice.net/victims/151064.jpg</t>
  </si>
  <si>
    <t>http://www.killedbypolice.net/victims/151067.jpg</t>
  </si>
  <si>
    <t>http://www.killedbypolice.net/victims/151069.jpg</t>
  </si>
  <si>
    <t>http://www.killedbypolice.net/victims/151072.jpg</t>
  </si>
  <si>
    <t>http://www.killedbypolice.net/victims/151074.jpg</t>
  </si>
  <si>
    <t>http://www.killedbypolice.net/victims/151079.jpg</t>
  </si>
  <si>
    <t>http://www.killedbypolice.net/victims/151082.jpg</t>
  </si>
  <si>
    <t>http://www.killedbypolice.net/victims/151080.jpg</t>
  </si>
  <si>
    <t>http://www.killedbypolice.net/victims/151078.jpg</t>
  </si>
  <si>
    <t>http://www.killedbypolice.net/victims/151084.jpg</t>
  </si>
  <si>
    <t>Cleveland County Sheriff's Department</t>
  </si>
  <si>
    <t>Cleveland TN Police Department</t>
  </si>
  <si>
    <t>Columbus GA Police Department</t>
  </si>
  <si>
    <t>Jerome County Sheriff’s Office</t>
  </si>
  <si>
    <t>DC Metropolitan Police Department</t>
  </si>
  <si>
    <t>Mohave County Sheriff’s Office Arizona Department of Public Safety</t>
  </si>
  <si>
    <t>Montgomery County OH Sheriff’s Office</t>
  </si>
  <si>
    <t>Montgomery County KS Sheriff’s Department/ Kansas Highway Patrol</t>
  </si>
  <si>
    <t>Richmond CA Police Department</t>
  </si>
  <si>
    <t>U.S. Marshals Task Force, Tempe Police Department, Chandler Police Department, Mesa Police Department</t>
  </si>
  <si>
    <t>U.S. Capitol Police and uniformed Secret Service</t>
  </si>
  <si>
    <t>U.S. Customs, Border Protection and California Highway Patrol, El Centro Police Department</t>
  </si>
  <si>
    <t>U.S. Forest Service</t>
  </si>
  <si>
    <t>U.S. Immigration and Customs Enforcement</t>
  </si>
  <si>
    <t>http://www.citizen-times.com/story/news/crime/2015/07/14/sbi-investigating-custody-death-henderson-jail/30124137/</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</si>
  <si>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</si>
  <si>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</si>
  <si>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</si>
  <si>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http://www.dnainfo.com/chicago/20150911/brighton-park/man-died-police-custody-due-drugs-physical-restraint-morgue</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</si>
  <si>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</si>
  <si>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http://theadvocate.com/news/acadiana/13044082-123/shooting-in-baton-rouge-may</t>
  </si>
  <si>
    <t>http://www.kansascity.com/news/local/crime/article27006070.html</t>
  </si>
  <si>
    <t>http://articles.philly.com/2015-07-06/news/64115122_1_dispatchers-county-force-camden-county-police-department</t>
  </si>
  <si>
    <t>http://www.wlwt.com/image/view/-/35034924/highRes/2/-/maxh/630/maxw/1200/-/wo4taiz/-/James-Carney-III-jpg.jpg</t>
  </si>
  <si>
    <t>http://ak-cache.legacy.net/legacy/images/Cobrands/Ledger-Enquirer/Photos/LE0040243-1_20150901.jpg</t>
  </si>
  <si>
    <t>http://images1.westword.com/imager/u/745xauto/7095329/william.rippley.facebook.4.jpg</t>
  </si>
  <si>
    <t>http://1.bp.blogspot.com/-xOS3t4XLRDc/VegsAfvOjmI/AAAAAAABEY4/q1TEtNlCyyQ/s1600/jamesbrownIII.jpg</t>
  </si>
  <si>
    <t>http://media.ksat.com/photo/2015/09/02/Roger-Albrecht-shot-by-SAPD_1441236920219_158947_ver1.0_1280_720.jpg</t>
  </si>
  <si>
    <t>http://kltv.images.worldnow.com/images/8689606_G.jpg</t>
  </si>
  <si>
    <t>http://ww3.hdnux.com/photos/40/54/31/8570490/3/920x920.jpg</t>
  </si>
  <si>
    <t>http://img.deseretnews.com/images/article/midres/1589560/1589560.jpg</t>
  </si>
  <si>
    <t>http://crimeblog.dallasnews.com/files/2015/08/Bertrand.jpg</t>
  </si>
  <si>
    <t>http://www.chattanoogan.com/photos/2015/8/article.307038.large.jpg</t>
  </si>
  <si>
    <t>http://img01.funeralnet.com/obit_photo.php?fullsize=1&amp;id=1540231&amp;clientid=jenkins-soffe&amp;iid=889565</t>
  </si>
  <si>
    <t>http://www.gannett-cdn.com/-mm-/ba9b0cd1ff1977f0469200d5bdba66aed4208811/c=0-37-720-578&amp;r=x404&amp;c=534x401/local/-/media/2015/08/27/Nashville/Nashville/635762774997799576-SteveDoddBDay.JPG</t>
  </si>
  <si>
    <t>http://media.philly.com/images/180*200/20150826_inq_sshooting26z-f.JPG</t>
  </si>
  <si>
    <t>https://lintvkrqe.files.wordpress.com/2015/08/marvin.png?w=351</t>
  </si>
  <si>
    <t>https://localtvwhnt.files.wordpress.com/2015/08/christopher-tompkins.jpg?w=770</t>
  </si>
  <si>
    <t>http://www.gannett-cdn.com/-mm-/2feee69581913188b2cf299f4cee3495a99e38ea/r=537&amp;c=0-0-534-712/http/cdn.tegna-tv.com/-mm-/79df8fa93a29cda0ccbefa9253fdd7143b4ca437/c=16-0-399-511/local/-/media/2015/08/24/WTLV/WTLV/635760223283433872-110.jpg</t>
  </si>
  <si>
    <t>http://www.news3lv.com/media/lib/166/1/2/5/1253516c-7ddf-4dd7-8c51-c93e9f588679/Original.jpg</t>
  </si>
  <si>
    <t>http://bloximages.chicago2.vip.townnews.com/grandrapidsmn.com/content/tncms/assets/v3/editorial/8/3b/83b1ca04-4ffc-11e5-ad77-6f83536a09fe/55e47f70cd36f.image.jpg?resize=300%2C213</t>
  </si>
  <si>
    <t>http://bloximages.chicago2.vip.townnews.com/fredericksburg.com/content/tncms/assets/v3/editorial/c/6a/c6a518a6-4a8f-11e5-9867-e704cb5d9455/55db6586f3aca.image.jpg</t>
  </si>
  <si>
    <t>http://www.kansas.com/news/local/crime/r08yss/picture32105475/ALTERNATES/FREE_320/Nicholas%20Garner%201</t>
  </si>
  <si>
    <t>https://lintvwivb.files.wordpress.com/2015/08/thaddeus-faison.jpg</t>
  </si>
  <si>
    <t>https://localtvwghp.files.wordpress.com/2015/08/untitled-213.jpg?w=770</t>
  </si>
  <si>
    <t>http://cdn.abclocal.go.com/content/kabc/images/cms/automation/vod/951884_630x354.jpg</t>
  </si>
  <si>
    <t>http://www.gannett-cdn.com/-mm-/a2664058176a9ff4cae92b8cdc4e8763a554b8c9/c=50-20-609-440&amp;r=x404&amp;c=534x401/local/-/media/2015/08/20/DetroitFreePress/DetroitFreePress/635756876412518122-leviere-ransom.JPG</t>
  </si>
  <si>
    <t>http://i.dailymail.co.uk/i/pix/2015/08/20/08/2B838CE700000578-3203849-image-a-8_1440056342444.jpg</t>
  </si>
  <si>
    <t>http://whns.images.worldnow.com/images/8617596_G.jpg</t>
  </si>
  <si>
    <t>https://blackopswiki.s3.amazonaws.com/uploads/article/avatar/367/large_avatar_frederick_roy.jpg</t>
  </si>
  <si>
    <t>http://www.trbimg.com/img-55d4fdaf/turbine/la-me-inmate-killed-by-guards-in-third-prison--002/550/309x550</t>
  </si>
  <si>
    <t>http://pbs.twimg.com/media/CMxQAW5VEAAvMJF.jpg</t>
  </si>
  <si>
    <t>http://funds.gfmcdn.com/5696790_1439869229.992.jpg</t>
  </si>
  <si>
    <t>http://www.fresnobee.com/news/local/crime/h2le4i/picture31453181/ALTERNATES/FREE_640/Allen%20Matthew%20Baker%20III</t>
  </si>
  <si>
    <t>http://www.trbimg.com/img-55d0c66a/turbine/la-ashley-la0030492077-20150816/378/378x213</t>
  </si>
  <si>
    <t>http://www.sgvtribune.com/apps/pbcsi.dll/storyimage/LC/20150819/NEWS/150819459/AR/0/AR-150819459.jpg&amp;maxh=400&amp;maxw=667</t>
  </si>
  <si>
    <t>http://www.trbimg.com/img-55d2252a/turbine/hc-bolton-chase-update-0818-20150817-001/900/900x506</t>
  </si>
  <si>
    <t>http://assets.dnainfo.com/generated/photo/2015/08/garland-tyree-1439558833.jpg/extralarge.jpg</t>
  </si>
  <si>
    <t>https://cbssanfran.files.wordpress.com/2015/08/nathaniel_wilks_081415.jpg</t>
  </si>
  <si>
    <t>http://woio.images.worldnow.com/images/7942214_G.jpg</t>
  </si>
  <si>
    <t>http://bloximages.chicago2.vip.townnews.com/wacotrib.com/content/tncms/assets/v3/editorial/4/82/48227766-7587-5e01-bab0-26e1b520923e/55cbc329cd5f0.image.jpg?resize=300%2C376</t>
  </si>
  <si>
    <t>http://bloximages.newyork1.vip.townnews.com/oaoa.com/content/tncms/assets/v3/editorial/3/b1/3b1e4ae8-4132-11e5-bdc3-0b12b6b90913/55cbaf23977b2.image.jpg?resize=300%2C225</t>
  </si>
  <si>
    <t>http://www.gannett-cdn.com/-mm-/50bfa768de97848c37c1fb3e15502aa34121135b/c=0-164-480-435&amp;r=x633&amp;c=1200x630/local/-/media/2015/08/11/Phoenix/Phoenix/635749053959669052-Richard-Tyler-Young.jpg</t>
  </si>
  <si>
    <t>http://www.gannett-cdn.com/-mm-/02917320db0bb106be0fa752e1f70cf8886fb7bf/c=96-0-673-434&amp;r=x404&amp;c=534x401/local/-/media/2015/08/10/Indianapolis/Indianapolis/635747915088190620-andre-green-fox59.jpg</t>
  </si>
  <si>
    <t>http://media.graytvinc.com/images/EricTompkins.jpg</t>
  </si>
  <si>
    <t>http://www.mcleanfuneral.com/obituary/Jeffery-Clyde-Jeff-Wilkes/Gastonia-NC/1535971</t>
  </si>
  <si>
    <t>http://khq.images.worldnow.com/images/8550850_G.jpg</t>
  </si>
  <si>
    <t>http://www.postandcourier.com/storyimage/CP/20150810/PC16/150819946/EP/1/1/EP-150819946.jpg&amp;MaxW=520&amp;q=85</t>
  </si>
  <si>
    <t>http://www.fresnobee.com/news/local/crime/e474cp/picture30449874/ALTERNATES/FREE_960/080715%20Aaron%20Allen%20Marchese</t>
  </si>
  <si>
    <t>http://www.reviewjournal.com/sites/default/files/styles/large/public/field/media/1003395444%2520OISBRIEFING_0815.jpg?itok=K0Dq-QFt</t>
  </si>
  <si>
    <t>https://img.washingtonpost.com/wp-apps/imrs.php?src=https://img.washingtonpost.com/rf/image_908w/2010-2019/Wires/Images/2015-08-08/AP/Killings_by_Police-Football_Player-01655.jpg&amp;w=1484</t>
  </si>
  <si>
    <t>https://cbsla.files.wordpress.com/2015/08/derrick_hunt.jpg?w=1280</t>
  </si>
  <si>
    <t>https://mgtvwnct.files.wordpress.com/2015/08/tsombe-clark.jpg</t>
  </si>
  <si>
    <t>http://extras.mnginteractive.com/live/media/site525/2015/0814/20150814_040907_unnamed.jpg</t>
  </si>
  <si>
    <t>https://blackopswiki.s3.amazonaws.com/uploads/article/avatar/351/large_avatar_gustavvo_ponce-galon.jpg</t>
  </si>
  <si>
    <t>https://ioneadwnews.files.wordpress.com/2015/08/troy.jpg?w=221&amp;h=228</t>
  </si>
  <si>
    <t>https://tacomastories.files.wordpress.com/2015/08/jasongalaviz.jpg?w=300&amp;h=300</t>
  </si>
  <si>
    <t>https://localtvwtvr.files.wordpress.com/2015/08/shooter.jpg?w=770&amp;h=433</t>
  </si>
  <si>
    <t>http://img.huffingtonpost.com//asset/scalefit_630_noupscale/55cd530e1d00002f00144c8d.jpeg?cache=aG1Q941U8e</t>
  </si>
  <si>
    <t>http://www.killedbypolice.net/victims/150696.jpg</t>
  </si>
  <si>
    <t>http://s3.reutersmedia.net/resources/r/?m=02&amp;d=20150806&amp;t=2&amp;i=1069792663&amp;w=976&amp;fh=&amp;fw=&amp;ll=&amp;pl=&amp;sq=&amp;r=LYNXNPEB75047</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</si>
  <si>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</si>
  <si>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http://extras.mnginteractive.com/live/media/site568/2015/0807/20150807__ois~1.JPG</t>
  </si>
  <si>
    <t>https://mgtvwric.files.wordpress.com/2015/08/frank-short.jpg</t>
  </si>
  <si>
    <t>https://mgtvwhtm.files.wordpress.com/2015/08/55c248d06dc55-image.jpg?w=300</t>
  </si>
  <si>
    <t>http://www.gannett-cdn.com/-mm-/4a642aabe5f985a52bba9ddf24c8c1b9c310561c/c=0-58-401-593&amp;r=537&amp;c=0-0-534-712/local/-/media/2015/08/03/Muncie/B9318324335Z.1_20150803220258_000_GL1BHGGFA.1-0.jpg</t>
  </si>
  <si>
    <t>http://ak-cache.legacy.net/legacy/images/cobrands/dignitymemorial/photos/ecf6168a-835c-4498-a00e-86434b125335.jpgx?w=130&amp;h=180&amp;option=1&amp;v=0x000000003111f297</t>
  </si>
  <si>
    <t>Cops intervened when they heard/saw Carney assaulting a woman in a car at an ATM. Cops tasered him twice and he died from his injuries.</t>
  </si>
  <si>
    <t>http://www.wlwt.com/news/police-id-robbery-suspect-who-died-after-taser-shock/35034920</t>
  </si>
  <si>
    <t>Dyksma tried to flee from officers after he was stopped during a high speed chase, and officers tasered him.</t>
  </si>
  <si>
    <t>http://www.wtvm.com/story/29926838/teen-dies-after-police-tasing-incident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</si>
  <si>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</si>
  <si>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</si>
  <si>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Leon was shot when he pulled out a gun while being pursued by officers on a bicycle. He matched the description of a man who attempted to burglarize a home earlier that morning.</t>
  </si>
  <si>
    <t>http://www.kvoa.com/story/29916976/officer-involved-shooting-near-park-and-drexel</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</si>
  <si>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</si>
  <si>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</si>
  <si>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Brown was shot during when he turned toward a police officer with a gun.</t>
  </si>
  <si>
    <t>http://www.reviewjournal.com/news/las-vegas/man-dies-after-metro-involved-shooting-north-las-vegas</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</si>
  <si>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</si>
  <si>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http://www.chicagotribune.com/news/local/breaking/ct-chicago-police-involved-shooting-20150829-story.html</t>
  </si>
  <si>
    <t>Officers responded to a robbery, Albrecht charged at them with a knife and was shot by both of the two officers once.</t>
  </si>
  <si>
    <t>http://www.mysanantonio.com/news/local/article/Officer-involved-shooting-leaves-one-dead-on-6473238.php</t>
  </si>
  <si>
    <t>An off-duty officer called for backup when he spotted Dial in the parking lot of a Walgreens wearing a mask, police said. Dial reportedly got out of his car with a gun visible when a responding officer shot him.</t>
  </si>
  <si>
    <t>Under investigation</t>
  </si>
  <si>
    <t>http://www.kltv.com/story/29931923/man-shot-by-longview-officer-dies</t>
  </si>
  <si>
    <t>Kumi was an innocent bystander during a sting, he was shot by an undercover officer while standing directly behind the suspect.</t>
  </si>
  <si>
    <t>http://www.nydailynews.com/new-york/bystander-dies-hit-nypd-bullets-article-1.2341345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</si>
  <si>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</si>
  <si>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</si>
  <si>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Officers called to CVS because Hober was threatening employees with a boxcutter. Officer shot Hober when he approached him with box cutter.</t>
  </si>
  <si>
    <t>http://www.nbcsandiego.com/news/local/Robert-Hober-Eric-Oberndorfer-Fatal-Officer-Involved-Shooting-IDd-323528221.html</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</si>
  <si>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</si>
  <si>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</si>
  <si>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Officers responded to a robbery, they attempted to subdue Davis with a Taser but when that failed, and officer saw a gun in his hand, he was shot.</t>
  </si>
  <si>
    <t>http://www.dallasnews.com/news/metro/20150903-dallas-police-man-killed-by-officer-had-pellet-gun.ece</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</si>
  <si>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</si>
  <si>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</si>
  <si>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Hall was a passenger in a vehicle that turned left into an officer's path and the passenger's side was struck. Alcohol was reported to be involved.</t>
  </si>
  <si>
    <t>http://www.kansascity.com/news/local/article32618871.html</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</si>
  <si>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</si>
  <si>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</si>
  <si>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</si>
  <si>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</si>
  <si>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</si>
  <si>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</si>
  <si>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</si>
  <si>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</si>
  <si>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http://articles.philly.com/2015-08-27/news/65891377_1_county-courthouse-smith-deputy-sheriff-shot</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</si>
  <si>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</si>
  <si>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</si>
  <si>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Detectives were investigating a separate shooting when Arroliga shot at them and the officers returned fire, police said.</t>
  </si>
  <si>
    <t>http://www.miamiherald.com/news/local/crime/article32465772.html</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</si>
  <si>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</si>
  <si>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</si>
  <si>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</si>
  <si>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</si>
  <si>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</si>
  <si>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</si>
  <si>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</si>
  <si>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</si>
  <si>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</si>
  <si>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</si>
  <si>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</si>
  <si>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</si>
  <si>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</si>
  <si>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</si>
  <si>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</si>
  <si>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</si>
  <si>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</si>
  <si>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</si>
  <si>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</si>
  <si>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</si>
  <si>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Garner attempted to flee traffic stop and was shot by officer.</t>
  </si>
  <si>
    <t>http://www.kansas.com/news/local/crime/article32105529.html</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</si>
  <si>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</si>
  <si>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</si>
  <si>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Rushton barricaded himself in a room, then charged police with a kitchen knife when they tried to take him into custody.</t>
  </si>
  <si>
    <t>http://www.wral.com/police-wake-forest-man-charged-officers-with-knife-before-being-shot/14847812/</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</si>
  <si>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</si>
  <si>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</si>
  <si>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Police were called about an armed man. When they arrived to the scene, the man confronted them with a gun, and he was shot.</t>
  </si>
  <si>
    <t>http://www.ifiberone.com/news/masoncounty/man-fatally-shot-by-mason-county-sheriff-s-deputy/article_3efae09e-4db8-11e5-a8f9-ff9b94dd2298.html</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</si>
  <si>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</si>
  <si>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</si>
  <si>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</si>
  <si>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</si>
  <si>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Gerken was killed after a standoff with county deputies, police said. Gerken allegedly opened fire on deputies before they returned fire and killed him.</t>
  </si>
  <si>
    <t>http://www.thenewscenter.tv/home/headlines/new-details.html</t>
  </si>
  <si>
    <t>Police chased Ransom until he pulled into a parking lot, pulled out a handgun, and officers opened fire.</t>
  </si>
  <si>
    <t>http://www.freep.com/story/news/local/michigan/oakland/2015/08/20/police-chase-troy-bloomfield-hills-warren-absconder-shooting/32056645/</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</si>
  <si>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</si>
  <si>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</si>
  <si>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http://www.stltoday.com/news/local/crime-and-courts/fires-set-off-police-confront-crowds-hours-after-st-louis/article_9eae9155-9f8e-5296-b836-45326918fda3.html</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</si>
  <si>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</si>
  <si>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</si>
  <si>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The officer was responding to a report of a shooting when he approached Roy, who pulled a revolver out of his waistband, police said. The two struggled over the gun prompting the officer to fire his own weapon, police said.</t>
  </si>
  <si>
    <t>Police were chasing Jacquez when he crashed the vehicle and ran toward a home, unarmed, when police shot him once in the back and once when he turned around.</t>
  </si>
  <si>
    <t>http://www.latimes.com/local/crime/la-me-san-jose-police-20150822-story.html</t>
  </si>
  <si>
    <t>Police were investigating a recent homicide when two officers fired at Castillo, a suspect, after he reached for a handgun, according to police.</t>
  </si>
  <si>
    <t>http://www.nbcbayarea.com/news/local/Officer-Involved-Shooting-in-San-Jose-322019022.html?utm_source=dlvr.it&amp;utm_medium=twitter</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</si>
  <si>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</si>
  <si>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</si>
  <si>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</si>
  <si>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</si>
  <si>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</si>
  <si>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</si>
  <si>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</si>
  <si>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</si>
  <si>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</si>
  <si>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</si>
  <si>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</si>
  <si>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</si>
  <si>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</si>
  <si>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</si>
  <si>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</si>
  <si>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</si>
  <si>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</si>
  <si>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</si>
  <si>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</si>
  <si>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</si>
  <si>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Police were pursuing Wilks in a car chase when Wilks crashed his vehicle. He then attempted to carjack another car, pointed a gun at police, and was shot by three officers.</t>
  </si>
  <si>
    <t>http://www.sfgate.com/bayarea/article/Calls-for-justice-at-vigil-for-man-killed-by-6445927.php</t>
  </si>
  <si>
    <t>http://abc7.com/news/armed-woman-shot-by-police-in-crenshaw-district/925223/</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</si>
  <si>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</si>
  <si>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</si>
  <si>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</si>
  <si>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</si>
  <si>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</si>
  <si>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</si>
  <si>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</si>
  <si>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</si>
  <si>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</si>
  <si>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</si>
  <si>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</si>
  <si>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</si>
  <si>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</si>
  <si>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</si>
  <si>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</si>
  <si>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</si>
  <si>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</si>
  <si>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</si>
  <si>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</si>
  <si>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</si>
  <si>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</si>
  <si>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</si>
  <si>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</si>
  <si>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</si>
  <si>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</si>
  <si>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</si>
  <si>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</si>
  <si>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</si>
  <si>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Correa was apparently found hiding in a closet of a home police were investigating for a broken window. Police said Correa lunged at officers with a sharp object.</t>
  </si>
  <si>
    <t>http://www.reviewjournal.com/news/las-vegas/police-shoot-kill-man-holding-sharp-object</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</si>
  <si>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</si>
  <si>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</si>
  <si>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</si>
  <si>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</si>
  <si>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</si>
  <si>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</si>
  <si>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Uknown</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</si>
  <si>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</si>
  <si>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</si>
  <si>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The officer, who was off duty, intervened when a fight broke out at a restaurant. Police said Clark pulled out a weapon and fired at the officer, and the officer returned fire.</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</si>
  <si>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</si>
  <si>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</si>
  <si>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</si>
  <si>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Robinson ran from an officer after a traffic stop. The office deployed his Taser, and Robinson fell from an eight-foot wall, sustaining fatal injuries.</t>
  </si>
  <si>
    <t>http://atlantadailyworld.com/2015/08/21/rally-to-protest-taser-death-of-troy-robinson-by-police-at-dekalb-courthouse/</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</si>
  <si>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</si>
  <si>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http://tacomastories.com/2015/08/07/seventh-tacoma-homicide-of-2015-jason-galaviz/</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</si>
  <si>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</si>
  <si>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http://www.wisn.com/news/report-of-officerinvolved-shooting-in-greenfield/34562304</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</si>
  <si>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</si>
  <si>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</si>
  <si>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</si>
  <si>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</si>
  <si>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</si>
  <si>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</si>
  <si>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</si>
  <si>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</si>
  <si>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</si>
  <si>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http://www.nbcsandiego.com/news/local/Suspect-IDd-in-Fatal-Orange-County-Deputy-Involved-Shooting-on-I-5-Near-Camp-Pendleton-320828071.html</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</si>
  <si>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</si>
  <si>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http://www.news-gazette.com/news/local/2015-08-06/police-describe-events-leading-fatal-shooting-rantoul-standoff.html</t>
  </si>
  <si>
    <t>Clements was suspected of sexual assault, and when officers arrived at his residence, he came out and shot an officer in the chest. Then, officers shot him to death.</t>
  </si>
  <si>
    <t>http://www.contracostatimes.com/breaking-news/ci_28602957/sexual-assault-suspect-slain-gunbattle-police-identified</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</si>
  <si>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</si>
  <si>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</si>
  <si>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</si>
  <si>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</si>
  <si>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http://www.nj.com/burlington/index.ssf/2015/08/what_we_know_about_nj_teen_killed_by_police_in_sho.html</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</si>
  <si>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</si>
  <si>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http://www.theindychannel.com/news/local-news/man-in-shot-muncie-standoff-dies-at-hospital</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</si>
  <si>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</si>
  <si>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</si>
  <si>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</si>
  <si>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</si>
  <si>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Cook was reportedly involved in a domestic dispute but fled the scene before an officer arrived. He was found at a nearby boat ramp where he shot at an officer, before the officer returned fire, according to police.</t>
  </si>
  <si>
    <t>http://wvmetronews.com/2015/08/02/shootout-with-police-in-nitro-kills-suspect/</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</si>
  <si>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</si>
  <si>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http://www.dallasnews.com/news/crime/headlines/20150801-authorities-investigating-after-man-dies-in-dallas-county-jail-lobby.ece</t>
  </si>
  <si>
    <t>E Liberty St &amp; Walnut St</t>
  </si>
  <si>
    <t>45202</t>
  </si>
  <si>
    <t>31811</t>
  </si>
  <si>
    <t>3451 Mountain Lion Drive</t>
  </si>
  <si>
    <t>80537</t>
  </si>
  <si>
    <t>5800 block S Southland Blvd</t>
  </si>
  <si>
    <t>85706</t>
  </si>
  <si>
    <t>500 block S Little Ave</t>
  </si>
  <si>
    <t>19th Street and South Ashland Avenue</t>
  </si>
  <si>
    <t>78249</t>
  </si>
  <si>
    <t>75604</t>
  </si>
  <si>
    <t>Mt. Vernon</t>
  </si>
  <si>
    <t>10553</t>
  </si>
  <si>
    <t>78255</t>
  </si>
  <si>
    <t>92108</t>
  </si>
  <si>
    <t>300 E Center St</t>
  </si>
  <si>
    <t>3600 block Penelope St.</t>
  </si>
  <si>
    <t>75210</t>
  </si>
  <si>
    <t>14600 Valerio St</t>
  </si>
  <si>
    <t>91405</t>
  </si>
  <si>
    <t>6000 block N 7th St</t>
  </si>
  <si>
    <t>200 MacArthur Blvd and Van Buren Ave</t>
  </si>
  <si>
    <t>5900 TN-153</t>
  </si>
  <si>
    <t>37343</t>
  </si>
  <si>
    <t>6420 W 9500 S</t>
  </si>
  <si>
    <t>84081</t>
  </si>
  <si>
    <t>37075</t>
  </si>
  <si>
    <t>19380</t>
  </si>
  <si>
    <t>Cerrillos Road and Beckner Road</t>
  </si>
  <si>
    <t>New Mexico State Police, Santa Fe Police Department, Santa Fe County Sheriff's Office</t>
  </si>
  <si>
    <t>13200 NW 7th Ave</t>
  </si>
  <si>
    <t>33592</t>
  </si>
  <si>
    <t>104 Mae Matilda Ct</t>
  </si>
  <si>
    <t>27263</t>
  </si>
  <si>
    <t>35016</t>
  </si>
  <si>
    <t>08724</t>
  </si>
  <si>
    <t>32220</t>
  </si>
  <si>
    <t>400 block Lakehurst Rd</t>
  </si>
  <si>
    <t>89145</t>
  </si>
  <si>
    <t>400 block 2nd Street</t>
  </si>
  <si>
    <t>55721</t>
  </si>
  <si>
    <t>Itasca County Sheriff's Office</t>
  </si>
  <si>
    <t>1215 Olive Drive</t>
  </si>
  <si>
    <t>10000 block Tinsbloom Mill Lane</t>
  </si>
  <si>
    <t>22485</t>
  </si>
  <si>
    <t>6100 block West Kellogg Dr.</t>
  </si>
  <si>
    <t>67209</t>
  </si>
  <si>
    <t>12182</t>
  </si>
  <si>
    <t>1117 Chamberwell Ave.</t>
  </si>
  <si>
    <t>27587</t>
  </si>
  <si>
    <t>75 North East Plaza</t>
  </si>
  <si>
    <t>21901</t>
  </si>
  <si>
    <t>100 block E. Huckleberry Drive</t>
  </si>
  <si>
    <t>98546</t>
  </si>
  <si>
    <t>3202 University Boulevard East</t>
  </si>
  <si>
    <t>35404</t>
  </si>
  <si>
    <t>S Archibald Ave &amp; E Riverside Dr</t>
  </si>
  <si>
    <t>91761</t>
  </si>
  <si>
    <t>45715</t>
  </si>
  <si>
    <t>Woodward Avenue and Square Lake Road</t>
  </si>
  <si>
    <t>Bloomfield Hills</t>
  </si>
  <si>
    <t>48302</t>
  </si>
  <si>
    <t>Bloomfield Police Department, Warren Police Department</t>
  </si>
  <si>
    <t>Highway 25 and Lemon St</t>
  </si>
  <si>
    <t>99137</t>
  </si>
  <si>
    <t>St Louis</t>
  </si>
  <si>
    <t>28786</t>
  </si>
  <si>
    <t>77026</t>
  </si>
  <si>
    <t>Stoneyhaven Way and Kirkhaven Ct San Jose, California</t>
  </si>
  <si>
    <t>3100 block Senter Road</t>
  </si>
  <si>
    <t>78028</t>
  </si>
  <si>
    <t>700 block San Aleso Ave</t>
  </si>
  <si>
    <t>93527</t>
  </si>
  <si>
    <t>4012 W 400 S Rd</t>
  </si>
  <si>
    <t>47243</t>
  </si>
  <si>
    <t>89706</t>
  </si>
  <si>
    <t>12701 Schabarum Ave</t>
  </si>
  <si>
    <t>91706</t>
  </si>
  <si>
    <t>Los Angeles County Sheriff's Office, Baldwin Park Police Department</t>
  </si>
  <si>
    <t>Walker Mill Rd &amp; Marlboro Pike</t>
  </si>
  <si>
    <t>Spauldings</t>
  </si>
  <si>
    <t>20743</t>
  </si>
  <si>
    <t>Prince George's Police Department</t>
  </si>
  <si>
    <t>06043</t>
  </si>
  <si>
    <t>78006</t>
  </si>
  <si>
    <t>Cawston Ave. and Acacia Ave.</t>
  </si>
  <si>
    <t>92545</t>
  </si>
  <si>
    <t>27th Street and Martin Luther King Jr. Way</t>
  </si>
  <si>
    <t>94612</t>
  </si>
  <si>
    <t>1137 Earl St.</t>
  </si>
  <si>
    <t>43605</t>
  </si>
  <si>
    <t>225 E Teague Dr</t>
  </si>
  <si>
    <t>88242</t>
  </si>
  <si>
    <t>Lea County Sheriff's Office and Hobbs Police Department</t>
  </si>
  <si>
    <t>76708</t>
  </si>
  <si>
    <t>79762</t>
  </si>
  <si>
    <t>E Guadalupe Rd &amp; N Val Vista Dr.</t>
  </si>
  <si>
    <t>85234</t>
  </si>
  <si>
    <t>3300 block N Butler Ave</t>
  </si>
  <si>
    <t>95116</t>
  </si>
  <si>
    <t>101 North Main Street</t>
  </si>
  <si>
    <t>18640</t>
  </si>
  <si>
    <t>4908 Greenwood Drive</t>
  </si>
  <si>
    <t>600 block E Sanson Ave</t>
  </si>
  <si>
    <t>3rd street and Kenney street</t>
  </si>
  <si>
    <t>29483</t>
  </si>
  <si>
    <t>W Shaw Ave &amp; N Hayes Ave</t>
  </si>
  <si>
    <t>93723</t>
  </si>
  <si>
    <t>89147</t>
  </si>
  <si>
    <t>1400 I-20</t>
  </si>
  <si>
    <t>Fifth St. and Penn St.</t>
  </si>
  <si>
    <t>59872</t>
  </si>
  <si>
    <t>Mineral County Sheriff's Office</t>
  </si>
  <si>
    <t>27858</t>
  </si>
  <si>
    <t>4024 Dyer St</t>
  </si>
  <si>
    <t>79930</t>
  </si>
  <si>
    <t>41018</t>
  </si>
  <si>
    <t>2150 Flat Shoals Rd</t>
  </si>
  <si>
    <t>30032</t>
  </si>
  <si>
    <t>S. 56th and Washington Street</t>
  </si>
  <si>
    <t>9050 W. Waterford Square</t>
  </si>
  <si>
    <t>53228</t>
  </si>
  <si>
    <t>2100 block West Cary Street</t>
  </si>
  <si>
    <t>23220</t>
  </si>
  <si>
    <t>Keopuolani Regional Park</t>
  </si>
  <si>
    <t>96732</t>
  </si>
  <si>
    <t>300 S 1st St</t>
  </si>
  <si>
    <t>40202</t>
  </si>
  <si>
    <t>Las Pulgas Rd &amp; I-5</t>
  </si>
  <si>
    <t>92058</t>
  </si>
  <si>
    <t>Orange County Sheriff's Office, US Border Patrol</t>
  </si>
  <si>
    <t>801 W Champaign Ave</t>
  </si>
  <si>
    <t>61866</t>
  </si>
  <si>
    <t>3800 block Martin Luther King Jr. Way</t>
  </si>
  <si>
    <t>94609</t>
  </si>
  <si>
    <t>2100 block Urbine Rd</t>
  </si>
  <si>
    <t>23139</t>
  </si>
  <si>
    <t>Powhatan County Sheriff's Office</t>
  </si>
  <si>
    <t>17078</t>
  </si>
  <si>
    <t>2100 block S Pershing Dr</t>
  </si>
  <si>
    <t>47302</t>
  </si>
  <si>
    <t>9900 Beechnut St</t>
  </si>
  <si>
    <t>307 Broadway Ave</t>
  </si>
  <si>
    <t>25143</t>
  </si>
  <si>
    <t>75207</t>
  </si>
  <si>
    <t>Santino Burce</t>
  </si>
  <si>
    <t>500 block Watkins St</t>
  </si>
  <si>
    <t>55051</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</si>
  <si>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</si>
  <si>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</si>
  <si>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25801</t>
  </si>
  <si>
    <t>http://www.wowktv.com/story/30144266/wv-turnpike-shut-down-following-shots-fired-near-north-beckley</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</si>
  <si>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</si>
  <si>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</si>
  <si>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1100 block W San Ysidro Blvd</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</si>
  <si>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</si>
  <si>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</si>
  <si>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NW 119th St &amp; I-95</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</si>
  <si>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</si>
  <si>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</si>
  <si>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</si>
  <si>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25 Cochran Dr</t>
  </si>
  <si>
    <t>30741</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</si>
  <si>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</si>
  <si>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</si>
  <si>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</si>
  <si>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</si>
  <si>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</si>
  <si>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600 block Robinson Rd</t>
  </si>
  <si>
    <t>76259</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</si>
  <si>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</si>
  <si>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</si>
  <si>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</si>
  <si>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</si>
  <si>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6648 Maplewood Dr</t>
  </si>
  <si>
    <t>70812</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</si>
  <si>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</si>
  <si>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</si>
  <si>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</si>
  <si>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</si>
  <si>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</si>
  <si>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</si>
  <si>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</si>
  <si>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</si>
  <si>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</si>
  <si>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</si>
  <si>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9200 block S. Steven Trail</t>
  </si>
  <si>
    <t>86332</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</si>
  <si>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</si>
  <si>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</si>
  <si>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500 block North Main St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</si>
  <si>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</si>
  <si>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</si>
  <si>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</si>
  <si>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</si>
  <si>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</si>
  <si>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</si>
  <si>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</si>
  <si>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775 Legend Oak Dr</t>
  </si>
  <si>
    <t>Police have released few details about the shooting, but said that officers responded to a disturbance call and that they shot O'Grady, who was armed, after entering the house.</t>
  </si>
  <si>
    <t>http://gazette.com/fountain-police-officer-who-fatally-shot-teen-is-identified/article/1560162</t>
  </si>
  <si>
    <t>600 block S. Canton St</t>
  </si>
  <si>
    <t>55102</t>
  </si>
  <si>
    <t>Officers responded to a report of a suicidal man and shot Quinn when he allegedly advanced at them with a screwdriver and refused commands to stop.</t>
  </si>
  <si>
    <t>http://www.startribune.com/st-paul-man-killed-in-officer-involved-shooting-is-identified/329566071/</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</si>
  <si>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</si>
  <si>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</si>
  <si>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</si>
  <si>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1800 block Tulip Street</t>
  </si>
  <si>
    <t>19805</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</si>
  <si>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</si>
  <si>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</si>
  <si>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75069</t>
  </si>
  <si>
    <t>Collin</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</si>
  <si>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</si>
  <si>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</si>
  <si>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</si>
  <si>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</si>
  <si>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</si>
  <si>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12000 block Comers Rock Rd</t>
  </si>
  <si>
    <t>24378</t>
  </si>
  <si>
    <t>Grayson</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</si>
  <si>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</si>
  <si>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</si>
  <si>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838 S. Roberta St</t>
  </si>
  <si>
    <t>Berger allegedly broke into two homes and was stabbing a woman in the second when officers shot him. Police said the woman's condition is unknown.</t>
  </si>
  <si>
    <t>http://fox13now.com/2015/09/23/officer-kills-burglary-suspect-found-stabbing-woman-in-salt-lake-break-in/</t>
  </si>
  <si>
    <t>17199 E 14th St</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</si>
  <si>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</si>
  <si>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</si>
  <si>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100 block Spur Ranch Ave</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</si>
  <si>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</si>
  <si>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</si>
  <si>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32578</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</si>
  <si>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</si>
  <si>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</si>
  <si>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FL-40 &amp; Co Rd 3</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</si>
  <si>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</si>
  <si>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</si>
  <si>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</si>
  <si>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1200 Dixie Drive</t>
  </si>
  <si>
    <t>33823</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</si>
  <si>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</si>
  <si>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</si>
  <si>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</si>
  <si>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</si>
  <si>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</si>
  <si>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</si>
  <si>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</si>
  <si>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</si>
  <si>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</si>
  <si>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</si>
  <si>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</si>
  <si>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</si>
  <si>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</si>
  <si>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</si>
  <si>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800 block W Washington St</t>
  </si>
  <si>
    <t>46176</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</si>
  <si>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</si>
  <si>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</si>
  <si>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1200 block Pipestone Rd</t>
  </si>
  <si>
    <t>Bedford was crossing the street when she was hit by an officer's squad car, police said. The officer was responding to a domestic disturbance call, according to authorities.</t>
  </si>
  <si>
    <t>http://www.wsbt.com/news/local/police-benton-charter-twp-officer-strikes-kills-pedestrian/35391048</t>
  </si>
  <si>
    <t>22802</t>
  </si>
  <si>
    <t>Pierce allegedly refused to drop his gun after encountering officers who were responding to a report of a disturbance at a home.</t>
  </si>
  <si>
    <t>http://www.dnronline.com/article/hpd_officer_shooting</t>
  </si>
  <si>
    <t>6400 Marine Dr</t>
  </si>
  <si>
    <t>98271</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</si>
  <si>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</si>
  <si>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</si>
  <si>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</si>
  <si>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</si>
  <si>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</si>
  <si>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</si>
  <si>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</si>
  <si>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</si>
  <si>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1420 Freeman Loop</t>
  </si>
  <si>
    <t>37051</t>
  </si>
  <si>
    <t>Dickson</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</si>
  <si>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</si>
  <si>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</si>
  <si>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</si>
  <si>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</si>
  <si>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</si>
  <si>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</si>
  <si>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</si>
  <si>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</si>
  <si>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34.198852, -117.371539</t>
  </si>
  <si>
    <t>San Bernardino County Sheriff's Office</t>
  </si>
  <si>
    <t>Johnson, a home burglary suspect, was shot by deputies from a helicopter during a high-speed chase. He collapsed after fleeing his SUV when he crashed into another vehicle.</t>
  </si>
  <si>
    <t>http://www.pe.com/articles/activity-780802-police-freeway.html</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</si>
  <si>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</si>
  <si>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</si>
  <si>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</si>
  <si>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</si>
  <si>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</si>
  <si>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48612</t>
  </si>
  <si>
    <t>Gladwin</t>
  </si>
  <si>
    <t>Michigan State Police</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</si>
  <si>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</si>
  <si>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</si>
  <si>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4400 block Lee St.</t>
  </si>
  <si>
    <t>71302</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</si>
  <si>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</si>
  <si>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</si>
  <si>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4100 block Willimet St</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</si>
  <si>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</si>
  <si>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</si>
  <si>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</si>
  <si>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</si>
  <si>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</si>
  <si>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</si>
  <si>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St. Bernard Highway and Andres Street</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</si>
  <si>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</si>
  <si>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</si>
  <si>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</si>
  <si>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</si>
  <si>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</si>
  <si>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W 8th St &amp; Woodlawn Ave</t>
  </si>
  <si>
    <t>35150</t>
  </si>
  <si>
    <t>Talladega</t>
  </si>
  <si>
    <t>A Talladega County sheriff’s deputy shot and killed Derek Davis.</t>
  </si>
  <si>
    <t>http://wiat.com/2015/09/13/family-of-man-killed-in-deputy-involved-shooting-speaks-out/</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</si>
  <si>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</si>
  <si>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</si>
  <si>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</si>
  <si>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12175 W Dillon Rd</t>
  </si>
  <si>
    <t>80026</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</si>
  <si>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</si>
  <si>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</si>
  <si>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</si>
  <si>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</si>
  <si>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</si>
  <si>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</si>
  <si>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6775 Dunsany Ln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</si>
  <si>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</si>
  <si>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</si>
  <si>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</si>
  <si>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90240</t>
  </si>
  <si>
    <t>Los Angeles County Sheriff's Office</t>
  </si>
  <si>
    <t>Police said Tapia robbed a pharmacy of money at gunpoint, and was fatally shot minutes later after he pointed a gun at officers from his car during a brief pursuit.</t>
  </si>
  <si>
    <t>http://ktla.com/2015/09/11/suspected-carjacker-fatally-shot-by-deputies-after-taking-hostages-at-downey-restaurant-authorities/</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</si>
  <si>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</si>
  <si>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</si>
  <si>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</si>
  <si>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</si>
  <si>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</si>
  <si>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1978 Holmgren Way</t>
  </si>
  <si>
    <t>54304</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</si>
  <si>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</si>
  <si>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</si>
  <si>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4408 Monroe Avenue</t>
  </si>
  <si>
    <t>After a standoff, victim threatened officers with a hand grenade and was shot, killing him.</t>
  </si>
  <si>
    <t>http://www.kansascity.com/news/local/crime/article34741230.html</t>
  </si>
  <si>
    <t>Bradway Road and Dennis Road</t>
  </si>
  <si>
    <t>99705</t>
  </si>
  <si>
    <t>Fairbanks North Star</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</si>
  <si>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</si>
  <si>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</si>
  <si>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3900 block Glen Way</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</si>
  <si>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</si>
  <si>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</si>
  <si>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</si>
  <si>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1000 block Abington Rd.</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</si>
  <si>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</si>
  <si>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</si>
  <si>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99709</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</si>
  <si>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</si>
  <si>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</si>
  <si>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</si>
  <si>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</si>
  <si>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8500 block Whitcomb Ave</t>
  </si>
  <si>
    <t>48228</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</si>
  <si>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</si>
  <si>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</si>
  <si>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</si>
  <si>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</si>
  <si>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</si>
  <si>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</si>
  <si>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</si>
  <si>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</si>
  <si>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</si>
  <si>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</si>
  <si>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</si>
  <si>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</si>
  <si>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2900 block Holly St.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</si>
  <si>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</si>
  <si>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</si>
  <si>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</si>
  <si>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</si>
  <si>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</si>
  <si>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16700 block Valley Boulevard</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</si>
  <si>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</si>
  <si>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</si>
  <si>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</si>
  <si>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</si>
  <si>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</si>
  <si>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</si>
  <si>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1700 block Angier Ave</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</si>
  <si>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</si>
  <si>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</si>
  <si>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Police fatally shot a man allegedly armed with a metal pipe after responding to a domestic violence call in Ontario. The man was pronounced dead after being struck by gunfire.</t>
  </si>
  <si>
    <t>http://www.nbclosangeles.com/news/local/Ontario-Police-Shooting-324830551.html</t>
  </si>
  <si>
    <t>3200 block Ladoga Ave</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</si>
  <si>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</si>
  <si>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</si>
  <si>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500 block N Mentzer St</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</si>
  <si>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</si>
  <si>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</si>
  <si>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8399 W Ohio St</t>
  </si>
  <si>
    <t>47432</t>
  </si>
  <si>
    <t>Officer responded to domestic violence call about Damiani strangling his wife. When they got to the scene, Damiani charged them while swinging a metal pipe and was fatally shot.</t>
  </si>
  <si>
    <t>http://www.wlky.com/news/1-dead-after-officer-involvedshooting-in-french-lick/35109748</t>
  </si>
  <si>
    <t>E Main St and N 2nd St</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</si>
  <si>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</si>
  <si>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</si>
  <si>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</si>
  <si>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CA 169 and CA 96</t>
  </si>
  <si>
    <t>Weitchpec</t>
  </si>
  <si>
    <t>95546</t>
  </si>
  <si>
    <t>Kelley allegedly fired a gun at an officer during a pursuit, and the officer returned fire, killing him.</t>
  </si>
  <si>
    <t>http://lostcoastoutpost.com/2015/sep/5/man-shot-killed-near-weitchpec-shootout-hoopa-trib/</t>
  </si>
  <si>
    <t>76082</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</si>
  <si>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</si>
  <si>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</si>
  <si>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</si>
  <si>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8 Joppa Rd</t>
  </si>
  <si>
    <t>03054</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</si>
  <si>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</si>
  <si>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</si>
  <si>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4355 Marlow Rd</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</si>
  <si>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</si>
  <si>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</si>
  <si>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</si>
  <si>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211 Federal St</t>
  </si>
  <si>
    <t>A robbery was reported at First Community Bank, and police exchanged fire with Williams, who was heavily armed, fatally wounding him.</t>
  </si>
  <si>
    <t>http://www.wvva.com/story/29931732/2015/09/01/police-engage-active-shooter-in-bluefield</t>
  </si>
  <si>
    <t>2425 Sherwin Dr</t>
  </si>
  <si>
    <t>44087</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</si>
  <si>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</si>
  <si>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</si>
  <si>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88210</t>
  </si>
  <si>
    <t>Officers were executing a search warrant when Evans opened fire on them. Evans was a suspected drug dealer.</t>
  </si>
  <si>
    <t>http://krqe.com/2015/09/01/artesia-man-killed-after-shootout-with-police/</t>
  </si>
  <si>
    <t>Officers responded to a carjacking. When vehicle was pulled over and passengers got out of vehicle, Crawford was hit by front end of oncoming police vehicle.</t>
  </si>
  <si>
    <t>Dion Lamont Ramirez</t>
  </si>
  <si>
    <t>James Joseph Byrd</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</si>
  <si>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</si>
  <si>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</si>
  <si>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</si>
  <si>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</si>
  <si>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</si>
  <si>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</si>
  <si>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42717</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</si>
  <si>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</si>
  <si>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</si>
  <si>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</si>
  <si>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</si>
  <si>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</si>
  <si>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</si>
  <si>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</si>
  <si>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</si>
  <si>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</si>
  <si>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</si>
  <si>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</si>
  <si>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2730 Brandy Dr</t>
  </si>
  <si>
    <t>688 NE 368th Ave</t>
  </si>
  <si>
    <t>32680</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</si>
  <si>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</si>
  <si>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</si>
  <si>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38870</t>
  </si>
  <si>
    <t>Deputies arrived at Keeton's house as part of a drug investigation, authorities said. Keeton fired at deputies when they approached and was killed when they returned fire, police said.</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</si>
  <si>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</si>
  <si>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</si>
  <si>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</si>
  <si>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</si>
  <si>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53168</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</si>
  <si>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</si>
  <si>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</si>
  <si>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</si>
  <si>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92234</t>
  </si>
  <si>
    <t>Hutchinson was shot by officers responding to a domestic disturbance. No other details have been released by authorities.</t>
  </si>
  <si>
    <t>Anna Lane and Sterling Hwy</t>
  </si>
  <si>
    <t>99672</t>
  </si>
  <si>
    <t>Kenai Peninsula</t>
  </si>
  <si>
    <t>Ployhar allegedly fled a traffic stop before eventually stopping. At some point during an ensuing struggle, the officer drew his weapon and fired.</t>
  </si>
  <si>
    <t>http://www.adn.com/article/20151025/man-shot-killed-confrontation-trooper-kenai-peninsula</t>
  </si>
  <si>
    <t>http://www.winknews.com/2015/10/26/cape-pd-identifies-suspect-in-deadly-weekend-shooting/</t>
  </si>
  <si>
    <t>321 Bute Rd</t>
  </si>
  <si>
    <t>State police hit Miller's car in the middle of a high-speed pursuit of a man who drove away during traffic stop, according to authorities.</t>
  </si>
  <si>
    <t>Garfield Ave &amp; Cypress Ave</t>
  </si>
  <si>
    <t>http://www.sacbee.com/news/local/crime/article41204820.html</t>
  </si>
  <si>
    <t>http://www.shreveporttimes.com/story/news/2015/10/22/police-man-knife-shot-officer/74382544/</t>
  </si>
  <si>
    <t>41843</t>
  </si>
  <si>
    <t>Knott</t>
  </si>
  <si>
    <t>Kentucky State Police</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</si>
  <si>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</si>
  <si>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</si>
  <si>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</si>
  <si>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</si>
  <si>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</si>
  <si>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</si>
  <si>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5000 block Ave 309</t>
  </si>
  <si>
    <t>93291</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</si>
  <si>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</si>
  <si>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</si>
  <si>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</si>
  <si>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49508</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</si>
  <si>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</si>
  <si>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</si>
  <si>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Armel Rd and Little Creek Rd</t>
  </si>
  <si>
    <t>70471</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</si>
  <si>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</si>
  <si>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</si>
  <si>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52405</t>
  </si>
  <si>
    <t>Linn</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</si>
  <si>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</si>
  <si>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</si>
  <si>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http://www.sandiegouniontribune.com/news/2015/oct/20/officer-involved-shooting-downtown-san-diego/</t>
  </si>
  <si>
    <t>1325 Hurstbourne Parkway</t>
  </si>
  <si>
    <t>40222</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</si>
  <si>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</si>
  <si>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</si>
  <si>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90061</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</si>
  <si>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</si>
  <si>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http://homicide.latimes.com/post/dion-lamont-ramirez/</t>
  </si>
  <si>
    <t>PGA Blvd &amp; I-95</t>
  </si>
  <si>
    <t>http://www.sun-sentinel.com/local/palm-beach/fl-palm-beach-gardens-officer-shooting-20151019-story.html</t>
  </si>
  <si>
    <t>4669 block N Fisher Ave</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</si>
  <si>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</si>
  <si>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</si>
  <si>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</si>
  <si>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1066 Kelly Dr</t>
  </si>
  <si>
    <t>http://archive.ydr.com/local/ci_28983263/police-respond-saturday-afternoon-shooting-york</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</si>
  <si>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</si>
  <si>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</si>
  <si>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800 block Ashcomb Dr</t>
  </si>
  <si>
    <t>Rangel, who had reportedly broken into a house, was shot by a deputy when he reached for a second deputy's gun, according to authorities.</t>
  </si>
  <si>
    <t>http://www.latimes.com/local/lanow/la-me-ln-deputy-involved-shooting-san-gabriel-valley-20151016-story.html</t>
  </si>
  <si>
    <t>http://www.cdispatch.com/news/article.asp?aid=45542</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</si>
  <si>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</si>
  <si>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</si>
  <si>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</si>
  <si>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http://www.dispatch.com/content/stories/local/2015/10/15/officer-kills-suspect-during-far-east-side-robbery.html</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</si>
  <si>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</si>
  <si>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</si>
  <si>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</si>
  <si>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</si>
  <si>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</si>
  <si>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</si>
  <si>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</si>
  <si>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</si>
  <si>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</si>
  <si>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98034</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</si>
  <si>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</si>
  <si>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</si>
  <si>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E Main St &amp; I-75</t>
  </si>
  <si>
    <t>Catersville</t>
  </si>
  <si>
    <t>30121</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</si>
  <si>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</si>
  <si>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</si>
  <si>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AL-3 &amp; Co Hwy 17</t>
  </si>
  <si>
    <t>http://www.al.com/news/index.ssf/2015/10/alabama_state_troopers_shoot_a.html</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</si>
  <si>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</si>
  <si>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</si>
  <si>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</si>
  <si>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</si>
  <si>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</si>
  <si>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SW Lee Blvd &amp; SW Sheridan Rd</t>
  </si>
  <si>
    <t>http://www.swoknews.com/local/man-waving-gun-sheridan-lee-shot-killed-police</t>
  </si>
  <si>
    <t>1362 Union St</t>
  </si>
  <si>
    <t>39601</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</si>
  <si>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</si>
  <si>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</si>
  <si>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 xml:space="preserve">Taylors </t>
  </si>
  <si>
    <t>29687</t>
  </si>
  <si>
    <t>http://www.greenvilleonline.com/story/news/2015/10/11/one-dead-taylors-police-shooting/73772180/</t>
  </si>
  <si>
    <t>279 E 5th St</t>
  </si>
  <si>
    <t>Ortiz was fatally shot while fleeing a park on a bicycle, according to police. Officers were responding to a 911 call from a 7-year-old girl who said two men were threatening to shoot her father. The other suspect was detained.</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</si>
  <si>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</si>
  <si>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</si>
  <si>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</si>
  <si>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</si>
  <si>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5200 block W 40th St</t>
  </si>
  <si>
    <t>79764</t>
  </si>
  <si>
    <t>Police responded to a disturbance and pursued Medellin after he drove away in his car, according to authorities. Deputies shot Medellin when he got out of his car and charged at deputies with a knife, police said.</t>
  </si>
  <si>
    <t>4400 block Yender Ave</t>
  </si>
  <si>
    <t>60532</t>
  </si>
  <si>
    <t>Du Page</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</si>
  <si>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</si>
  <si>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</si>
  <si>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01915</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</si>
  <si>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</si>
  <si>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</si>
  <si>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</si>
  <si>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</si>
  <si>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</si>
  <si>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Snow Cap Avenue and Cygnet Road</t>
  </si>
  <si>
    <t>92372</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</si>
  <si>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</si>
  <si>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</si>
  <si>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21044</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</si>
  <si>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</si>
  <si>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</si>
  <si>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44000 block Jacob Court</t>
  </si>
  <si>
    <t>92536</t>
  </si>
  <si>
    <t>Wagner allegedly pointed a gun at a sheriff's deputy when officers arrived at a home for a reported domestic disturbance. Authorities said Wagner was also accused of threatening people at another home nearby earlier in the day.</t>
  </si>
  <si>
    <t>8072 Townline Road</t>
  </si>
  <si>
    <t>48850</t>
  </si>
  <si>
    <t>Police said Quay shot a sheriff's deputy with a crossbow when officers arrived at his home to arrest him for alleged assault. A state trooper returned fire and killed Quay. The deputy was said to be in stable condition.</t>
  </si>
  <si>
    <t>600 block Mercury St.</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</si>
  <si>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</si>
  <si>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</si>
  <si>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220 Olivier St</t>
  </si>
  <si>
    <t>93940</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</si>
  <si>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</si>
  <si>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</si>
  <si>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1300 block West Redbud Drive</t>
  </si>
  <si>
    <t>76053</t>
  </si>
  <si>
    <t>Police were called for a domestic disturbance. Dunaway apparently hid in a nearby backyard, reportedly with a gun. Police shot and killed him.</t>
  </si>
  <si>
    <t>07001</t>
  </si>
  <si>
    <t>Police shot Jencsik at the end of a three-hour standoff when he left his home pointing a gun at officers, according to authorities. Jencsik is accused of fatally stabbing a woman and crtically injuring a man before the standoff.</t>
  </si>
  <si>
    <t>Police said Edgell was killed while exchanging gunfire with officers who were responding to a report that he was suicidal and armed with a gun.</t>
  </si>
  <si>
    <t>http://www.waff.com/story/30190373/raw-emotion-following-mans-shooting-say-muscle-shoals-police</t>
  </si>
  <si>
    <t>3500 block W. Grenshaw St</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</si>
  <si>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</si>
  <si>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</si>
  <si>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</si>
  <si>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</si>
  <si>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</si>
  <si>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1519 Avenida Del Sol</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</si>
  <si>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</si>
  <si>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</si>
  <si>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14800 XIT Trail</t>
  </si>
  <si>
    <t>79118</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</si>
  <si>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</si>
  <si>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</si>
  <si>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</si>
  <si>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</si>
  <si>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U.S. Marshals Violent Offender Task Force (US Marshals Service) Alexandria Police Department, Rapides Parish Sheriff's Office)</t>
  </si>
  <si>
    <t>Shelbyville Police Department, Shelby County Sheriff's Department</t>
  </si>
  <si>
    <t>http://extras.mnginteractive.com/live/media/site568/2015/0903/20150903__bettertyree~1_200.JPG</t>
  </si>
  <si>
    <t>http://www.mercurynews.com/bay-area-news/ci_28758811/san-jose-jail-death-new-details-from-inmates</t>
  </si>
  <si>
    <t>Officers said they shot Centeno after he ignored their orders to put his hands up and pulled out a "pistol-looking object." Police later said Centeno was carrying a water pistol. Centeno died from his injuries about three weeks after the shooting.</t>
  </si>
  <si>
    <t>http://www.latimes.com/local/political/la-me-inmate-killed-third-prison-riot-20150819-story.html</t>
  </si>
  <si>
    <t>http://www.azcentral.com/story/news/local/phoenix/breaking/2015/08/22/man-dies-after-altercation--police/32210513/</t>
  </si>
  <si>
    <t>Gerald Lee Dukes</t>
  </si>
  <si>
    <t>http://www.presleyflukerfunerals.com/storage/Dukes-Gerald.jpg?__SQUARESPACE_CACHEVERSION=1434663870356</t>
  </si>
  <si>
    <t>811 Culver Rd</t>
  </si>
  <si>
    <t>Falkville</t>
  </si>
  <si>
    <t>35622</t>
  </si>
  <si>
    <t>Falkville Police Department</t>
  </si>
  <si>
    <t>http://whnt.com/2015/06/04/man-dies-in-crash-during-chase-with-falkville-police-officer/</t>
  </si>
  <si>
    <t>Gerald Lee Dukes died when police chased his vehicle off the road, causing it to overturn.</t>
  </si>
  <si>
    <t>Ricardo Blackmon</t>
  </si>
  <si>
    <t>http://wlbt.images.worldnow.com/images/7660774_G.jpg</t>
  </si>
  <si>
    <t>Edwards Avenue and Collier Avenue</t>
  </si>
  <si>
    <t>39213</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</si>
  <si>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</si>
  <si>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</si>
  <si>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Rashod Bryan Overstreet</t>
  </si>
  <si>
    <t>http://www.fatalencounters.org/wp-content/uploads/2013/10/BryanOverstreet.png</t>
  </si>
  <si>
    <t>602 S Main St</t>
  </si>
  <si>
    <t>Worth County Sheriff's Department</t>
  </si>
  <si>
    <t>30-year old Bryan Overstreet was run over by a Worth County deputy while lying in the road</t>
  </si>
  <si>
    <t>http://www.walb.com/story/28916690/sylvester-man-run-over-by-patrol-car</t>
  </si>
  <si>
    <t>Charles Permint Jr.</t>
  </si>
  <si>
    <t>http://media.philly.com/images/PERMINT_PHOTOSHOP.gif</t>
  </si>
  <si>
    <t>Harbeson Rd &amp; Forest Rd</t>
  </si>
  <si>
    <t>Harbeson</t>
  </si>
  <si>
    <t>19968</t>
  </si>
  <si>
    <t>State troopers said "they terminated the pursuit after (the suspect) began driving in an extremely reckless manner" on rural Delaware roads. The suspect was wanted for a number of offenses. Shortly afterward, the suspect ran a stop sign at a country intersection and killed Permint, a passenger in an uninvolved vehicle.</t>
  </si>
  <si>
    <t>http://www.wboc.com/story/28290659/harbeson-man-dies-in-fatal-crash</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</si>
  <si>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</si>
  <si>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</si>
  <si>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</si>
  <si>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</si>
  <si>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</si>
  <si>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Leo Blackmon Jr.</t>
  </si>
  <si>
    <t>N Kingshighway Blvd &amp; Highland Ave</t>
  </si>
  <si>
    <t>St. Louis City</t>
  </si>
  <si>
    <t>On a Saturday night police speeding to a call, without lights or siren, struck one of three ATV running at a high rate of speed on city streets. The ATV rider Blackmon was killed.</t>
  </si>
  <si>
    <t>http://www.kmov.com/story/28421811/victim-of-fatal-officer-involved-accident-identified</t>
  </si>
  <si>
    <t>http://media.cmgdigital.com/shared/lt/lt_cache/thumbnail/615/img/photos/2015/07/24/ec/f4/Frederick_Farmer_2015.JPG</t>
  </si>
  <si>
    <t>Rodney Dewayne Biggs</t>
  </si>
  <si>
    <t>http://media.graytvinc.com/images/Lett1.jpg</t>
  </si>
  <si>
    <t>http://hudspethcountyherald.com/wp-content/uploads/2015/02/tiano-melton-100196010-130747052.pic1-copy1.jpg</t>
  </si>
  <si>
    <t>http://media2.startribune.com/obit_images/0/02/0000060726-01-1.jpg</t>
  </si>
  <si>
    <t>https://pbs.twimg.com/media/CVfpm0KWIAEcicP.jpg:large</t>
  </si>
  <si>
    <t>https://www.facebook.com/gshartley1</t>
  </si>
  <si>
    <t>http://bloximages.chicago2.vip.townnews.com/themoreheadnews.com/content/tncms/assets/v3/editorial/a/ed/aed32dee-bb5b-11e4-b764-6b447f757b85/54eb24110c19c.image.jpg</t>
  </si>
  <si>
    <t>http://ak-cache.legacy.net/legacy/images/Cobrands/njherald/Photos/7cfa4537-8e2b-4ab2-bc7f-87cbda14eda1.jpg</t>
  </si>
  <si>
    <t>http://www.killedbypolice.net/victims/150494.jpg</t>
  </si>
  <si>
    <t>http://wac.450f.edgecastcdn.net/80450F/klaq.com/files/2015/07/Michael-Malone.jpg</t>
  </si>
  <si>
    <t>Mario Woods</t>
  </si>
  <si>
    <t>https://twitter.com/DownInOldMex/status/672517011583315968</t>
  </si>
  <si>
    <t>Third Street and Fitzgerald Avenue</t>
  </si>
  <si>
    <t>http://ww2.kqed.org/news/2015/12/02/s-f-police-chief-public-defender-clash-over-latest-fatal-cop-shooting?utm_source=twitterfeed&amp;utm_medium=twitter</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</si>
  <si>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</si>
  <si>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http://www.wctv.tv/home/headlines/Boycotts-On-Florida-Tourism-Juice-Locals-Sound-Off-216251071.html</t>
  </si>
  <si>
    <t>Adarius Brown</t>
  </si>
  <si>
    <t>Antonio Henry</t>
  </si>
  <si>
    <t>Brown and three others were chased by police who suspected them of being involved in a burglary. The police chased them, used stopsticks, and their car overturned.</t>
  </si>
  <si>
    <t>Henry and three others were chased by police who suspected them of being involved in a burglary. The police chased them, used stopsticks, and their car overturned.</t>
  </si>
  <si>
    <t>Brian Acton</t>
  </si>
  <si>
    <t>https://mgtvwkrn.files.wordpress.com/2015/04/brian-acton.jpg?w=640</t>
  </si>
  <si>
    <t>Beckett Street</t>
  </si>
  <si>
    <t>http://www.wsmv.com/story/28851839/man-accused-in-rape-dies-during-arrest</t>
  </si>
  <si>
    <t>Habitual sex offender Acton was reportedly naked, drunk, and attempting to rape an acquaintance when police captured him and handcuffed him. He reportedly stopped breathing shortly thereafter.</t>
  </si>
  <si>
    <t>Joshua Jozefowicz</t>
  </si>
  <si>
    <t>http://www.killedbypolice.net/victims/151086.jpg</t>
  </si>
  <si>
    <t>1105 Hammond St</t>
  </si>
  <si>
    <t>Bangor</t>
  </si>
  <si>
    <t>Bangor Police Department</t>
  </si>
  <si>
    <t>https://bangordailynews.com/2015/12/01/news/bangor/man-dies-in-officer-involved-shooting-near-bangor-store/</t>
  </si>
  <si>
    <t>John Anthony Gonzalez</t>
  </si>
  <si>
    <t>Imperial Hwy and Pioneer Blvd</t>
  </si>
  <si>
    <t>http://ktla.com/2015/12/01/man-shot-and-killed-during-confrontation-with-sheriffs-deputies-in-norwalk/</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</si>
  <si>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</si>
  <si>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</si>
  <si>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</si>
  <si>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</si>
  <si>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</si>
  <si>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</si>
  <si>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</si>
  <si>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http://www.killedbypolice.net/victims/151091.jpg</t>
  </si>
  <si>
    <t>Phillip Munoz</t>
  </si>
  <si>
    <t>http://www.killedbypolice.net/victims/151088.jpg</t>
  </si>
  <si>
    <t>Lowell Blvd and W 25th Ave</t>
  </si>
  <si>
    <t>http://www.denverpost.com/news/ci_29194151/denver-police-officer-involved-shooting-near-sloans-lake</t>
  </si>
  <si>
    <t>Allen Pacheco</t>
  </si>
  <si>
    <t>http://www.killedbypolice.net/victims/151092.jpg</t>
  </si>
  <si>
    <t>Texas Hwy 16</t>
  </si>
  <si>
    <t>http://www.ksat.com/news/dps-trooper-shoots-kills-man</t>
  </si>
  <si>
    <t>Florencio Lucero</t>
  </si>
  <si>
    <t>S Country Club Rd</t>
  </si>
  <si>
    <t>Deming Police Department</t>
  </si>
  <si>
    <t>http://www.koat.com/news/deming-police-shoot-kill-suspect-in-fatal-domestic-shooting/36778416</t>
  </si>
  <si>
    <t>Ivan Krstic</t>
  </si>
  <si>
    <t>http://www.killedbypolice.net/victims/151095.jpg</t>
  </si>
  <si>
    <t>E McDowell Rd and N Power Rd</t>
  </si>
  <si>
    <t>http://www.abc15.com/news/region-southeast-valley/mesa/pd-suspect-hospitalized-after-officer-involved-shooting-in-mesa</t>
  </si>
  <si>
    <t>Neil Stretesky</t>
  </si>
  <si>
    <t>http://www.killedbypolice.net/victims/151094.jpg</t>
  </si>
  <si>
    <t>405 W Cedar St</t>
  </si>
  <si>
    <t>Big Springs</t>
  </si>
  <si>
    <t>Deuel County Sheriffâ€™s Office</t>
  </si>
  <si>
    <t>http://www.omaha.com/news/nebraska/man-killed-deputy-seriously-injured-while-serving-warrants-in-western/article_c37da5ea-e0b9-584a-9676-3c520b97ed5f.html</t>
  </si>
  <si>
    <t>David Winesett</t>
  </si>
  <si>
    <t>http://www.killedbypolice.net/victims/151100.jpg</t>
  </si>
  <si>
    <t>Alton Rd</t>
  </si>
  <si>
    <t>http://www.miamiherald.com/news/local/community/miami-dade/miami-beach/article48175540.html</t>
  </si>
  <si>
    <t>Sheilah Huck</t>
  </si>
  <si>
    <t>6600 Foothills Ct</t>
  </si>
  <si>
    <t>Florissant</t>
  </si>
  <si>
    <t>St Louis County Police Department</t>
  </si>
  <si>
    <t>http://www.stltoday.com/news/local/crime-and-courts/st-louis-county-police-fatally-shoot-woman-after-armed-standoff/article_0aec85bd-0d3a-5ed8-b1d4-a382d41aa68b.html</t>
  </si>
  <si>
    <t>Colten Marcellus</t>
  </si>
  <si>
    <t>http://www.killedbypolice.net/victims/151099.jpg</t>
  </si>
  <si>
    <t>600 Jeff Ct</t>
  </si>
  <si>
    <t>http://crimeblog.dallasnews.com/2015/12/irving-police-fatally-shoot-home-invasion-suspect-two-others-taken-into-custody.html/</t>
  </si>
  <si>
    <t>Michael Funk</t>
  </si>
  <si>
    <t>http://www.killedbypolice.net/victims/151101.jpg</t>
  </si>
  <si>
    <t>206 Main St</t>
  </si>
  <si>
    <t>Neenah</t>
  </si>
  <si>
    <t>Neenah Police Department</t>
  </si>
  <si>
    <t>http://www.nbc26.com/news/neenah-police-respond-to-high-risk-hostage-situation</t>
  </si>
  <si>
    <t>Juan Perez</t>
  </si>
  <si>
    <t>Avery Dr</t>
  </si>
  <si>
    <t>http://www.kesq.com/news/suspect-dies-in-officer-involved-shooting-near-indio-church/36814580</t>
  </si>
  <si>
    <t>Raymond Azevedo</t>
  </si>
  <si>
    <t>http://www.killedbypolice.net/victims/151105.jpg</t>
  </si>
  <si>
    <t>35th Ave NE and NE 68th St</t>
  </si>
  <si>
    <t>http://www.seattletimes.com/seattle-news/shots-fired-following-car-jacking-suspect-reported-down/</t>
  </si>
  <si>
    <t>John Britton</t>
  </si>
  <si>
    <t>http://www.killedbypolice.net/victims/151108.jpg</t>
  </si>
  <si>
    <t>Wyoming Hwy 130</t>
  </si>
  <si>
    <t>Albany County Sheriff's Office</t>
  </si>
  <si>
    <t>http://trib.com/news/local/crime-and-courts/suicidal-man-shot-and-killed-by-sheriff-s-deputies-at/article_62eec2e8-2275-5d2a-9c06-359a2ba16200.html</t>
  </si>
  <si>
    <t>Miguel Espinal</t>
  </si>
  <si>
    <t>http://www.killedbypolice.net/victims/151110.jpg</t>
  </si>
  <si>
    <t>Saw Mill River Pkwy</t>
  </si>
  <si>
    <t>http://abc7ny.com/news/suspect-shot-and-killed-after-nypd-pursuit-ends-in-crash-closes-saw-mill-river-parkway/1114221/</t>
  </si>
  <si>
    <t>Nicholas Gilbert</t>
  </si>
  <si>
    <t>http://www.killedbypolice.net/victims/151111.jpg</t>
  </si>
  <si>
    <t>919 N Jefferson Ave</t>
  </si>
  <si>
    <t>St Louis Metropolitan Police Department</t>
  </si>
  <si>
    <t>http://www.kmov.com/story/30701383/man-27-dies-in-police-custody-in-st-louis-city</t>
  </si>
  <si>
    <t>Dimitrie Penny</t>
  </si>
  <si>
    <t>http://www.killedbypolice.net/victims/151112.jpg</t>
  </si>
  <si>
    <t>1170 Apalachee Pkwy</t>
  </si>
  <si>
    <t>http://www.tallahassee.com/story/news/2015/12/09/two-killed-two-injured-shooting-tallahassee-restaurant/77027102/</t>
  </si>
  <si>
    <t>Sammy Echols</t>
  </si>
  <si>
    <t>100 Quail Dr</t>
  </si>
  <si>
    <t>Sportsmen Acres</t>
  </si>
  <si>
    <t>Sportsmen Acres Police Department</t>
  </si>
  <si>
    <t>http://www.newson6.com/story/30709630/officer-shoots-man-who-shot-at-him-mayes-county-sheriff-says</t>
  </si>
  <si>
    <t>Charles Rosemond Sr</t>
  </si>
  <si>
    <t>http://www.killedbypolice.net/victims/151118.jpg</t>
  </si>
  <si>
    <t>1900 Boling Rd</t>
  </si>
  <si>
    <t>Taylors</t>
  </si>
  <si>
    <t>http://www.greenvilleonline.com/story/news/2015/12/10/sled-man-shot-deputy-greenville-county/77082892/</t>
  </si>
  <si>
    <t>Travis Nevelle Page</t>
  </si>
  <si>
    <t>http://www.killedbypolice.net/victims/151117.jpg</t>
  </si>
  <si>
    <t>http://www.wfmynews2.com/story/news/local/2015/12/10/wspd-4-officers-administrative-duty-after-man-dies-custody/77082064/</t>
  </si>
  <si>
    <t>Christopher Higdon</t>
  </si>
  <si>
    <t>http://www.killedbypolice.net/victims/151115.jpg</t>
  </si>
  <si>
    <t>http://www.wdrb.com/story/30708945/kentucky-state-police-say-officer-shoots-and-kills-suspect-in-grayson-county</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</si>
  <si>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</si>
  <si>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</si>
  <si>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</si>
  <si>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</si>
  <si>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</si>
  <si>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</si>
  <si>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http://www.killedbypolice.net/victims/151106.jpg</t>
  </si>
  <si>
    <t>http://www.cleveland.com/metro/index.ssf/2015/12/police_officer_suspect_injured.html</t>
  </si>
  <si>
    <t>30s</t>
  </si>
  <si>
    <t>1200 Hotel Circle South</t>
  </si>
  <si>
    <t>http://timesofsandiego.com/crime/2015/12/06/naked-man-dies-after-resisting-arrest-in-a-mission-valley-motel-room/</t>
  </si>
  <si>
    <t>Raymone Davis</t>
  </si>
  <si>
    <t>http://triblive.com/news/allegheny/9567852-74/robbery-bank-police#axzz3tS0qx6zx</t>
  </si>
  <si>
    <t>Jason Brady</t>
  </si>
  <si>
    <t>501 E. Seventh Street</t>
  </si>
  <si>
    <t>Waverly</t>
  </si>
  <si>
    <t>Winston-Salem Police Department</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</si>
  <si>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</si>
  <si>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Old Rural Hall Road</t>
  </si>
  <si>
    <t>Winston-Salem</t>
  </si>
  <si>
    <t>Leitchfield</t>
  </si>
  <si>
    <t>4000 St. Paul Road</t>
  </si>
  <si>
    <t>State police say a man carrying a handgun approached the officers at the end of a driveway and did not drop his gun when asked to do so. That's when the sheriff's officer fired several shots killing the man.</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</si>
  <si>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</si>
  <si>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</si>
  <si>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http://nbc4i.com/2015/12/04/shooting-death-at-pike-co-deputys-home-being-investigated/</t>
  </si>
  <si>
    <t>Off-duty deputy was drunk, 'accidentally' fired his weapon at his neighbor.</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</si>
  <si>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</si>
  <si>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</si>
  <si>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</si>
  <si>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</si>
  <si>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</si>
  <si>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</si>
  <si>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</si>
  <si>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</si>
  <si>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</si>
  <si>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</si>
  <si>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</si>
  <si>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</si>
  <si>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</si>
  <si>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http://www.killedbypolice.net/victims/151033.jpg</t>
  </si>
  <si>
    <t>Brian Crawford</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</si>
  <si>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</si>
  <si>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13000 Veterans Memorial</t>
  </si>
  <si>
    <t>Tony Berry</t>
  </si>
  <si>
    <t>http://www.killedbypolice.net/victims/150993.jpg</t>
  </si>
  <si>
    <t>Daniel Nole</t>
  </si>
  <si>
    <t>Sandra Bland was pulled over for a routine traffic stop, which the deputy quickly escalated by as Sandra was removed from the car and physically restrained. She would later die in a jail cell under dubious circumstances.</t>
  </si>
  <si>
    <t>Convicted, Sentenced to 18 months</t>
  </si>
  <si>
    <t>Convicted, Sentenced to 5 years probation.</t>
  </si>
  <si>
    <t>Convicted, Sentenced to 50 years</t>
  </si>
  <si>
    <t>Convicted, Sentenced to 6 years</t>
  </si>
  <si>
    <t>A Hammond police officer was arrested and charged in the killing of the mother of three of his children. The motive is suspected to be financial.</t>
  </si>
  <si>
    <t>According to police Mr. Gray was arrested because he 'fled unprovoked upon noticing police,' and he was found to have a knife in his pocket. He died from omplications from broken vertabrae/partially severed spinal cord</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</si>
  <si>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</si>
  <si>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</si>
  <si>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</si>
  <si>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</si>
  <si>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</si>
  <si>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</si>
  <si>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</si>
  <si>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</si>
  <si>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Catherine Breeding</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</si>
  <si>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</si>
  <si>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</si>
  <si>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</si>
  <si>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</si>
  <si>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http://www.yourhoustonnews.com/courier/news/deputy-charged-with-intoxication-manslaughter-in-fatal-conroe-motorcycle-crash/article_d3913036-c385-11e4-b8d9-67cddf87729d.html</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</si>
  <si>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</si>
  <si>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Avoyelles Parish Ward 2</t>
  </si>
  <si>
    <t>http://www.killedbypolice.net/victims/151097.jpg</t>
  </si>
  <si>
    <t>Arlington, VA Police Department</t>
  </si>
  <si>
    <t>Chef Menteur Highway and Old Gentilly Road</t>
  </si>
  <si>
    <t>http://www.nola.com/crime/index.ssf/2015/12/nopd_involved_in_east_new_orle.html#incart_m-rpt-1</t>
  </si>
  <si>
    <t>Shirley Weis</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</si>
  <si>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</si>
  <si>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</si>
  <si>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</si>
  <si>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</si>
  <si>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</si>
  <si>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</si>
  <si>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</si>
  <si>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</si>
  <si>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</si>
  <si>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</si>
  <si>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</si>
  <si>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</si>
  <si>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</si>
  <si>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</si>
  <si>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</si>
  <si>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</si>
  <si>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</si>
  <si>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</si>
  <si>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</si>
  <si>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</si>
  <si>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</si>
  <si>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</si>
  <si>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</si>
  <si>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Charged, Acquitted</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</si>
  <si>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</si>
  <si>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</si>
  <si>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</si>
  <si>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</si>
  <si>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</si>
  <si>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</si>
  <si>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</si>
  <si>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</si>
  <si>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</si>
  <si>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http://www.killedbypolice.net/victims/151134.jpg</t>
  </si>
  <si>
    <t>Calvin McKinnis</t>
  </si>
  <si>
    <t>http://www.killedbypolice.net/victims/151141.jpg</t>
  </si>
  <si>
    <t>Roberto Ortiz Sanchez</t>
  </si>
  <si>
    <t>Brenda Dean Kimberling</t>
  </si>
  <si>
    <t>Thomas Gendreau Jr</t>
  </si>
  <si>
    <t>3000 Independence Ave</t>
  </si>
  <si>
    <t>Marina</t>
  </si>
  <si>
    <t>200 E Stetson Ave</t>
  </si>
  <si>
    <t>Marina Police Department</t>
  </si>
  <si>
    <t>Hemet Police Department</t>
  </si>
  <si>
    <t>http://www.kionrightnow.com/news/local-news/deadly-officerinvolved-shooting-in-marina-thursday-night/36909768</t>
  </si>
  <si>
    <t>http://abc7.com/news/suspect-killed-in-hemet-officer-involved-shooting/1117602/</t>
  </si>
  <si>
    <t>698 Kenton St</t>
  </si>
  <si>
    <t>500 Tia Juana St N</t>
  </si>
  <si>
    <t>http://www.denverpost.com/news/ci_29243665/aurora-police-report-officer-involved-shooting</t>
  </si>
  <si>
    <t>http://www.sbsun.com/general-news/20151212/knife-wielding-man-shot-killed-by-san-bernardino-police</t>
  </si>
  <si>
    <t>5500 E Sunrise Dr</t>
  </si>
  <si>
    <t>http://tucson.com/news/blogs/police-beat/man-killed-in-officer-involved-shooting-at-tucson-resort/article_d7a54926-a0e5-11e5-a682-b779990c9860.html</t>
  </si>
  <si>
    <t>Steven Wickert</t>
  </si>
  <si>
    <t>http://www.killedbypolice.net/victims/151125.jpg</t>
  </si>
  <si>
    <t>8400 49th Loop SE</t>
  </si>
  <si>
    <t>Olympia</t>
  </si>
  <si>
    <t>Thurston County Sheriff's Office</t>
  </si>
  <si>
    <t>http://www.killedbypolice.net/victims/151135.jpg</t>
  </si>
  <si>
    <t>Nephi Leiataua</t>
  </si>
  <si>
    <t>http://www.komonews.com/news/local/Man-holds-3-year-old-daughter-hostage-in-rural-Thurston-County-361751571.html</t>
  </si>
  <si>
    <t>Ryan McMillan</t>
  </si>
  <si>
    <t>W Oak St &amp; Fry St</t>
  </si>
  <si>
    <t>University of North Texas Police Department</t>
  </si>
  <si>
    <t>http://www.nbcdfw.com/news/local/Man-Dead-After-UNT-Police-Officer-Involved-Shooting-361707321.html</t>
  </si>
  <si>
    <t>http://www.killedbypolice.net/victims/151133.jpg</t>
  </si>
  <si>
    <t>Enrique Gonzalez</t>
  </si>
  <si>
    <t>W 44th Ave and Yates St</t>
  </si>
  <si>
    <t>Mountain View Police Department</t>
  </si>
  <si>
    <t>http://www.denverpost.com/news/ci_29248389/mountain-view-officer-routine-leave-after-shooting-man</t>
  </si>
  <si>
    <t>Mark Toney</t>
  </si>
  <si>
    <t>McDonald Loop</t>
  </si>
  <si>
    <t>Mt Hope</t>
  </si>
  <si>
    <t>Mount Hope Police Department</t>
  </si>
  <si>
    <t>http://www.wowktv.com/story/30752224/man-killed-in-mount-hope-officer-involved-shooting</t>
  </si>
  <si>
    <t>http://www.killedbypolice.net/victims/151143.jpg</t>
  </si>
  <si>
    <t>6800 Filbro Dr</t>
  </si>
  <si>
    <t>Gilroy</t>
  </si>
  <si>
    <t>Gilroy Police Department</t>
  </si>
  <si>
    <t>http://sanfrancisco.cbslocal.com/2015/12/15/gilroy-police-fatal-shooting-domestic-violence-suspect/</t>
  </si>
  <si>
    <t>Hector Alvarez</t>
  </si>
  <si>
    <t>http://www.killedbypolice.net/victims/151144.jpg</t>
  </si>
  <si>
    <t>Michael Thomason</t>
  </si>
  <si>
    <t>Jeffrey Evans</t>
  </si>
  <si>
    <t>Tennessee Hwy 187</t>
  </si>
  <si>
    <t>Milan</t>
  </si>
  <si>
    <t>4000 Bay Dr</t>
  </si>
  <si>
    <t>Middle River</t>
  </si>
  <si>
    <t>Milan Police Department, Gibson County Sheriff's Office</t>
  </si>
  <si>
    <t>http://www.wbaltv.com/news/police-man-shot-by-officers-in-bowleys-quarters-dies/36955372</t>
  </si>
  <si>
    <t>http://www.jacksonsun.com/story/news/crime/2015/12/14/suspect-gibson-co-homicide-dead/77282334/</t>
  </si>
  <si>
    <t>http://www.killedbypolice.net/victims/151139.jpg</t>
  </si>
  <si>
    <t>Andrew Joseph Todd</t>
  </si>
  <si>
    <t>http://www.poconorecord.com/article/20151212/NEWS/151219795</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</si>
  <si>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</si>
  <si>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</si>
  <si>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East Stroudsburg</t>
  </si>
  <si>
    <t>355 Lincoln Ave</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</si>
  <si>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</si>
  <si>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</si>
  <si>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</si>
  <si>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</si>
  <si>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</si>
  <si>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</si>
  <si>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</si>
  <si>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</si>
  <si>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</si>
  <si>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</si>
  <si>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Police Department</t>
  </si>
  <si>
    <t xml:space="preserve"> State</t>
  </si>
  <si>
    <t>2014 population (US Census)</t>
  </si>
  <si>
    <t>2015 victims</t>
  </si>
  <si>
    <t>Rate of Police Killings per Million Population</t>
  </si>
  <si>
    <t>Black population (2012 Census by Race)</t>
  </si>
  <si>
    <t>Percent population black</t>
  </si>
  <si>
    <t>2015 black victims</t>
  </si>
  <si>
    <t>Percent victims black</t>
  </si>
  <si>
    <t>Disparity</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</si>
  <si>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</si>
  <si>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</si>
  <si>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</si>
  <si>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</si>
  <si>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</si>
  <si>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</si>
  <si>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</si>
  <si>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</si>
  <si>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</si>
  <si>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</si>
  <si>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</si>
  <si>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</si>
  <si>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</si>
  <si>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</si>
  <si>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</si>
  <si>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</si>
  <si>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</si>
  <si>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</si>
  <si>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</si>
  <si>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</si>
  <si>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</si>
  <si>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</si>
  <si>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</si>
  <si>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</si>
  <si>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</si>
  <si>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</si>
  <si>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</si>
  <si>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</si>
  <si>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</si>
  <si>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</si>
  <si>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</si>
  <si>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</si>
  <si>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</si>
  <si>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</si>
  <si>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</si>
  <si>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</si>
  <si>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</si>
  <si>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</si>
  <si>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</si>
  <si>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</si>
  <si>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</si>
  <si>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</si>
  <si>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</si>
  <si>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</si>
  <si>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</si>
  <si>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</si>
  <si>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</si>
  <si>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</si>
  <si>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</si>
  <si>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</si>
  <si>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</si>
  <si>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</si>
  <si>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</si>
  <si>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</si>
  <si>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</si>
  <si>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</si>
  <si>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</si>
  <si>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</si>
  <si>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</si>
  <si>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</si>
  <si>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</si>
  <si>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</si>
  <si>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</si>
  <si>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</si>
  <si>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</si>
  <si>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</si>
  <si>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</si>
  <si>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</si>
  <si>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</si>
  <si>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</si>
  <si>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</si>
  <si>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</si>
  <si>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</si>
  <si>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</si>
  <si>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</si>
  <si>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</si>
  <si>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</si>
  <si>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</si>
  <si>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</si>
  <si>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</si>
  <si>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</si>
  <si>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</si>
  <si>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</si>
  <si>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</si>
  <si>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</si>
  <si>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</si>
  <si>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60 Cities Total</t>
  </si>
  <si>
    <t>U.S. Average</t>
  </si>
  <si>
    <t>Violent Crime Data from https://www.fbi.gov/about-us/cjis/ucr/crime-in-the-u.s/2014/crime-in-the-u.s.-2014/tables/table-8/Table_8_Offenses_Known_to_Law_Enforcement_by_State_by_City_2014.xls/view</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</si>
</sst>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2"/>
      <color theme="1"/>
      <name val="Calibri"/>
      <family val="2"/>
      <scheme val="minor"/>
    </font>
    <font>
      <b/>
      <sz val="7.5"/>
      <color rgb="FF000000"/>
      <name val="Arial"/>
    </font>
    <font>
      <sz val="7.5"/>
      <color rgb="FF000000"/>
      <name val="Arial"/>
    </font>
    <font>
      <sz val="12"/>
      <color rgb="FF000000"/>
      <name val="Calibri"/>
      <family val="2"/>
      <scheme val="minor"/>
    </font>
    <font>
      <b/>
      <sz val="7.5"/>
      <color theme="1"/>
      <name val="Arial"/>
    </font>
    <font>
      <sz val="12"/>
      <color theme="1"/>
      <name val="Calibri"/>
      <family val="2"/>
    </font>
    <font>
      <sz val="7.5"/>
      <color theme="1"/>
      <name val="Arial"/>
    </font>
  </fonts>
  <fills count="3">
    <fill>
      <patternFill patternType="none"/>
    </fill>
    <fill>
      <patternFill patternType="gray125"/>
    </fill>
    <fill>
      <patternFill patternType="solid">
        <fgColor rgb="FFEEEEEE"/>
        <bgColor rgb="FFEEEEEE"/>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7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cellStyleXfs>
  <cellXfs count="61">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0" fontId="1"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1" xfId="0" applyFont="1" applyFill="1" applyBorder="1"/>
    <xf numFmtId="0" fontId="3" fillId="2" borderId="0" xfId="0" applyFont="1" applyFill="1" applyAlignment="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alignment horizontal="left"/>
    </xf>
    <xf numFmtId="0" fontId="0" fillId="0" borderId="1" xfId="0" applyFont="1" applyFill="1" applyBorder="1" applyAlignment="1"/>
    <xf numFmtId="0" fontId="7" fillId="0" borderId="1" xfId="1" applyFont="1" applyFill="1" applyBorder="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0" fontId="3" fillId="2" borderId="0" xfId="0" applyFont="1" applyFill="1" applyBorder="1" applyAlignment="1"/>
    <xf numFmtId="0" fontId="6" fillId="2" borderId="0" xfId="0" applyFont="1" applyFill="1" applyBorder="1" applyAlignment="1"/>
    <xf numFmtId="49" fontId="3" fillId="0" borderId="2" xfId="0" applyNumberFormat="1" applyFont="1" applyFill="1" applyBorder="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2" fillId="0" borderId="0" xfId="0" applyFont="1"/>
    <xf numFmtId="0" fontId="12" fillId="0" borderId="0" xfId="0" applyFont="1"/>
    <xf numFmtId="0" fontId="13" fillId="0" borderId="0" xfId="0" applyFont="1"/>
    <xf numFmtId="3" fontId="12" fillId="0" borderId="0" xfId="0" applyNumberFormat="1" applyFont="1"/>
    <xf numFmtId="0" fontId="14" fillId="0" borderId="0" xfId="0" applyFont="1"/>
    <xf numFmtId="2" fontId="14" fillId="0" borderId="0" xfId="0" applyNumberFormat="1" applyFont="1"/>
    <xf numFmtId="3" fontId="15" fillId="0" borderId="0" xfId="0" applyNumberFormat="1" applyFont="1"/>
    <xf numFmtId="9" fontId="15" fillId="0" borderId="0" xfId="171" applyFont="1"/>
    <xf numFmtId="9" fontId="0" fillId="0" borderId="0" xfId="0" applyNumberFormat="1"/>
    <xf numFmtId="0" fontId="16" fillId="0" borderId="0" xfId="0" applyFont="1" applyFill="1"/>
    <xf numFmtId="2" fontId="16" fillId="0" borderId="0" xfId="0" applyNumberFormat="1" applyFont="1" applyFill="1"/>
    <xf numFmtId="3" fontId="16" fillId="0" borderId="0" xfId="0" applyNumberFormat="1" applyFont="1" applyFill="1"/>
    <xf numFmtId="0" fontId="17" fillId="0" borderId="0" xfId="0" applyFont="1" applyAlignment="1">
      <alignment horizontal="left"/>
    </xf>
    <xf numFmtId="0" fontId="11" fillId="0" borderId="0" xfId="0" applyFont="1" applyAlignment="1">
      <alignment horizontal="left"/>
    </xf>
  </cellXfs>
  <cellStyles count="17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Hyperlink" xfId="1" builtinId="8"/>
    <cellStyle name="Normal" xfId="0" builtinId="0"/>
    <cellStyle name="Percent" xfId="171"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294</xdr:row>
      <xdr:rowOff>38100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03" Type="http://schemas.openxmlformats.org/officeDocument/2006/relationships/hyperlink" Target="http://www.clickondetroit.com/news/9yearold-critically-injured-after-brother-flees-police/30246604" TargetMode="External"/><Relationship Id="rId1404" Type="http://schemas.openxmlformats.org/officeDocument/2006/relationships/hyperlink" Target="http://www.kmov.com/story/28421811/victim-of-fatal-officer-involved-accident-identified" TargetMode="External"/><Relationship Id="rId1405" Type="http://schemas.openxmlformats.org/officeDocument/2006/relationships/hyperlink" Target="http://www.wftv.com/news/news/local/crash-heavy-law-enforcement-presence-causes-delays/npJ6S/" TargetMode="External"/><Relationship Id="rId1406" Type="http://schemas.openxmlformats.org/officeDocument/2006/relationships/hyperlink" Target="https://mgtvwkrn.files.wordpress.com/2015/04/brian-acton.jpg?w=640" TargetMode="External"/><Relationship Id="rId1407" Type="http://schemas.openxmlformats.org/officeDocument/2006/relationships/hyperlink" Target="http://www.wsmv.com/story/28851839/man-accused-in-rape-dies-during-arrest" TargetMode="External"/><Relationship Id="rId1408" Type="http://schemas.openxmlformats.org/officeDocument/2006/relationships/hyperlink" Target="http://www.click2houston.com/news/breaking-3-shot-in-northwest-harris-county-life-flight-on-scene/36144374" TargetMode="External"/><Relationship Id="rId1409" Type="http://schemas.openxmlformats.org/officeDocument/2006/relationships/drawing" Target="../drawings/drawing1.xml"/><Relationship Id="rId30" Type="http://schemas.openxmlformats.org/officeDocument/2006/relationships/hyperlink" Target="http://media.graytvinc.com/images/Mark+Perkins.jpg" TargetMode="External"/><Relationship Id="rId31" Type="http://schemas.openxmlformats.org/officeDocument/2006/relationships/hyperlink" Target="http://www.mynews4.com/news/local/story/Douglas-County-Sheriffs-Office-releases-names-of/4wNW73lzxEuxndl3bbvVUw.cspx" TargetMode="External"/><Relationship Id="rId32" Type="http://schemas.openxmlformats.org/officeDocument/2006/relationships/hyperlink" Target="http://www.sfgate.com/crime/article/Dead-body-probe-on-Lombard-Street-in-S-F-6414831.php" TargetMode="External"/><Relationship Id="rId33" Type="http://schemas.openxmlformats.org/officeDocument/2006/relationships/hyperlink" Target="http://media.masslive.com/mass_river_worcester_news/photo/screen-shot-2015-07-30-at-14303-pmpng-3c8d20217be5ac12.png" TargetMode="External"/><Relationship Id="rId34" Type="http://schemas.openxmlformats.org/officeDocument/2006/relationships/hyperlink" Target="http://www.killedbypolice.net/victims/150676.jpg" TargetMode="External"/><Relationship Id="rId35" Type="http://schemas.openxmlformats.org/officeDocument/2006/relationships/hyperlink" Target="http://www.siskiyoudaily.com/article/20150730/NEWS/150739965" TargetMode="External"/><Relationship Id="rId36" Type="http://schemas.openxmlformats.org/officeDocument/2006/relationships/hyperlink" Target="http://homicide.latimes.com/post/oscar-lotari-romero/" TargetMode="External"/><Relationship Id="rId37" Type="http://schemas.openxmlformats.org/officeDocument/2006/relationships/hyperlink" Target="http://www.lcsun-news.com/las_cruces-news/ci_28562671/officials-identify-man-shot-by-sheriffs-detective" TargetMode="External"/><Relationship Id="rId38" Type="http://schemas.openxmlformats.org/officeDocument/2006/relationships/hyperlink" Target="http://www.arkansasonline.com/news/2015/jul/29/one-dead-officer-involved-shooting-mississippi-cou/?f=news-arkansas" TargetMode="External"/><Relationship Id="rId39" Type="http://schemas.openxmlformats.org/officeDocument/2006/relationships/hyperlink" Target="http://www.timesfreepress.com/news/local/story/2015/jul/28/bradley-county-deputy-shoots-and-kills-man-her-home/316874/" TargetMode="External"/><Relationship Id="rId400" Type="http://schemas.openxmlformats.org/officeDocument/2006/relationships/hyperlink" Target="http://www.miamiok.com/news/article_7116fd15-d23e-59c9-aa7e-043ec0f3871f.html" TargetMode="External"/><Relationship Id="rId401" Type="http://schemas.openxmlformats.org/officeDocument/2006/relationships/hyperlink" Target="http://www.statesmanjournal.com/story/news/2015/04/25/man-shot-killed-salem-police-identified/26377897/" TargetMode="External"/><Relationship Id="rId402" Type="http://schemas.openxmlformats.org/officeDocument/2006/relationships/hyperlink" Target="http://www.oregonlive.com/pacific-northwest-news/index.ssf/2015/04/salem_police_wound_armed_man_e.html" TargetMode="External"/><Relationship Id="rId403" Type="http://schemas.openxmlformats.org/officeDocument/2006/relationships/hyperlink" Target="http://abc13.com/news/hpd-officer-hits-kills-bicyclist-in-southeast-houston/677753/" TargetMode="External"/><Relationship Id="rId404" Type="http://schemas.openxmlformats.org/officeDocument/2006/relationships/hyperlink" Target="http://www.presstelegram.com/general-news/20150424/police-no-weapon-found-at-scene-of-officer-involved-shooting-in-long-beach-thursday" TargetMode="External"/><Relationship Id="rId405" Type="http://schemas.openxmlformats.org/officeDocument/2006/relationships/hyperlink" Target="http://www.latimes.com/local/lanow/la-me-ln-lapd-shoots-sylmar-gunman-20150423-story.html" TargetMode="External"/><Relationship Id="rId406" Type="http://schemas.openxmlformats.org/officeDocument/2006/relationships/hyperlink" Target="http://sanfrancisco.cbslocal.com/2015/04/24/woman-shot-deputies-sonoma-county-chase-dies/" TargetMode="External"/><Relationship Id="rId407" Type="http://schemas.openxmlformats.org/officeDocument/2006/relationships/hyperlink" Target="http://www.nytimes.com/2015/04/24/nyregion/man-killed-by-police-in-queens-had-a-history-of-instability.html?_r=0" TargetMode="External"/><Relationship Id="rId408" Type="http://schemas.openxmlformats.org/officeDocument/2006/relationships/hyperlink" Target="http://www.nytimes.com/2015/04/24/nyregion/man-killed-by-police-in-queens-had-a-history-of-instability.html?_r=0" TargetMode="External"/><Relationship Id="rId409" Type="http://schemas.openxmlformats.org/officeDocument/2006/relationships/hyperlink" Target="http://www.dispatch.com/content/stories/local/2015/04/27/Knox_County_jail_death.html" TargetMode="External"/><Relationship Id="rId1280" Type="http://schemas.openxmlformats.org/officeDocument/2006/relationships/hyperlink" Target="http://www.cleveland.com/akron/index.ssf/2015/10/akron_hookah_bar_owner_shot_du.html" TargetMode="External"/><Relationship Id="rId1281" Type="http://schemas.openxmlformats.org/officeDocument/2006/relationships/hyperlink" Target="http://www.theneworleansadvocate.com/news/13509012-75/man-was-shot-by-st" TargetMode="External"/><Relationship Id="rId1282" Type="http://schemas.openxmlformats.org/officeDocument/2006/relationships/hyperlink" Target="http://www.cenlanow.com/news/local-news/apd-releases-statement-about-officer-involved-shooting" TargetMode="External"/><Relationship Id="rId1283" Type="http://schemas.openxmlformats.org/officeDocument/2006/relationships/hyperlink" Target="http://www.nola.com/crime/index.ssf/2015/09/man_who_shot_at_police_during.html" TargetMode="External"/><Relationship Id="rId1284" Type="http://schemas.openxmlformats.org/officeDocument/2006/relationships/hyperlink" Target="http://wiat.com/2015/09/13/family-of-man-killed-in-deputy-involved-shooting-speaks-out/" TargetMode="External"/><Relationship Id="rId1285" Type="http://schemas.openxmlformats.org/officeDocument/2006/relationships/hyperlink" Target="http://raycomgroup.worldnow.com/story/30082367/washington-county-sheriff-says-deputy-justified-in-shooting" TargetMode="External"/><Relationship Id="rId1286" Type="http://schemas.openxmlformats.org/officeDocument/2006/relationships/hyperlink" Target="http://www.koat.com/news/disturbance-at-walmart-ends-with-man-dying-in-police-custody/35138362" TargetMode="External"/><Relationship Id="rId1287" Type="http://schemas.openxmlformats.org/officeDocument/2006/relationships/hyperlink" Target="http://www.latimes.com/local/lanow/la-me-ln-lapd-homicide-suspect-dies-20150917-story.html" TargetMode="External"/><Relationship Id="rId1288" Type="http://schemas.openxmlformats.org/officeDocument/2006/relationships/hyperlink" Target="http://www.komonews.com/news/local/Officials-Man-dies-during-altercation-with-police-in-Tulalip-328375921.html" TargetMode="External"/><Relationship Id="rId1289" Type="http://schemas.openxmlformats.org/officeDocument/2006/relationships/hyperlink" Target="http://www.sfgate.com/news/article/Man-shot-dead-by-deputies-in-San-Leandro-gun-6527763.php" TargetMode="External"/><Relationship Id="rId280" Type="http://schemas.openxmlformats.org/officeDocument/2006/relationships/hyperlink" Target="http://philadelphia.cbslocal.com/2015/06/04/police-cruiser-hits-kills-man-fleeing-officers-in-chester/" TargetMode="External"/><Relationship Id="rId281" Type="http://schemas.openxmlformats.org/officeDocument/2006/relationships/hyperlink" Target="http://www.turnto23.com/news/local-news/delano-pd-shoot-kill-man-after-he-fires-at-police" TargetMode="External"/><Relationship Id="rId282" Type="http://schemas.openxmlformats.org/officeDocument/2006/relationships/hyperlink" Target="http://www.killedbypolice.net/victims/150485.jpg" TargetMode="External"/><Relationship Id="rId283" Type="http://schemas.openxmlformats.org/officeDocument/2006/relationships/hyperlink" Target="http://www.koat.com/news/valencia-county-deputy-involved-in-shooting/33383626" TargetMode="External"/><Relationship Id="rId284" Type="http://schemas.openxmlformats.org/officeDocument/2006/relationships/hyperlink" Target="http://crimeblog.dallasnews.com/2015/06/two-men-dead-i-35e-shut-down-in-ellis-county-after-three-hour-chase.html/" TargetMode="External"/><Relationship Id="rId285" Type="http://schemas.openxmlformats.org/officeDocument/2006/relationships/hyperlink" Target="http://www.khou.com/story/news/crime/2015/06/03/chase-ends--shooting-southeast-houston/28402107/" TargetMode="External"/><Relationship Id="rId286" Type="http://schemas.openxmlformats.org/officeDocument/2006/relationships/hyperlink" Target="http://www.nj.com/sussex-county/index.ssf/2015/06/man_killed_in_sussex_county_police_shooting_authorities_say.html" TargetMode="External"/><Relationship Id="rId287" Type="http://schemas.openxmlformats.org/officeDocument/2006/relationships/hyperlink" Target="http://www.killedbypolice.net/victims/150479.jpg" TargetMode="External"/><Relationship Id="rId288" Type="http://schemas.openxmlformats.org/officeDocument/2006/relationships/hyperlink" Target="http://crimeblog.dallasnews.com/2015/06/tarrant-county-sheriffs-deputy-fatally-shoots-azle-man-who-stabbed-three-relatives.html/" TargetMode="External"/><Relationship Id="rId289" Type="http://schemas.openxmlformats.org/officeDocument/2006/relationships/hyperlink" Target="http://www.killedbypolice.net/victims/150478.jpg" TargetMode="External"/><Relationship Id="rId730" Type="http://schemas.openxmlformats.org/officeDocument/2006/relationships/hyperlink" Target="http://www.spokesman.com/stories/2014/feb/11/possible-officer-involved-shooting-spokane-valley/" TargetMode="External"/><Relationship Id="rId731" Type="http://schemas.openxmlformats.org/officeDocument/2006/relationships/hyperlink" Target="http://www.washingtonpost.com/news/morning-mix/wp/2015/04/08/south-carolina-cop-now-faces-felony-charge-for-fatally-shooting-a-black-man-in-his-driveway/" TargetMode="External"/><Relationship Id="rId732" Type="http://schemas.openxmlformats.org/officeDocument/2006/relationships/hyperlink" Target="http://kollegekidd.com/news/friends-family-remember-slain-robbery-suspect-deonta-mackey/" TargetMode="External"/><Relationship Id="rId733" Type="http://schemas.openxmlformats.org/officeDocument/2006/relationships/hyperlink" Target="http://www.ktbs.com/story/24667057/officer-involved-shooting-in-ruston-leaves-one-dead" TargetMode="External"/><Relationship Id="rId734" Type="http://schemas.openxmlformats.org/officeDocument/2006/relationships/hyperlink" Target="http://www.delmarvanow.com/article/20140205/NEWS/302050037" TargetMode="External"/><Relationship Id="rId735" Type="http://schemas.openxmlformats.org/officeDocument/2006/relationships/hyperlink" Target="http://www.wtxl.com/news/update-officer-involved-shooting-at-taylor-county-car-dealership/article_a27a9ab0-8e83-11e3-8e81-0017a43b2370.html" TargetMode="External"/><Relationship Id="rId736" Type="http://schemas.openxmlformats.org/officeDocument/2006/relationships/hyperlink" Target="http://www.sfgate.com/crime/article/Hayward-police-shoot-and-kill-armed-woman-5205798.php" TargetMode="External"/><Relationship Id="rId737" Type="http://schemas.openxmlformats.org/officeDocument/2006/relationships/hyperlink" Target="http://thumbs.mugshots.com/gallery/images/8d/63/Kevin-Dejon-Grissett-mugshot-24130338.400x800.jpg" TargetMode="External"/><Relationship Id="rId738" Type="http://schemas.openxmlformats.org/officeDocument/2006/relationships/hyperlink" Target="http://bloximages.newyork1.vip.townnews.com/scnow.com/content/tncms/assets/v3/editorial/9/af/9af467d9-6895-55d0-a65f-5d532b203c84/52f5bad3778ea.preview-300.jpg" TargetMode="External"/><Relationship Id="rId739" Type="http://schemas.openxmlformats.org/officeDocument/2006/relationships/hyperlink" Target="http://www.ivpressonline.com/news/local/one-suspect-dead-in-el-centro-shooting/article_8fb45b2a-8a44-11e3-8222-001a4bcf6878.html" TargetMode="External"/><Relationship Id="rId40" Type="http://schemas.openxmlformats.org/officeDocument/2006/relationships/hyperlink" Target="http://bloximages.chicago2.vip.townnews.com/news.hjnews.com/content/tncms/assets/v3/editorial/c/a4/ca4f81e2-cf7d-5033-933f-f993eb1d4c29/55ba527445ee0.image.jpg" TargetMode="External"/><Relationship Id="rId41" Type="http://schemas.openxmlformats.org/officeDocument/2006/relationships/hyperlink" Target="http://www.13newsnow.com/story/news/local/mycity/newport-news/2015/07/04/deadly-officer-involved-shooting-in-newport-news/29692873/" TargetMode="External"/><Relationship Id="rId42" Type="http://schemas.openxmlformats.org/officeDocument/2006/relationships/hyperlink" Target="http://images1.westword.com/imager/u/745xauto/6970529/sam.forgy.portrait.800.cropped.jpg" TargetMode="External"/><Relationship Id="rId43" Type="http://schemas.openxmlformats.org/officeDocument/2006/relationships/hyperlink" Target="http://www.thedenverchannel.com/news/local-news/naked-man-shot-and-killed-by-boulder-police-was-reportedly-high-on-lsd" TargetMode="External"/><Relationship Id="rId44" Type="http://schemas.openxmlformats.org/officeDocument/2006/relationships/hyperlink" Target="http://bayoutimelive.com/wp-content/uploads/2013/04/Jean-P.-Falgout.jpg" TargetMode="External"/><Relationship Id="rId45" Type="http://schemas.openxmlformats.org/officeDocument/2006/relationships/hyperlink" Target="http://www.houmatoday.com/article/20150728/ARTICLES/150729727/1319?p=1&amp;tc=pg" TargetMode="External"/><Relationship Id="rId46" Type="http://schemas.openxmlformats.org/officeDocument/2006/relationships/hyperlink" Target="http://www.wistv.com/story/29644189/sled-investigating-deputy-involved-shooting-in-lexington-county" TargetMode="External"/><Relationship Id="rId47" Type="http://schemas.openxmlformats.org/officeDocument/2006/relationships/hyperlink" Target="http://www.ksla.com/story/29634844/spd-officers-involved-in-shooting-while-responding-to-hostage-situation" TargetMode="External"/><Relationship Id="rId48" Type="http://schemas.openxmlformats.org/officeDocument/2006/relationships/hyperlink" Target="http://www.independent.co.uk/incoming/article10446695.ece/alternates/w620/Zach-hammond.jpg" TargetMode="External"/><Relationship Id="rId49" Type="http://schemas.openxmlformats.org/officeDocument/2006/relationships/hyperlink" Target="http://www.independentmail.com/news/man-killed-by-seneca-police-officer" TargetMode="External"/><Relationship Id="rId410" Type="http://schemas.openxmlformats.org/officeDocument/2006/relationships/hyperlink" Target="http://www.newson6.com/story/28881786/choctaw-county-law-enforcement-officers-shot-serving-warrant" TargetMode="External"/><Relationship Id="rId411" Type="http://schemas.openxmlformats.org/officeDocument/2006/relationships/hyperlink" Target="http://www.newson6.com/story/28881786/choctaw-county-law-enforcement-officers-shot-serving-warrant" TargetMode="External"/><Relationship Id="rId412" Type="http://schemas.openxmlformats.org/officeDocument/2006/relationships/hyperlink" Target="http://www.bakersfieldnow.com/news/local/Man-shot-in-Delano-300955291.html" TargetMode="External"/><Relationship Id="rId413" Type="http://schemas.openxmlformats.org/officeDocument/2006/relationships/hyperlink" Target="http://www.midhudsonnews.com/News/2015/April/24/Fishkill_inmate_Harrell-24Apr15.htm" TargetMode="External"/><Relationship Id="rId414" Type="http://schemas.openxmlformats.org/officeDocument/2006/relationships/hyperlink" Target="http://www.nj.com/middlesex/index.ssf/2015/04/man_killed_by_state_trooper_released_from_state_pr.html" TargetMode="External"/><Relationship Id="rId415" Type="http://schemas.openxmlformats.org/officeDocument/2006/relationships/hyperlink" Target="http://www.latimes.com/local/lanow/la-me-ln-lapd-lincoln-heights-shooting-20150422-story.html" TargetMode="External"/><Relationship Id="rId416" Type="http://schemas.openxmlformats.org/officeDocument/2006/relationships/hyperlink" Target="http://www.wtok.com/news/headlines/Lauderdale-County-Man-Dies-after-Arrest-300851931.html" TargetMode="External"/><Relationship Id="rId417" Type="http://schemas.openxmlformats.org/officeDocument/2006/relationships/hyperlink" Target="http://www.suntelegraph.com/story/2015/04/21/community/leasa-hlavinka-husband-was-a-doting-father/6849.html" TargetMode="External"/><Relationship Id="rId418" Type="http://schemas.openxmlformats.org/officeDocument/2006/relationships/hyperlink" Target="http://www.kentucky.com/2015/04/19/3809168/wilmore-man-killed-by-police-had.html" TargetMode="External"/><Relationship Id="rId419" Type="http://schemas.openxmlformats.org/officeDocument/2006/relationships/hyperlink" Target="http://www.azfamily.com/story/28852387/phoenix-pds-mental-health-squad-looks-to-reduce-violent-encounters" TargetMode="External"/><Relationship Id="rId1290" Type="http://schemas.openxmlformats.org/officeDocument/2006/relationships/hyperlink" Target="http://www.orlandosentinel.com/news/breaking-news/os-polk-deputy-involved-shooting-death-20150922-story.html" TargetMode="External"/><Relationship Id="rId1291" Type="http://schemas.openxmlformats.org/officeDocument/2006/relationships/hyperlink" Target="http://www.reviewjournal.com/news/las-vegas/man-killed-north-las-vegas-officers-shootout-idd" TargetMode="External"/><Relationship Id="rId1292" Type="http://schemas.openxmlformats.org/officeDocument/2006/relationships/hyperlink" Target="http://www.local10.com/news/policeinvolved-shooting-in-miami/35454894" TargetMode="External"/><Relationship Id="rId1293" Type="http://schemas.openxmlformats.org/officeDocument/2006/relationships/hyperlink" Target="http://crimeblog.dallasnews.com/2015/09/police-investigating-officer-involved-shooting-in-north-dallas.html/" TargetMode="External"/><Relationship Id="rId1294" Type="http://schemas.openxmlformats.org/officeDocument/2006/relationships/hyperlink" Target="http://www.tennessean.com/story/news/local/dickson/2015/09/18/dickson-co-man-fatally-shot-interaction-deputy/72415822/" TargetMode="External"/><Relationship Id="rId1295" Type="http://schemas.openxmlformats.org/officeDocument/2006/relationships/hyperlink" Target="http://www.delawareonline.com/story/news/local/2015/09/24/justice-dept-investigates-police-involved-shooting/72737332/" TargetMode="External"/><Relationship Id="rId1296" Type="http://schemas.openxmlformats.org/officeDocument/2006/relationships/hyperlink" Target="http://fox59.com/2015/09/23/exclusive-video-neighbors-call-police-action-shooting-into-question/" TargetMode="External"/><Relationship Id="rId1297" Type="http://schemas.openxmlformats.org/officeDocument/2006/relationships/hyperlink" Target="http://www.nbcnews.com/news/us-news/gunman-fatally-shoots-florida-deputy-outside-law-office-n431866" TargetMode="External"/><Relationship Id="rId1298" Type="http://schemas.openxmlformats.org/officeDocument/2006/relationships/hyperlink" Target="http://www.wfaa.com/story/news/crime/2015/09/24/mckinney-police-violence-shooting-officers-joseph-khammash/72761076/" TargetMode="External"/><Relationship Id="rId1299" Type="http://schemas.openxmlformats.org/officeDocument/2006/relationships/hyperlink" Target="http://www.baltimoresun.com/news/maryland/baltimore-county/bs-md-police-man-shot-reisterstown-20150923-story.html" TargetMode="External"/><Relationship Id="rId290" Type="http://schemas.openxmlformats.org/officeDocument/2006/relationships/hyperlink" Target="http://www.whdh.com/story/29215946/one-dead-after-officer-involved-shooting-in-roslindale" TargetMode="External"/><Relationship Id="rId291" Type="http://schemas.openxmlformats.org/officeDocument/2006/relationships/hyperlink" Target="http://www.killedbypolice.net/victims/150476.jpg" TargetMode="External"/><Relationship Id="rId292" Type="http://schemas.openxmlformats.org/officeDocument/2006/relationships/hyperlink" Target="http://www.democratandchronicle.com/story/news/2015/06/01/police-investigate-near-sears-mall-greece-ridge/28314217/" TargetMode="External"/><Relationship Id="rId293" Type="http://schemas.openxmlformats.org/officeDocument/2006/relationships/hyperlink" Target="http://www.killedbypolice.net/victims/150475.jpg" TargetMode="External"/><Relationship Id="rId294" Type="http://schemas.openxmlformats.org/officeDocument/2006/relationships/hyperlink" Target="http://www.kplctv.com/story/29203366/palestine-police-id-victim-in-officer-involved-shooting" TargetMode="External"/><Relationship Id="rId295" Type="http://schemas.openxmlformats.org/officeDocument/2006/relationships/hyperlink" Target="http://www.democratandchronicle.com/story/news/2015/05/31/police-holding-press-briefing-tremont-st-incident/28263079/" TargetMode="External"/><Relationship Id="rId296" Type="http://schemas.openxmlformats.org/officeDocument/2006/relationships/hyperlink" Target="http://www.scrippsmedia.com/newschannel5/news/Investigation-Ongoing-At-Scene-Of-Alleged-Shooting-305572891.html" TargetMode="External"/><Relationship Id="rId297" Type="http://schemas.openxmlformats.org/officeDocument/2006/relationships/hyperlink" Target="http://koin.com/2015/05/30/osp-troopers-shoot-kill-man-in-wilderville/" TargetMode="External"/><Relationship Id="rId298" Type="http://schemas.openxmlformats.org/officeDocument/2006/relationships/hyperlink" Target="http://newyork.cbslocal.com/2015/05/29/lyndhurst-library-police-shooting/" TargetMode="External"/><Relationship Id="rId299" Type="http://schemas.openxmlformats.org/officeDocument/2006/relationships/hyperlink" Target="http://www.killedbypolice.net/victims/150477.jpg" TargetMode="External"/><Relationship Id="rId740" Type="http://schemas.openxmlformats.org/officeDocument/2006/relationships/hyperlink" Target="http://www.goupstate.com/article/20140124/ARTICLES/140129757?p=1&amp;tc=pg" TargetMode="External"/><Relationship Id="rId741" Type="http://schemas.openxmlformats.org/officeDocument/2006/relationships/hyperlink" Target="http://www.wdef.com/news/story/Sequatchie-Community-Mourns-Loss-Of-Josh-Layne/r6DlJk-F4kOv8aqGvHyA1g.cspx" TargetMode="External"/><Relationship Id="rId742" Type="http://schemas.openxmlformats.org/officeDocument/2006/relationships/hyperlink" Target="http://www.wptv.com/news/state/gregory-vaughn-hill-jr-fort-pierce-man-ided-in-fatal-deputy-involved-shooting" TargetMode="External"/><Relationship Id="rId743" Type="http://schemas.openxmlformats.org/officeDocument/2006/relationships/hyperlink" Target="http://www.wyliefh.com/printguestbook.php?id=2166&amp;rid=15392" TargetMode="External"/><Relationship Id="rId744" Type="http://schemas.openxmlformats.org/officeDocument/2006/relationships/hyperlink" Target="http://www.baltimoresun.com/news/maryland/crime/blog/bal-police-investigating-officerinvolved-shooting-in-east-baltimore-20140113,0,4169034.story" TargetMode="External"/><Relationship Id="rId745" Type="http://schemas.openxmlformats.org/officeDocument/2006/relationships/hyperlink" Target="http://newsok.com/police-release-name-of-man-killed-in-officer-involved-shooting/article/3920773" TargetMode="External"/><Relationship Id="rId746" Type="http://schemas.openxmlformats.org/officeDocument/2006/relationships/hyperlink" Target="http://www.nwfdailynews.com/local/suspect-killed-officers-shot-in-crestview-incident-1.257150" TargetMode="External"/><Relationship Id="rId747" Type="http://schemas.openxmlformats.org/officeDocument/2006/relationships/hyperlink" Target="http://www.wilsontimes.com/News/Feature/Story/28048226---Deputies--Man-fatally-shot-after-killing-2" TargetMode="External"/><Relationship Id="rId748" Type="http://schemas.openxmlformats.org/officeDocument/2006/relationships/hyperlink" Target="http://newsok.com/man-shot-by-oklahoma-highway-patrol-trooper-was-correction-center-escapee/article/3919183" TargetMode="External"/><Relationship Id="rId749" Type="http://schemas.openxmlformats.org/officeDocument/2006/relationships/hyperlink" Target="http://newsok.com/oklahoma-parents-say-son-needed-help-instead-custer-county-sheriffs-deputies-shot-him/article/3929841" TargetMode="External"/><Relationship Id="rId50" Type="http://schemas.openxmlformats.org/officeDocument/2006/relationships/hyperlink" Target="http://www.miamiherald.com/news/local/crime/article28915918.html" TargetMode="External"/><Relationship Id="rId51" Type="http://schemas.openxmlformats.org/officeDocument/2006/relationships/hyperlink" Target="http://www.reviewjournal.com/news/las-vegas/metro-officer-wounded-suspect-shot-death" TargetMode="External"/><Relationship Id="rId52" Type="http://schemas.openxmlformats.org/officeDocument/2006/relationships/hyperlink" Target="http://www.walb.com/story/29631891/1-dead-after-officer-involved-shooting-in-decatur-co" TargetMode="External"/><Relationship Id="rId53" Type="http://schemas.openxmlformats.org/officeDocument/2006/relationships/hyperlink" Target="http://www.nola.com/crime/index.ssf/2015/07/breaking_new_orleans_police_sh.html" TargetMode="External"/><Relationship Id="rId54" Type="http://schemas.openxmlformats.org/officeDocument/2006/relationships/hyperlink" Target="http://cdn.abclocal.go.com/content/kabc/images/cms/889902_1280x720.jpg" TargetMode="External"/><Relationship Id="rId55" Type="http://schemas.openxmlformats.org/officeDocument/2006/relationships/hyperlink" Target="http://www.latimes.com/local/lanow/la-me-ln-report-of-gunman-opening-fire-bring-lapd-swarm-in-studio-city-20150724-story.html" TargetMode="External"/><Relationship Id="rId56" Type="http://schemas.openxmlformats.org/officeDocument/2006/relationships/hyperlink" Target="http://www.wcpo.com/news/region-north-cincinnati/report-man-killed-in-deputy-involved-shooting-in-montgomery-county" TargetMode="External"/><Relationship Id="rId57" Type="http://schemas.openxmlformats.org/officeDocument/2006/relationships/hyperlink" Target="http://www.killedbypolice.net/victims/2664.jpg" TargetMode="External"/><Relationship Id="rId58" Type="http://schemas.openxmlformats.org/officeDocument/2006/relationships/hyperlink" Target="http://www.wesh.com/news/bicyclist-struck-by-police-cruiser-has-died/34321568" TargetMode="External"/><Relationship Id="rId59" Type="http://schemas.openxmlformats.org/officeDocument/2006/relationships/hyperlink" Target="http://www.sacbee.com/news/local/crime/article28452859.html" TargetMode="External"/><Relationship Id="rId420" Type="http://schemas.openxmlformats.org/officeDocument/2006/relationships/hyperlink" Target="http://www.chicagotribune.com/news/local/breaking/chi-man-fatally-shot-by-police-in-south-shore-20150417-story.html" TargetMode="External"/><Relationship Id="rId421" Type="http://schemas.openxmlformats.org/officeDocument/2006/relationships/hyperlink" Target="http://www.pe.com/articles/car-765208-officers-sheriff.html" TargetMode="External"/><Relationship Id="rId422" Type="http://schemas.openxmlformats.org/officeDocument/2006/relationships/hyperlink" Target="http://www.bakersfieldnow.com/news/local/Questions-raised-after-officer-involved-shooting-in-Shafter-300410121.html" TargetMode="External"/><Relationship Id="rId423" Type="http://schemas.openxmlformats.org/officeDocument/2006/relationships/hyperlink" Target="http://www.detroitnews.com/story/news/local/wayne-county/2015/04/17/assault-suspect-died-hit-taser-identified/25947299/" TargetMode="External"/><Relationship Id="rId424" Type="http://schemas.openxmlformats.org/officeDocument/2006/relationships/hyperlink" Target="http://www.abc17news.com/news/suspect-shot-and-killed-by-police/32394506" TargetMode="External"/><Relationship Id="rId425" Type="http://schemas.openxmlformats.org/officeDocument/2006/relationships/hyperlink" Target="http://www.nbcmiami.com/news/local/FDLE-Investigating-Fatal-Police-Involved-Shooting-in-Miami-Dade-300173991.html" TargetMode="External"/><Relationship Id="rId426" Type="http://schemas.openxmlformats.org/officeDocument/2006/relationships/hyperlink" Target="http://www.brownrobinson.com/obituary/4199/Donte_Noble" TargetMode="External"/><Relationship Id="rId427" Type="http://schemas.openxmlformats.org/officeDocument/2006/relationships/hyperlink" Target="http://www.wyff4.com/news/police-find-man-stabbing-wife-shoot-kill-him/32384112" TargetMode="External"/><Relationship Id="rId428" Type="http://schemas.openxmlformats.org/officeDocument/2006/relationships/hyperlink" Target="http://abc13.com/news/suspect-shot-by-officers-at-end-of-police-chase/661643/?hc_location=ufi" TargetMode="External"/><Relationship Id="rId429" Type="http://schemas.openxmlformats.org/officeDocument/2006/relationships/hyperlink" Target="http://www.dailybulletin.com/government-and-politics/20150416/man-fatally-shot-by-deputies-near-montclair-had-bb-gun" TargetMode="External"/><Relationship Id="rId1100" Type="http://schemas.openxmlformats.org/officeDocument/2006/relationships/hyperlink" Target="https://localtvwtvr.files.wordpress.com/2015/08/shooter.jpg?w=770&amp;h=433" TargetMode="External"/><Relationship Id="rId1101" Type="http://schemas.openxmlformats.org/officeDocument/2006/relationships/hyperlink" Target="http://img.huffingtonpost.com/asset/scalefit_630_noupscale/55cd530e1d00002f00144c8d.jpeg?cache=aG1Q941U8e" TargetMode="External"/><Relationship Id="rId1102" Type="http://schemas.openxmlformats.org/officeDocument/2006/relationships/hyperlink" Target="http://www.killedbypolice.net/victims/150696.jpg" TargetMode="External"/><Relationship Id="rId1103" Type="http://schemas.openxmlformats.org/officeDocument/2006/relationships/hyperlink" Target="http://s3.reutersmedia.net/resources/r/?m=02&amp;d=20150806&amp;t=2&amp;i=1069792663&amp;w=976&amp;fh=&amp;fw=&amp;ll=&amp;pl=&amp;sq=&amp;r=LYNXNPEB75047" TargetMode="External"/><Relationship Id="rId1104" Type="http://schemas.openxmlformats.org/officeDocument/2006/relationships/hyperlink" Target="http://extras.mnginteractive.com/live/media/site525/2015/0814/20150814_040907_unnamed.jpg" TargetMode="External"/><Relationship Id="rId1105" Type="http://schemas.openxmlformats.org/officeDocument/2006/relationships/hyperlink" Target="https://blackopswiki.s3.amazonaws.com/uploads/article/avatar/351/large_avatar_gustavvo_ponce-galon.jpg" TargetMode="External"/><Relationship Id="rId1106" Type="http://schemas.openxmlformats.org/officeDocument/2006/relationships/hyperlink" Target="https://ioneadwnews.files.wordpress.com/2015/08/troy.jpg?w=221&amp;h=228" TargetMode="External"/><Relationship Id="rId1107" Type="http://schemas.openxmlformats.org/officeDocument/2006/relationships/hyperlink" Target="http://www.fresnobee.com/news/local/crime/e474cp/picture30449874/ALTERNATES/FREE_960/080715%20Aaron%20Allen%20Marchese" TargetMode="External"/><Relationship Id="rId1108" Type="http://schemas.openxmlformats.org/officeDocument/2006/relationships/hyperlink" Target="http://www.reviewjournal.com/sites/default/files/styles/large/public/field/media/1003395444%20OISBRIEFING_0815.jpg?itok=K0Dq-QFt" TargetMode="External"/><Relationship Id="rId1109" Type="http://schemas.openxmlformats.org/officeDocument/2006/relationships/hyperlink" Target="http://www.wlwt.com/image/view/-/35034924/highRes/2/-/maxh/630/maxw/1200/-/wo4taiz/-/James-Carney-III-jpg.jpg" TargetMode="External"/><Relationship Id="rId100" Type="http://schemas.openxmlformats.org/officeDocument/2006/relationships/hyperlink" Target="http://www.brownsvilleherald.com/news/local/article_d17faf7e-2cfe-11e5-b74c-2b2b278cba62.html" TargetMode="External"/><Relationship Id="rId101" Type="http://schemas.openxmlformats.org/officeDocument/2006/relationships/hyperlink" Target="http://www.dispatch.com/content/graphics/2015/07/13/nyal-brown.jpg" TargetMode="External"/><Relationship Id="rId102" Type="http://schemas.openxmlformats.org/officeDocument/2006/relationships/hyperlink" Target="http://www.dispatch.com/content/stories/local/2015/07/13/fatal-crash-on-hilltop.html" TargetMode="External"/><Relationship Id="rId103" Type="http://schemas.openxmlformats.org/officeDocument/2006/relationships/hyperlink" Target="http://www.trbimg.com/img-55a686d0/turbine/fl-plantation-cop-homeless-shooting-id-2015071-001/304/304x171" TargetMode="External"/><Relationship Id="rId104" Type="http://schemas.openxmlformats.org/officeDocument/2006/relationships/hyperlink" Target="http://www.sun-sentinel.com/local/broward/fl-plantation-cop-homeless-shooting-id-20150715-story.html" TargetMode="External"/><Relationship Id="rId105" Type="http://schemas.openxmlformats.org/officeDocument/2006/relationships/hyperlink" Target="http://www.rawstory.com/2015/07/denver-police-shoot-and-kill-a-mentally-ill-native-american-man-holding-a-knife-to-his-own-throat/" TargetMode="External"/><Relationship Id="rId106" Type="http://schemas.openxmlformats.org/officeDocument/2006/relationships/hyperlink" Target="http://www.ajc.com/news/news/crime-law/suspect-dead-officer-in-serious-condition-after-de/nmxbc/" TargetMode="External"/><Relationship Id="rId107" Type="http://schemas.openxmlformats.org/officeDocument/2006/relationships/hyperlink" Target="http://www.oakpark.com/News/Articles/7-13-2015/Three-injured,-two-killed-in-River-Forest/" TargetMode="External"/><Relationship Id="rId108" Type="http://schemas.openxmlformats.org/officeDocument/2006/relationships/hyperlink" Target="http://media.cmgdigital.com/shared/lt/lt_cache/thumbnail/600/img/photos/2015/07/13/35/c5/DavidLepine_1.jpg" TargetMode="External"/><Relationship Id="rId109" Type="http://schemas.openxmlformats.org/officeDocument/2006/relationships/hyperlink" Target="http://www.statesman.com/news/news/crime-law/man-killed-by-austin-police-officer-sunday-had-a-v/nmyKL/" TargetMode="External"/><Relationship Id="rId750" Type="http://schemas.openxmlformats.org/officeDocument/2006/relationships/hyperlink" Target="http://www.kens5.com/story/local/2014/09/26/10621720/" TargetMode="External"/><Relationship Id="rId751" Type="http://schemas.openxmlformats.org/officeDocument/2006/relationships/hyperlink" Target="http://blog.al.com/montgomery/2013/12/phenix_city_police_fatally_sho.html" TargetMode="External"/><Relationship Id="rId752" Type="http://schemas.openxmlformats.org/officeDocument/2006/relationships/hyperlink" Target="http://www.indystar.com/story/news/crime/2013/12/18/impd-officer-fatally-shoots-man-on-southeastside/4110911/" TargetMode="External"/><Relationship Id="rId753" Type="http://schemas.openxmlformats.org/officeDocument/2006/relationships/hyperlink" Target="http://web.tampabay.com/news/publicsafety/crime/new-port-richey-man-dies-after-being-stunned-in-confrontation-with-police/2158068" TargetMode="External"/><Relationship Id="rId754" Type="http://schemas.openxmlformats.org/officeDocument/2006/relationships/hyperlink" Target="http://www.local10.com/news/man-dead-after-shootout-with-swat/23386254" TargetMode="External"/><Relationship Id="rId755" Type="http://schemas.openxmlformats.org/officeDocument/2006/relationships/hyperlink" Target="http://www.today.com/news/unjustified-family-student-killed-campus-police-speaks-out-2D11723684" TargetMode="External"/><Relationship Id="rId756" Type="http://schemas.openxmlformats.org/officeDocument/2006/relationships/hyperlink" Target="https://www.facebook.com/remembershia" TargetMode="External"/><Relationship Id="rId757" Type="http://schemas.openxmlformats.org/officeDocument/2006/relationships/hyperlink" Target="http://whnt.com/2013/12/02/grand-jury-to-review-shooting-involving-corrections-officer/" TargetMode="External"/><Relationship Id="rId758" Type="http://schemas.openxmlformats.org/officeDocument/2006/relationships/hyperlink" Target="http://www.presstelegram.com/general-news/20131120/man-shot-killed-by-long-beach-police-identified-as-from-rialto" TargetMode="External"/><Relationship Id="rId759" Type="http://schemas.openxmlformats.org/officeDocument/2006/relationships/hyperlink" Target="http://www.startribune.com/local/west/232358621.html" TargetMode="External"/><Relationship Id="rId60" Type="http://schemas.openxmlformats.org/officeDocument/2006/relationships/hyperlink" Target="http://www.carolinalive.com/news/story.aspx?id=1234584" TargetMode="External"/><Relationship Id="rId61" Type="http://schemas.openxmlformats.org/officeDocument/2006/relationships/hyperlink" Target="http://www.wyff4.com/news/police-man-killed-after-shootout-with-officers/33901040" TargetMode="External"/><Relationship Id="rId62" Type="http://schemas.openxmlformats.org/officeDocument/2006/relationships/hyperlink" Target="http://ksla.images.worldnow.com/images/8474631_G.jpg" TargetMode="External"/><Relationship Id="rId63" Type="http://schemas.openxmlformats.org/officeDocument/2006/relationships/hyperlink" Target="http://www.wmcactionnews5.com/story/29700419/bi-state-jail-inmate-found-dead-laid-to-rest" TargetMode="External"/><Relationship Id="rId64" Type="http://schemas.openxmlformats.org/officeDocument/2006/relationships/hyperlink" Target="http://www.koco.com/news/okc-police-investigating-officerinvolved-shooting-on-northeast-side/34302646" TargetMode="External"/><Relationship Id="rId65" Type="http://schemas.openxmlformats.org/officeDocument/2006/relationships/hyperlink" Target="http://philadelphia.cbslocal.com/2014/09/16/police-id-suspect-in-shooting-death-of-pregnant-woman-unborn-child/" TargetMode="External"/><Relationship Id="rId66" Type="http://schemas.openxmlformats.org/officeDocument/2006/relationships/hyperlink" Target="http://www.wdtv.com/wdtv.cfm?func=view&amp;section=5-News&amp;item=EXCLUSIVE-Weston-Man-Dead-Police-Officer-on-Administrative-Leave-24479" TargetMode="External"/><Relationship Id="rId67" Type="http://schemas.openxmlformats.org/officeDocument/2006/relationships/hyperlink" Target="http://www.killedbypolice.net/victims/150651.jpg" TargetMode="External"/><Relationship Id="rId68" Type="http://schemas.openxmlformats.org/officeDocument/2006/relationships/hyperlink" Target="http://www.ajc.com/news/news/crime-law/gbi-identifies-stick-carrying-man-killed-by-bartow/nm44J/" TargetMode="External"/><Relationship Id="rId69" Type="http://schemas.openxmlformats.org/officeDocument/2006/relationships/hyperlink" Target="http://www.sun-sentinel.com/local/broward/oakland-park/fl-shooting-deputy-oakland-park-20150721-story.html" TargetMode="External"/><Relationship Id="rId430" Type="http://schemas.openxmlformats.org/officeDocument/2006/relationships/hyperlink" Target="http://wreg.com/2015/04/15/man-wielding-machete-is-shot-and-killed-by-jonesboro-patrolman/" TargetMode="External"/><Relationship Id="rId431" Type="http://schemas.openxmlformats.org/officeDocument/2006/relationships/hyperlink" Target="http://www.nbclosangeles.com/news/local/Highland-In-Custody-Death-Investigation-300128821.html" TargetMode="External"/><Relationship Id="rId432" Type="http://schemas.openxmlformats.org/officeDocument/2006/relationships/hyperlink" Target="http://denver.cbslocal.com/2015/04/16/marriage-down-the-tubes-i-hope-they-kill-me-says-killed-standoff-suspect-on-facebook/" TargetMode="External"/><Relationship Id="rId433" Type="http://schemas.openxmlformats.org/officeDocument/2006/relationships/hyperlink" Target="http://www.nj.com/mercer/index.ssf/2015/04/man_shot_by_hamilton_police_in_stabbing_incident_d.html" TargetMode="External"/><Relationship Id="rId434" Type="http://schemas.openxmlformats.org/officeDocument/2006/relationships/hyperlink" Target="http://www.recordonline.com/article/20150428/OPINION/150429329/101136/OPINION" TargetMode="External"/><Relationship Id="rId435" Type="http://schemas.openxmlformats.org/officeDocument/2006/relationships/hyperlink" Target="http://www.oregonlive.com/portland/index.ssf/2015/04/se_portland_double_murder_susp.html" TargetMode="External"/><Relationship Id="rId436" Type="http://schemas.openxmlformats.org/officeDocument/2006/relationships/hyperlink" Target="http://fox2now.com/2015/04/14/man-identified-in-alton-officer-involved-shooting/" TargetMode="External"/><Relationship Id="rId437" Type="http://schemas.openxmlformats.org/officeDocument/2006/relationships/hyperlink" Target="http://fox2now.com/2015/04/14/man-identified-in-alton-officer-involved-shooting/" TargetMode="External"/><Relationship Id="rId438" Type="http://schemas.openxmlformats.org/officeDocument/2006/relationships/hyperlink" Target="http://abc11.com/news/sampson-county-sheriffs-deputy-shoots-and-kills-robbery-suspect/654777/" TargetMode="External"/><Relationship Id="rId439" Type="http://schemas.openxmlformats.org/officeDocument/2006/relationships/hyperlink" Target="http://www.indystar.com/story/news/crime/2015/04/12/officer-involved-shooting-reported-indys-eastside/25678213/" TargetMode="External"/><Relationship Id="rId1110" Type="http://schemas.openxmlformats.org/officeDocument/2006/relationships/hyperlink" Target="http://ak-cache.legacy.net/legacy/images/Cobrands/Ledger-Enquirer/Photos/LE0040243-1_20150901.jpg" TargetMode="External"/><Relationship Id="rId1111" Type="http://schemas.openxmlformats.org/officeDocument/2006/relationships/hyperlink" Target="http://images1.westword.com/imager/u/745xauto/7095329/william.rippley.facebook.4.jpg" TargetMode="External"/><Relationship Id="rId1112" Type="http://schemas.openxmlformats.org/officeDocument/2006/relationships/hyperlink" Target="http://1.bp.blogspot.com/-xOS3t4XLRDc/VegsAfvOjmI/AAAAAAABEY4/q1TEtNlCyyQ/s1600/jamesbrownIII.jpg" TargetMode="External"/><Relationship Id="rId1113" Type="http://schemas.openxmlformats.org/officeDocument/2006/relationships/hyperlink" Target="http://kltv.images.worldnow.com/images/8689606_G.jpg" TargetMode="External"/><Relationship Id="rId1114" Type="http://schemas.openxmlformats.org/officeDocument/2006/relationships/hyperlink" Target="http://ww3.hdnux.com/photos/40/54/31/8570490/3/920x920.jpg" TargetMode="External"/><Relationship Id="rId1115" Type="http://schemas.openxmlformats.org/officeDocument/2006/relationships/hyperlink" Target="http://media.ksat.com/photo/2015/09/02/Roger-Albrecht-shot-by-SAPD_1441236920219_158947_ver1.0_1280_720.jpg" TargetMode="External"/><Relationship Id="rId1116" Type="http://schemas.openxmlformats.org/officeDocument/2006/relationships/hyperlink" Target="http://img.deseretnews.com/images/article/midres/1589560/1589560.jpg" TargetMode="External"/><Relationship Id="rId1117" Type="http://schemas.openxmlformats.org/officeDocument/2006/relationships/hyperlink" Target="http://crimeblog.dallasnews.com/files/2015/08/Bertrand.jpg" TargetMode="External"/><Relationship Id="rId1118" Type="http://schemas.openxmlformats.org/officeDocument/2006/relationships/hyperlink" Target="http://www.chattanoogan.com/photos/2015/8/article.307038.large.jpg" TargetMode="External"/><Relationship Id="rId1119" Type="http://schemas.openxmlformats.org/officeDocument/2006/relationships/hyperlink" Target="http://img01.funeralnet.com/obit_photo.php?fullsize=1&amp;id=1540231&amp;clientid=jenkins-soffe&amp;iid=889565" TargetMode="External"/><Relationship Id="rId110" Type="http://schemas.openxmlformats.org/officeDocument/2006/relationships/hyperlink" Target="http://wac.450f.edgecastcdn.net/80450F/k2radio.com/files/2015/07/chris-benton.jpg" TargetMode="External"/><Relationship Id="rId111" Type="http://schemas.openxmlformats.org/officeDocument/2006/relationships/hyperlink" Target="http://www.wyomingnews.com/articles/2015/07/16/breaking_news/01breaking_7-16-15.txt" TargetMode="External"/><Relationship Id="rId112" Type="http://schemas.openxmlformats.org/officeDocument/2006/relationships/hyperlink" Target="http://www.11alive.com/story/news/local/lawrenceville/2015/07/14/family-questions-procedures-in-gwinnett-police-taser-death/30160171/" TargetMode="External"/><Relationship Id="rId113" Type="http://schemas.openxmlformats.org/officeDocument/2006/relationships/hyperlink" Target="http://bloximages.newyork1.vip.townnews.com/appeal-democrat.com/content/tncms/assets/v3/editorial/a/50/a5039184-2b6b-11e5-b28b-c7b5c40fdd3d/55a726cc3856f.image.jpg?resize=631%2C760" TargetMode="External"/><Relationship Id="rId114" Type="http://schemas.openxmlformats.org/officeDocument/2006/relationships/hyperlink" Target="http://www.al.com/news/tuscaloosa/index.ssf/2015/07/tuscaloosa_police_release_more.html" TargetMode="External"/><Relationship Id="rId115" Type="http://schemas.openxmlformats.org/officeDocument/2006/relationships/hyperlink" Target="http://www.ajc.com/news/news/crime-law/man-dies-after-being-shot-by-newton-deputies/nmxjG/" TargetMode="External"/><Relationship Id="rId116" Type="http://schemas.openxmlformats.org/officeDocument/2006/relationships/hyperlink" Target="http://lasvegassun.com/news/2015/jul/15/police-body-cam-video-shows-traffic-stop-turn-dead/" TargetMode="External"/><Relationship Id="rId117" Type="http://schemas.openxmlformats.org/officeDocument/2006/relationships/hyperlink" Target="http://chicago.suntimes.com/crime/7/71/759984/chicago-police-involved-grand-crossing-shooting" TargetMode="External"/><Relationship Id="rId118" Type="http://schemas.openxmlformats.org/officeDocument/2006/relationships/hyperlink" Target="http://www.scpr.org/news/2015/07/10/53025/mid-wilshire-police-shooting-suspect-in-skateboard/" TargetMode="External"/><Relationship Id="rId119" Type="http://schemas.openxmlformats.org/officeDocument/2006/relationships/hyperlink" Target="http://www.azcentral.com/story/news/local/phoenix/2015/07/10/phoenix-police-shooting-suspect-cactus-abrk/29978125/" TargetMode="External"/><Relationship Id="rId760" Type="http://schemas.openxmlformats.org/officeDocument/2006/relationships/hyperlink" Target="http://www.jsonline.com/news/crime/shots-fired-in-downtown-milwaukee-b99139596z1-231430101.html" TargetMode="External"/><Relationship Id="rId761" Type="http://schemas.openxmlformats.org/officeDocument/2006/relationships/hyperlink" Target="http://crimeblog.dallasnews.com/2013/10/duncanville-police-fatally-shoot-suspect-monday-morning.html/" TargetMode="External"/><Relationship Id="rId762" Type="http://schemas.openxmlformats.org/officeDocument/2006/relationships/hyperlink" Target="http://sfappeal.com/2013/10/sf-man-shot-to-death-by-san-mateo-police/" TargetMode="External"/><Relationship Id="rId763" Type="http://schemas.openxmlformats.org/officeDocument/2006/relationships/hyperlink" Target="http://www.koat.com/news/fatal-roswell-shootout-caught-on-camera/22577824" TargetMode="External"/><Relationship Id="rId764" Type="http://schemas.openxmlformats.org/officeDocument/2006/relationships/hyperlink" Target="http://www.wrbl.com/story/24805046/eufaula-grand-jury-will-not-meet-today-in-cameron-massey-case" TargetMode="External"/><Relationship Id="rId765" Type="http://schemas.openxmlformats.org/officeDocument/2006/relationships/hyperlink" Target="http://www.myfoxmemphis.com/story/24329596/medical-examiner-rules-cause-of-death-aaron-dumas" TargetMode="External"/><Relationship Id="rId766" Type="http://schemas.openxmlformats.org/officeDocument/2006/relationships/hyperlink" Target="http://bangordailynews.com/2013/10/10/news/bangor/police-identify-2-dead-in-old-town-stabbing-standoff/" TargetMode="External"/><Relationship Id="rId767" Type="http://schemas.openxmlformats.org/officeDocument/2006/relationships/hyperlink" Target="http://www.chicagotribune.com/news/local/breaking/chi-at-least-1-wounded-in-policeinvolved-shooting-in-posen-20131004,0,7140004.story" TargetMode="External"/><Relationship Id="rId768" Type="http://schemas.openxmlformats.org/officeDocument/2006/relationships/hyperlink" Target="http://pgpolice.blogspot.com/2013/10/pgpd-investigates-police-involved.html" TargetMode="External"/><Relationship Id="rId769" Type="http://schemas.openxmlformats.org/officeDocument/2006/relationships/hyperlink" Target="http://abc13.com/archive/9270067/" TargetMode="External"/><Relationship Id="rId70" Type="http://schemas.openxmlformats.org/officeDocument/2006/relationships/hyperlink" Target="http://www.thepress-sentinel.com/view/full_story_free/26766255/article-Man-shot-by-deputy-is-identified?instance=lead_story" TargetMode="External"/><Relationship Id="rId71" Type="http://schemas.openxmlformats.org/officeDocument/2006/relationships/hyperlink" Target="http://www.killedbypolice.net/victims/150637.jpg" TargetMode="External"/><Relationship Id="rId72" Type="http://schemas.openxmlformats.org/officeDocument/2006/relationships/hyperlink" Target="http://www.12newsnow.com/story/29588216/chambers-county-deputy-involved-shooting-near-winnie" TargetMode="External"/><Relationship Id="rId73" Type="http://schemas.openxmlformats.org/officeDocument/2006/relationships/hyperlink" Target="http://www.killedbypolice.net/victims/150642.jpg" TargetMode="External"/><Relationship Id="rId74" Type="http://schemas.openxmlformats.org/officeDocument/2006/relationships/hyperlink" Target="http://dfw.cbslocal.com/2015/07/31/police-officer-shoots-kills-armed-man-in-downtown-fort-worth/" TargetMode="External"/><Relationship Id="rId75" Type="http://schemas.openxmlformats.org/officeDocument/2006/relationships/hyperlink" Target="http://www.mercurynews.com/crime-courts/ci_28681936/fremont-man-dies-from-gunshot-wounds-officer-involved" TargetMode="External"/><Relationship Id="rId76" Type="http://schemas.openxmlformats.org/officeDocument/2006/relationships/hyperlink" Target="http://www.news9.com/story/29591603/one-injured-in-home-invasion-shooting-police-said" TargetMode="External"/><Relationship Id="rId77" Type="http://schemas.openxmlformats.org/officeDocument/2006/relationships/hyperlink" Target="http://www.houstonchronicle.com/news/houston-texas/houston/article/Man-shot-and-killed-by-deputy-outside-club-6400462.php" TargetMode="External"/><Relationship Id="rId78" Type="http://schemas.openxmlformats.org/officeDocument/2006/relationships/hyperlink" Target="http://www.cincinnati.com/story/news/2015/07/29/publish/30830777/" TargetMode="External"/><Relationship Id="rId79" Type="http://schemas.openxmlformats.org/officeDocument/2006/relationships/hyperlink" Target="http://www.visaliatimesdelta.com/story/news/local/2015/07/22/single-bullet-killed-farmersville-man/30501679/" TargetMode="External"/><Relationship Id="rId440" Type="http://schemas.openxmlformats.org/officeDocument/2006/relationships/hyperlink" Target="http://www.koco.com/news/police-investigating-reported-shooting-in-newalla/32332484" TargetMode="External"/><Relationship Id="rId441" Type="http://schemas.openxmlformats.org/officeDocument/2006/relationships/hyperlink" Target="http://www.dailymail.co.uk/news/article-3051433/Bodycam-footage-shows-Sand-Springs-Officer-Brian-Barnett-killing-Donald-Allen.html" TargetMode="External"/><Relationship Id="rId442" Type="http://schemas.openxmlformats.org/officeDocument/2006/relationships/hyperlink" Target="http://www.appeal-democrat.com/corning_observer/deputy-shoots-kills-corning-man-stabbing-father/article_800aa990-e23b-11e4-9469-435eb6fa3396.html" TargetMode="External"/><Relationship Id="rId443" Type="http://schemas.openxmlformats.org/officeDocument/2006/relationships/hyperlink" Target="http://www.pennlive.com/midstate/index.ssf/2015/04/adams_county_prison_gunman_die.html" TargetMode="External"/><Relationship Id="rId444" Type="http://schemas.openxmlformats.org/officeDocument/2006/relationships/hyperlink" Target="http://www.jconline.com/story/news/2015/05/01/officers-justified-use-lethal-force/26708803/" TargetMode="External"/><Relationship Id="rId445" Type="http://schemas.openxmlformats.org/officeDocument/2006/relationships/hyperlink" Target="http://www.northescambia.com/2015/04/santa-rosa-deputy-attacked-by-man-with-sword-suspect-shot-and-killed" TargetMode="External"/><Relationship Id="rId446" Type="http://schemas.openxmlformats.org/officeDocument/2006/relationships/hyperlink" Target="http://newsok.com/oklahoma-agents-investigate-fatal-deputy-involved-shooting-in-creek-county/article/5408706" TargetMode="External"/><Relationship Id="rId447" Type="http://schemas.openxmlformats.org/officeDocument/2006/relationships/hyperlink" Target="http://www.wyff4.com/news/family-of-man-killed-by-deputies-hires-attorney/32601896" TargetMode="External"/><Relationship Id="rId448" Type="http://schemas.openxmlformats.org/officeDocument/2006/relationships/hyperlink" Target="http://www.wctv.tv/home/headlines/Police-Respond-to-Apparent-Shooting-in-Valdosta-299123481.html" TargetMode="External"/><Relationship Id="rId449" Type="http://schemas.openxmlformats.org/officeDocument/2006/relationships/hyperlink" Target="http://www.latimes.com/local/lanow/la-me-ln-boyle-heights-ois-man-identified-20150410-story.html" TargetMode="External"/><Relationship Id="rId1120" Type="http://schemas.openxmlformats.org/officeDocument/2006/relationships/hyperlink" Target="http://www.gannett-cdn.com/-mm-/ba9b0cd1ff1977f0469200d5bdba66aed4208811/c=0-37-720-578&amp;r=x404&amp;c=534x401/local/-/media/2015/08/27/Nashville/Nashville/635762774997799576-SteveDoddBDay.JPG" TargetMode="External"/><Relationship Id="rId1121" Type="http://schemas.openxmlformats.org/officeDocument/2006/relationships/hyperlink" Target="http://media.philly.com/images/180*200/20150826_inq_sshooting26z-f.JPG" TargetMode="External"/><Relationship Id="rId1122" Type="http://schemas.openxmlformats.org/officeDocument/2006/relationships/hyperlink" Target="https://lintvkrqe.files.wordpress.com/2015/08/marvin.png?w=351" TargetMode="External"/><Relationship Id="rId1123" Type="http://schemas.openxmlformats.org/officeDocument/2006/relationships/hyperlink" Target="http://www.news3lv.com/media/lib/166/1/2/5/1253516c-7ddf-4dd7-8c51-c93e9f588679/Original.jpg" TargetMode="External"/><Relationship Id="rId1124" Type="http://schemas.openxmlformats.org/officeDocument/2006/relationships/hyperlink" Target="http://bloximages.chicago2.vip.townnews.com/grandrapidsmn.com/content/tncms/assets/v3/editorial/8/3b/83b1ca04-4ffc-11e5-ad77-6f83536a09fe/55e47f70cd36f.image.jpg?resize=300%2C213" TargetMode="External"/><Relationship Id="rId1125" Type="http://schemas.openxmlformats.org/officeDocument/2006/relationships/hyperlink" Target="https://localtvwghp.files.wordpress.com/2015/08/untitled-213.jpg?w=770" TargetMode="External"/><Relationship Id="rId1126" Type="http://schemas.openxmlformats.org/officeDocument/2006/relationships/hyperlink" Target="http://cdn.abclocal.go.com/content/kabc/images/cms/automation/vod/951884_630x354.jpg" TargetMode="External"/><Relationship Id="rId1127"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128" Type="http://schemas.openxmlformats.org/officeDocument/2006/relationships/hyperlink" Target="http://www.trbimg.com/img-55d4fdaf/turbine/la-me-inmate-killed-by-guards-in-third-prison--002/550/309x550" TargetMode="External"/><Relationship Id="rId1129" Type="http://schemas.openxmlformats.org/officeDocument/2006/relationships/hyperlink" Target="https://cbssanfran.files.wordpress.com/2015/08/nathaniel_wilks_081415.jpg" TargetMode="External"/><Relationship Id="rId120" Type="http://schemas.openxmlformats.org/officeDocument/2006/relationships/hyperlink" Target="http://www.santacruzsentinel.com/20150714/memorial-fund-started-for-boulder-creek-teen-killed-by-deputies" TargetMode="External"/><Relationship Id="rId121" Type="http://schemas.openxmlformats.org/officeDocument/2006/relationships/hyperlink" Target="http://matchbin-assets.s3.amazonaws.com/public/sites/990/assets/26J5_1625924_profile_pic.jpg" TargetMode="External"/><Relationship Id="rId122" Type="http://schemas.openxmlformats.org/officeDocument/2006/relationships/hyperlink" Target="http://www.cachevalleydaily.com/news/local/article_95847b98-36af-11e5-a21d-5381b6067a1e.html" TargetMode="External"/><Relationship Id="rId123" Type="http://schemas.openxmlformats.org/officeDocument/2006/relationships/hyperlink" Target="http://www.gannett-cdn.com/-mm-/444b6b00164f56950327b2368f293f2ce83db955/c=0-295-1304-1032&amp;r=x633&amp;c=1200x630/local/-/media/2015/07/10/JacksonMS/JacksonMS/635721442175293352-IMG-0825.JPG.jpg" TargetMode="External"/><Relationship Id="rId124" Type="http://schemas.openxmlformats.org/officeDocument/2006/relationships/hyperlink" Target="http://media.oregonlive.com/beaverton_news/photo/westrichjpg-51507199625e81e6.jpg" TargetMode="External"/><Relationship Id="rId125" Type="http://schemas.openxmlformats.org/officeDocument/2006/relationships/hyperlink" Target="http://www.kgw.com/story/news/local/washington-county/2015/07/08/beaverton-officer-shot-trailer-hidden-estate/29857719/" TargetMode="External"/><Relationship Id="rId126" Type="http://schemas.openxmlformats.org/officeDocument/2006/relationships/hyperlink" Target="http://www.chron.com/news/houston-texas/houston/article/New-details-emerge-in-HPD-shooting-and-chase-6373997.php" TargetMode="External"/><Relationship Id="rId127" Type="http://schemas.openxmlformats.org/officeDocument/2006/relationships/hyperlink" Target="http://www.bakersfield.com/news/2015/07/09/bakersfield-police-man-fatally-shot-tuesday-pointed-gun-at-officers.html" TargetMode="External"/><Relationship Id="rId128" Type="http://schemas.openxmlformats.org/officeDocument/2006/relationships/hyperlink" Target="http://www.themonitor.com/news/local/authorities-armed-man-in-edinburg-standoff-killed-in-officer-involved/article_62b2b456-24f2-11e5-b79b-6b2f14f63dc2.html" TargetMode="External"/><Relationship Id="rId129" Type="http://schemas.openxmlformats.org/officeDocument/2006/relationships/hyperlink" Target="http://www.pressofatlanticcity.com/eedition/news/grand-jury-may-decide-fate-of-cop/article_d75e1ab1-8f1e-5086-b543-3243f95fc088.html" TargetMode="External"/><Relationship Id="rId770" Type="http://schemas.openxmlformats.org/officeDocument/2006/relationships/hyperlink" Target="http://www.presstelegram.com/general-news/20130926/long-beach-police-kill-man-in-departments-third-ois-in-past-week" TargetMode="External"/><Relationship Id="rId771" Type="http://schemas.openxmlformats.org/officeDocument/2006/relationships/hyperlink" Target="http://www.dps.state.ia.us/commis/pib/Releases/2013/12-14-2013_Northwood_Results.htm" TargetMode="External"/><Relationship Id="rId772" Type="http://schemas.openxmlformats.org/officeDocument/2006/relationships/hyperlink" Target="http://www.denverpost.com/breakingnews/ci_24147149/police-fatally-shoot-denver-bank-robbery-suspect" TargetMode="External"/><Relationship Id="rId773" Type="http://schemas.openxmlformats.org/officeDocument/2006/relationships/hyperlink" Target="http://www.culvercityobserver.com/story/2013/10/10/news/man-shot-at-ccpd-hq-identified/3089.html" TargetMode="External"/><Relationship Id="rId774" Type="http://schemas.openxmlformats.org/officeDocument/2006/relationships/hyperlink" Target="http://homicide.latimes.com/post/ruben-ramos-escobedo/" TargetMode="External"/><Relationship Id="rId775" Type="http://schemas.openxmlformats.org/officeDocument/2006/relationships/hyperlink" Target="http://articles.orlandosentinel.com/2013-09-18/news/os-winter-garden-officer-involved-shooting-20130918_1_winter-garden-man-unarmed-man-roommate" TargetMode="External"/><Relationship Id="rId776" Type="http://schemas.openxmlformats.org/officeDocument/2006/relationships/hyperlink" Target="http://triblive.com/news/allegheny/4669466-74/officer-police-victim" TargetMode="External"/><Relationship Id="rId777" Type="http://schemas.openxmlformats.org/officeDocument/2006/relationships/hyperlink" Target="http://www.wtva.com/news/national/story/Grand-jury-no-indictments-in-officer-involved/EE5Am7KlmUmIECC8X0k4Wg.cspx" TargetMode="External"/><Relationship Id="rId778" Type="http://schemas.openxmlformats.org/officeDocument/2006/relationships/hyperlink" Target="http://www.chicagotribune.com/news/local/breaking/chi-lincoln-park-old-town-triangle-police-shooting-20130831,0,5257184.story" TargetMode="External"/><Relationship Id="rId779" Type="http://schemas.openxmlformats.org/officeDocument/2006/relationships/hyperlink" Target="http://www.washingtonpost.com/blogs/local/wp/2014/07/08/ten-months-of-silence-in-the-fairfax-police-shooting-death-of-john-geer/" TargetMode="External"/><Relationship Id="rId80" Type="http://schemas.openxmlformats.org/officeDocument/2006/relationships/hyperlink" Target="http://www.azcentral.com/story/news/local/phoenix/2015/07/18/west-phoenix-fatal-officer-involved-shooting-abrk/30349421/" TargetMode="External"/><Relationship Id="rId81" Type="http://schemas.openxmlformats.org/officeDocument/2006/relationships/hyperlink" Target="http://www.thedenverchannel.com/news/local-news/man-dead-shot-by-fort-collins-officers-after-suspect-tried-to-attack-them-with-knife" TargetMode="External"/><Relationship Id="rId82" Type="http://schemas.openxmlformats.org/officeDocument/2006/relationships/hyperlink" Target="http://www.kake.com/home/headlines/KBI-investigating-officer-involved-shooting-in-northwest-Kansas-316960821.html" TargetMode="External"/><Relationship Id="rId83" Type="http://schemas.openxmlformats.org/officeDocument/2006/relationships/hyperlink" Target="http://www.orlandosentinel.com/news/breaking-news/os-orlando-police-suspect-shooting-20150717-story.html" TargetMode="External"/><Relationship Id="rId84" Type="http://schemas.openxmlformats.org/officeDocument/2006/relationships/hyperlink" Target="http://www.wmcactionnews5.com/story/29578116/man-dead-after-struggle-with-mpd-officer" TargetMode="External"/><Relationship Id="rId85" Type="http://schemas.openxmlformats.org/officeDocument/2006/relationships/hyperlink" Target="http://www.click2houston.com/news/hpd-investigating-after-possible-incustody-death-in-southeast-houston/34238632" TargetMode="External"/><Relationship Id="rId86" Type="http://schemas.openxmlformats.org/officeDocument/2006/relationships/hyperlink" Target="http://www.sbsun.com/general-news/20150718/sheriffs-deputies-shoot-kill-highland-man-in-needles" TargetMode="External"/><Relationship Id="rId87" Type="http://schemas.openxmlformats.org/officeDocument/2006/relationships/hyperlink" Target="http://fox6now.com/2015/07/17/friend-of-wauwatosa-man-shot-by-police-says-he-was-a-good-man-he-started-getting-violent-hes-never-done-that-before/" TargetMode="External"/><Relationship Id="rId88" Type="http://schemas.openxmlformats.org/officeDocument/2006/relationships/hyperlink" Target="http://www.cnn.com/2015/07/17/us/tennessee-shooter-mohammad-youssuf-abdulazeez/" TargetMode="External"/><Relationship Id="rId89" Type="http://schemas.openxmlformats.org/officeDocument/2006/relationships/hyperlink" Target="http://www.miamiherald.com/news/local/crime/article27524482.html" TargetMode="External"/><Relationship Id="rId450" Type="http://schemas.openxmlformats.org/officeDocument/2006/relationships/hyperlink" Target="http://www.kerngoldenempire.com/news/top-stories/new-information-on-kcso-in-custody-death" TargetMode="External"/><Relationship Id="rId451" Type="http://schemas.openxmlformats.org/officeDocument/2006/relationships/hyperlink" Target="http://sanfrancisco.cbslocal.com/2015/04/14/armed-robbery-suspect-killed-by-sunnyvale-police-was-army-veteran/" TargetMode="External"/><Relationship Id="rId452" Type="http://schemas.openxmlformats.org/officeDocument/2006/relationships/hyperlink" Target="http://www.ksat.com/content/pns/ksat/news/2015/04/10/man-shot--killed-by-police-id-d.html" TargetMode="External"/><Relationship Id="rId453" Type="http://schemas.openxmlformats.org/officeDocument/2006/relationships/hyperlink" Target="http://www.ksat.com/content/pns/ksat/news/2015/04/10/man-shot--killed-by-police-id-d.html" TargetMode="External"/><Relationship Id="rId454" Type="http://schemas.openxmlformats.org/officeDocument/2006/relationships/hyperlink" Target="http://www.ktvb.com/story/news/crime/2015/04/07/deputy-shoots-kills-man-rifle/25414923/" TargetMode="External"/><Relationship Id="rId455" Type="http://schemas.openxmlformats.org/officeDocument/2006/relationships/hyperlink" Target="http://kfor.com/2015/04/08/officer-involved-shooting-in-shawnee-leaves-one-dead/" TargetMode="External"/><Relationship Id="rId456" Type="http://schemas.openxmlformats.org/officeDocument/2006/relationships/hyperlink" Target="http://www.wdsu.com/news/local-news/new-orleans/jpso-officer-involved-in-shooting-in-harvey/32215908" TargetMode="External"/><Relationship Id="rId459" Type="http://schemas.openxmlformats.org/officeDocument/2006/relationships/hyperlink" Target="http://www.ocala.com/article/20150429/ARTICLES/150429614" TargetMode="External"/><Relationship Id="rId457" Type="http://schemas.openxmlformats.org/officeDocument/2006/relationships/hyperlink" Target="http://www.turnto23.com/news/local-news/suspect-dies-after-officer-involved-shooting-in-tehachapi-040615" TargetMode="External"/><Relationship Id="rId458" Type="http://schemas.openxmlformats.org/officeDocument/2006/relationships/hyperlink" Target="http://www.seattletimes.com/seattle-news/coulee-dam-man-dies-following-taser-incident/" TargetMode="External"/><Relationship Id="rId1130" Type="http://schemas.openxmlformats.org/officeDocument/2006/relationships/hyperlink" Target="http://woio.images.worldnow.com/images/7942214_G.jpg" TargetMode="External"/><Relationship Id="rId1131" Type="http://schemas.openxmlformats.org/officeDocument/2006/relationships/hyperlink" Target="http://tucson.com/news/blogs/police-beat/man-killed-in-tucson-police-shooting-linked-to-slaying/article_760fd780-3bd7-11e5-9927-0f42f589a5ea.html" TargetMode="External"/><Relationship Id="rId1132" Type="http://schemas.openxmlformats.org/officeDocument/2006/relationships/hyperlink" Target="http://wvmetronews.com/2015/08/02/shootout-with-police-in-nitro-kills-suspect/" TargetMode="External"/><Relationship Id="rId1133" Type="http://schemas.openxmlformats.org/officeDocument/2006/relationships/hyperlink" Target="http://abc7.com/news/armed-woman-shot-by-police-in-crenshaw-district/925223/" TargetMode="External"/><Relationship Id="rId1134" Type="http://schemas.openxmlformats.org/officeDocument/2006/relationships/hyperlink" Target="http://timesleader.com/news/local/376876/disabled-man-waving-gun-killed-by-police-in-pittston" TargetMode="External"/><Relationship Id="rId1135" Type="http://schemas.openxmlformats.org/officeDocument/2006/relationships/hyperlink" Target="http://www.kansas.com/news/local/crime/article32105529.html" TargetMode="External"/><Relationship Id="rId1136" Type="http://schemas.openxmlformats.org/officeDocument/2006/relationships/hyperlink" Target="http://www.news-gazette.com/news/local/2015-08-06/police-describe-events-leading-fatal-shooting-rantoul-standoff.html" TargetMode="External"/><Relationship Id="rId1137" Type="http://schemas.openxmlformats.org/officeDocument/2006/relationships/hyperlink" Target="http://tacomastories.com/2015/08/07/seventh-tacoma-homicide-of-2015-jason-galaviz/" TargetMode="External"/><Relationship Id="rId1138" Type="http://schemas.openxmlformats.org/officeDocument/2006/relationships/hyperlink" Target="http://www.wisn.com/news/report-of-officerinvolved-shooting-in-greenfield/34562304" TargetMode="External"/><Relationship Id="rId1139" Type="http://schemas.openxmlformats.org/officeDocument/2006/relationships/hyperlink" Target="http://www.dallasnews.com/news/crime/headlines/20150801-authorities-investigating-after-man-dies-in-dallas-county-jail-lobby.ece" TargetMode="External"/><Relationship Id="rId130" Type="http://schemas.openxmlformats.org/officeDocument/2006/relationships/hyperlink" Target="http://www.wlky.com/news/man-dies-after-being-shot-by-elizabethtown-police/34052212" TargetMode="External"/><Relationship Id="rId131" Type="http://schemas.openxmlformats.org/officeDocument/2006/relationships/hyperlink" Target="http://www.kansascity.com/news/local/crime/iwklhy/picture26752486/ALTERNATES/FREE_640/Booth" TargetMode="External"/><Relationship Id="rId132" Type="http://schemas.openxmlformats.org/officeDocument/2006/relationships/hyperlink" Target="http://www.homefacts.com/images/offenders/texas/thumb/01958213.jpg" TargetMode="External"/><Relationship Id="rId133" Type="http://schemas.openxmlformats.org/officeDocument/2006/relationships/hyperlink" Target="http://crimeblog.dallasnews.com/2015/07/authorities-man-shot-by-dallas-police-was-racist-killer-rapist-family-he-was-kind-loving.html/" TargetMode="External"/><Relationship Id="rId134" Type="http://schemas.openxmlformats.org/officeDocument/2006/relationships/hyperlink" Target="http://homicide.latimes.com/post/jason-m-hendley/" TargetMode="External"/><Relationship Id="rId135" Type="http://schemas.openxmlformats.org/officeDocument/2006/relationships/hyperlink" Target="http://www.mercedsunstar.com/news/local/crime/article26705443.html" TargetMode="External"/><Relationship Id="rId136" Type="http://schemas.openxmlformats.org/officeDocument/2006/relationships/hyperlink" Target="http://www.fox10phoenix.com/story/29484924/2015/07/06/suspect-hospitalized-after-officer-involved-shooting-in-mesa" TargetMode="External"/><Relationship Id="rId137" Type="http://schemas.openxmlformats.org/officeDocument/2006/relationships/hyperlink" Target="http://homicide.latimes.com/post/john-leonard-berry/" TargetMode="External"/><Relationship Id="rId138" Type="http://schemas.openxmlformats.org/officeDocument/2006/relationships/hyperlink" Target="https://localtvkfor.files.wordpress.com/2015/07/rogers-tyler.jpg" TargetMode="External"/><Relationship Id="rId139" Type="http://schemas.openxmlformats.org/officeDocument/2006/relationships/hyperlink" Target="http://kfor.com/2015/07/06/one-dead-in-officer-involved-shooting-overnight/" TargetMode="External"/><Relationship Id="rId900" Type="http://schemas.openxmlformats.org/officeDocument/2006/relationships/hyperlink" Target="http://www.nbcsandiego.com/news/local/San-Diego-Harbor-Police-Shooting-Fatal-Officer-Involved-337915742.html" TargetMode="External"/><Relationship Id="rId901" Type="http://schemas.openxmlformats.org/officeDocument/2006/relationships/hyperlink" Target="http://www.nbcwashington.com/news/local/1-Injured-in-NW-DC-Shooting-337103121.html" TargetMode="External"/><Relationship Id="rId902" Type="http://schemas.openxmlformats.org/officeDocument/2006/relationships/hyperlink" Target="http://newsok.com/article/5456285" TargetMode="External"/><Relationship Id="rId903" Type="http://schemas.openxmlformats.org/officeDocument/2006/relationships/hyperlink" Target="http://www.sandiegouniontribune.com/news/2015/oct/17/chula-vista-shooting/" TargetMode="External"/><Relationship Id="rId904" Type="http://schemas.openxmlformats.org/officeDocument/2006/relationships/hyperlink" Target="http://abc13.com/news/one-dead-in-officer-involved-shooting-in-nw-houston/1035019/" TargetMode="External"/><Relationship Id="rId905" Type="http://schemas.openxmlformats.org/officeDocument/2006/relationships/hyperlink" Target="http://bloximages.newyork1.vip.townnews.com/oanow.com/content/tncms/assets/v3/editorial/4/24/42460824-81ce-11e5-8788-17b5c2efa76d/563814cfd1a5a.image.jpg?resize=300%2C169" TargetMode="External"/><Relationship Id="rId906" Type="http://schemas.openxmlformats.org/officeDocument/2006/relationships/hyperlink" Target="http://www.ledger-enquirer.com/news/article42133281.html" TargetMode="External"/><Relationship Id="rId907" Type="http://schemas.openxmlformats.org/officeDocument/2006/relationships/hyperlink" Target="http://www.bradenton.com/news/local/crime/hgcvb4/picture45462828/ALTERNATES/FREE_320/Randy%20Allen%20Smith.jpg" TargetMode="External"/><Relationship Id="rId908" Type="http://schemas.openxmlformats.org/officeDocument/2006/relationships/hyperlink" Target="http://www.bradenton.com/news/local/crime/article45451434.html" TargetMode="External"/><Relationship Id="rId909" Type="http://schemas.openxmlformats.org/officeDocument/2006/relationships/hyperlink" Target="http://media.jrn.com/images/SteveDormil.jpg" TargetMode="External"/><Relationship Id="rId780" Type="http://schemas.openxmlformats.org/officeDocument/2006/relationships/hyperlink" Target="http://homicide.latimes.com/post/dennis-hakeen-vasquez/" TargetMode="External"/><Relationship Id="rId781" Type="http://schemas.openxmlformats.org/officeDocument/2006/relationships/hyperlink" Target="http://www.pe.com/articles/palmer-674426-deputies-phillips.html" TargetMode="External"/><Relationship Id="rId782" Type="http://schemas.openxmlformats.org/officeDocument/2006/relationships/hyperlink" Target="http://www.khq.com/story/23228789/officer-involved-shooting-in-n-spokane" TargetMode="External"/><Relationship Id="rId783" Type="http://schemas.openxmlformats.org/officeDocument/2006/relationships/hyperlink" Target="http://blog.gulflive.com/mississippi-press-news/2013/10/gloster_police_offer_reinstate.html" TargetMode="External"/><Relationship Id="rId784" Type="http://schemas.openxmlformats.org/officeDocument/2006/relationships/hyperlink" Target="http://www.huffingtonpost.com/2013/08/08/james-lee-dimaggio_n_3724734.html" TargetMode="External"/><Relationship Id="rId785" Type="http://schemas.openxmlformats.org/officeDocument/2006/relationships/hyperlink" Target="http://hamptonroads.com/2013/08/man-killed-deputyinvolved-isle-wight-shooting" TargetMode="External"/><Relationship Id="rId786" Type="http://schemas.openxmlformats.org/officeDocument/2006/relationships/hyperlink" Target="http://www.theindychannel.com/news/local-news/impd-suspect-dies-while-being-arrested" TargetMode="External"/><Relationship Id="rId787" Type="http://schemas.openxmlformats.org/officeDocument/2006/relationships/hyperlink" Target="http://www.huffingtonpost.com/2013/08/05/shaaliver-douse-shooting_n_3705623.html" TargetMode="External"/><Relationship Id="rId788" Type="http://schemas.openxmlformats.org/officeDocument/2006/relationships/hyperlink" Target="http://kfor.com/2013/08/02/warr-acres-police-involved-in-chase-shooting-reported/" TargetMode="External"/><Relationship Id="rId789" Type="http://schemas.openxmlformats.org/officeDocument/2006/relationships/hyperlink" Target="http://www.nola.com/crime/index.ssf/2014/04/report_doj_drops_probe_of_fbi-.html" TargetMode="External"/><Relationship Id="rId90" Type="http://schemas.openxmlformats.org/officeDocument/2006/relationships/hyperlink" Target="https://localtvwiti.files.wordpress.com/2015/07/antonio-gonzales2.jpeg" TargetMode="External"/><Relationship Id="rId91" Type="http://schemas.openxmlformats.org/officeDocument/2006/relationships/hyperlink" Target="http://www.nbc15.com/home/headlines/Reports-of-shooting-in-Monroe-318229761.html" TargetMode="External"/><Relationship Id="rId92" Type="http://schemas.openxmlformats.org/officeDocument/2006/relationships/hyperlink" Target="http://media.graytvinc.com/images/saige+hack+2.jpg" TargetMode="External"/><Relationship Id="rId93" Type="http://schemas.openxmlformats.org/officeDocument/2006/relationships/hyperlink" Target="http://trib.com/news/local/crime-and-courts/authorities-identify-man-killed-in-law-enforcement-shooting/article_6d603afc-e1e5-5d5c-a156-708cc4078263.html" TargetMode="External"/><Relationship Id="rId94" Type="http://schemas.openxmlformats.org/officeDocument/2006/relationships/hyperlink" Target="http://www.myfoxal.com/story/29566625/man-in-opp-officer-involved-shooting-dies" TargetMode="External"/><Relationship Id="rId95" Type="http://schemas.openxmlformats.org/officeDocument/2006/relationships/hyperlink" Target="http://www.kmbc.com/news/armed-man-shot-and-killed-by-police-on-i35-identified/34224622?absolute=true" TargetMode="External"/><Relationship Id="rId96" Type="http://schemas.openxmlformats.org/officeDocument/2006/relationships/hyperlink" Target="http://homicide.latimes.com/post/jason-charles-davis/" TargetMode="External"/><Relationship Id="rId97" Type="http://schemas.openxmlformats.org/officeDocument/2006/relationships/hyperlink" Target="http://media.mlive.com/grpress/news_impact/photo/eugene-kailingjpg-1325419215b33c26.jpg" TargetMode="External"/><Relationship Id="rId98" Type="http://schemas.openxmlformats.org/officeDocument/2006/relationships/hyperlink" Target="http://www.clickorlando.com/news/1-dead-in-deputyinvolved-shooting-in-lake-county/34153664" TargetMode="External"/><Relationship Id="rId99" Type="http://schemas.openxmlformats.org/officeDocument/2006/relationships/hyperlink" Target="http://wkbn.com/2015/07/14/man-dies-in-shootout-with-police-in-southington/" TargetMode="External"/><Relationship Id="rId460" Type="http://schemas.openxmlformats.org/officeDocument/2006/relationships/hyperlink" Target="http://www.indystar.com/story/news/crime/2015/04/06/armed-man-shot-and-killed-by-police-on-southwestside/25348529/" TargetMode="External"/><Relationship Id="rId461" Type="http://schemas.openxmlformats.org/officeDocument/2006/relationships/hyperlink" Target="http://mugshot-record-search.com/mugshot/AZ/Maricopa-County-Sheriff-Office/2015-Mar-16/8155067/Kenneth-Cockerel" TargetMode="External"/><Relationship Id="rId462" Type="http://schemas.openxmlformats.org/officeDocument/2006/relationships/hyperlink" Target="http://www.abc15.com/news/region-phoenix-metro/north-phoenix/police-identify-ken-cockerel-as-man-who-stabbed-himself-then-threatened-officers-with-knives" TargetMode="External"/><Relationship Id="rId463" Type="http://schemas.openxmlformats.org/officeDocument/2006/relationships/hyperlink" Target="http://ktla.com/2015/04/05/armed-man-is-fatally-shot-by-anaheim-police-1-day-after-posting-bail/" TargetMode="External"/><Relationship Id="rId464" Type="http://schemas.openxmlformats.org/officeDocument/2006/relationships/hyperlink" Target="http://www.huffingtonpost.com/2015/04/29/justus-howell_n_7172814.html" TargetMode="External"/><Relationship Id="rId465" Type="http://schemas.openxmlformats.org/officeDocument/2006/relationships/hyperlink" Target="http://www.koat.com/news/state-police-officers-fatally-shoot-east-mountains-man/32197688" TargetMode="External"/><Relationship Id="rId466" Type="http://schemas.openxmlformats.org/officeDocument/2006/relationships/hyperlink" Target="http://www.newson6.com/story/28722322/sheriff-man-who-died-after-being-tasered-broke-warner-officers-eye-bone-first" TargetMode="External"/><Relationship Id="rId467" Type="http://schemas.openxmlformats.org/officeDocument/2006/relationships/hyperlink" Target="http://www.killedbypolice.net/victims/150297.jpg" TargetMode="External"/><Relationship Id="rId468" Type="http://schemas.openxmlformats.org/officeDocument/2006/relationships/hyperlink" Target="http://kwqc.com/2015/04/03/r-i-county-coroner-identifies-man-killed-in-officer-involved-shooting/" TargetMode="External"/><Relationship Id="rId469" Type="http://schemas.openxmlformats.org/officeDocument/2006/relationships/hyperlink" Target="http://www.winchesterstar.com/article/040615br" TargetMode="External"/><Relationship Id="rId1140" Type="http://schemas.openxmlformats.org/officeDocument/2006/relationships/hyperlink" Target="http://www.click2houston.com/news/driver-shot-killed-after-leading-police-on-chase-across-sw-houston/34492804" TargetMode="External"/><Relationship Id="rId1141" Type="http://schemas.openxmlformats.org/officeDocument/2006/relationships/hyperlink" Target="http://www.contracostatimes.com/breaking-news/ci_28602957/sexual-assault-suspect-slain-gunbattle-police-identified" TargetMode="External"/><Relationship Id="rId1142" Type="http://schemas.openxmlformats.org/officeDocument/2006/relationships/hyperlink" Target="http://wric.com/2015/08/04/state-police-armed-man-killed-after-officer-involved-shooting-in-powhatan-county/" TargetMode="External"/><Relationship Id="rId1143" Type="http://schemas.openxmlformats.org/officeDocument/2006/relationships/hyperlink" Target="http://www.nj.com/burlington/index.ssf/2015/08/what_we_know_about_nj_teen_killed_by_police_in_sho.html" TargetMode="External"/><Relationship Id="rId1144" Type="http://schemas.openxmlformats.org/officeDocument/2006/relationships/hyperlink" Target="http://www.theindychannel.com/news/local-news/man-in-shot-muncie-standoff-dies-at-hospital" TargetMode="External"/><Relationship Id="rId1145" Type="http://schemas.openxmlformats.org/officeDocument/2006/relationships/hyperlink" Target="http://www.washingtonpost.com/news/morning-mix/wp/2015/08/12/christian-taylors-father-feels-for-fired-cop-there-isnt-a-winner-in-this-we-are-both-losers/" TargetMode="External"/><Relationship Id="rId1146" Type="http://schemas.openxmlformats.org/officeDocument/2006/relationships/hyperlink" Target="http://homicide.latimes.com/post/derrick-lee-hunt/" TargetMode="External"/><Relationship Id="rId1147" Type="http://schemas.openxmlformats.org/officeDocument/2006/relationships/hyperlink" Target="http://missoulian.com/news/local/mineral-county-releases-names-of-deputy-victim-in-fatal-shooting/article_b5fd7dbd-f901-5fba-b7d9-5260acaac37c.html" TargetMode="External"/><Relationship Id="rId1148" Type="http://schemas.openxmlformats.org/officeDocument/2006/relationships/hyperlink" Target="http://foxct.com/2015/08/08/combative-man-hit-by-taser-in-hartford-dies/" TargetMode="External"/><Relationship Id="rId1149" Type="http://schemas.openxmlformats.org/officeDocument/2006/relationships/hyperlink" Target="http://www.charlotteobserver.com/news/local/crime/article30532512.html" TargetMode="External"/><Relationship Id="rId140" Type="http://schemas.openxmlformats.org/officeDocument/2006/relationships/hyperlink" Target="https://localtvkstu.files.wordpress.com/2015/07/gormley.jpg" TargetMode="External"/><Relationship Id="rId141" Type="http://schemas.openxmlformats.org/officeDocument/2006/relationships/hyperlink" Target="http://www.thespectrum.com/story/news/local/cedar-city/2015/07/15/family-friends-speak-man-killed-officer-involved-shooting/30219883/" TargetMode="External"/><Relationship Id="rId142" Type="http://schemas.openxmlformats.org/officeDocument/2006/relationships/hyperlink" Target="http://www.loscerritosnews.net/2015/07/12/hundreds-protest-johnny-ray-andersons-shooting-death-in-hawaiian-gardens/" TargetMode="External"/><Relationship Id="rId143" Type="http://schemas.openxmlformats.org/officeDocument/2006/relationships/hyperlink" Target="http://cdn.patch.com/users/1372433/2015/07/T800x600/201507559ff12e799d0.png" TargetMode="External"/><Relationship Id="rId144" Type="http://schemas.openxmlformats.org/officeDocument/2006/relationships/hyperlink" Target="http://www.mercurynews.com/crime-courts/ci_28445274/pleasanton-investigation-continues-into-fatal-police-shooting-19" TargetMode="External"/><Relationship Id="rId145" Type="http://schemas.openxmlformats.org/officeDocument/2006/relationships/hyperlink" Target="https://media.licdn.com/media/p/3/000/0d2/16d/29b38bd.jpg" TargetMode="External"/><Relationship Id="rId146" Type="http://schemas.openxmlformats.org/officeDocument/2006/relationships/hyperlink" Target="http://www.dallasnews.com/news/crime/headlines/20150706-austin-police-id-gunman-victim-at-sundays-hotel-shooting.ece" TargetMode="External"/><Relationship Id="rId147" Type="http://schemas.openxmlformats.org/officeDocument/2006/relationships/hyperlink" Target="http://kxan.com/2015/07/06/police-say-man-killed-in-north-austin-aimed-a-bb-pistol-at-officers/" TargetMode="External"/><Relationship Id="rId148" Type="http://schemas.openxmlformats.org/officeDocument/2006/relationships/hyperlink" Target="http://www.miamiherald.com/news/local/community/miami-dade/little-havana/article26604022.html" TargetMode="External"/><Relationship Id="rId149" Type="http://schemas.openxmlformats.org/officeDocument/2006/relationships/hyperlink" Target="http://kwtv.images.worldnow.com/images/8241047_G.jpg" TargetMode="External"/><Relationship Id="rId910" Type="http://schemas.openxmlformats.org/officeDocument/2006/relationships/hyperlink" Target="http://www.pe.com/articles/death-787032-altercation-deputy.html" TargetMode="External"/><Relationship Id="rId911" Type="http://schemas.openxmlformats.org/officeDocument/2006/relationships/hyperlink" Target="http://www.fatalencounters.org/wp-content/uploads/2013/10/Cornelius-Brown-e1448418750146.jpg" TargetMode="External"/><Relationship Id="rId912" Type="http://schemas.openxmlformats.org/officeDocument/2006/relationships/hyperlink" Target="http://www.wsvn.com/story/30546376/police-involved-shooting-in-opa-locka-1-dead" TargetMode="External"/><Relationship Id="rId913"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914" Type="http://schemas.openxmlformats.org/officeDocument/2006/relationships/hyperlink" Target="https://www.washingtonpost.com/local/public-safety/dc-police-investigate-death-of-man-found-unconscious-and-in-handcuffs/2015/11/04/205105a8-8317-11e5-9afb-0c971f713d0c_story.html" TargetMode="External"/><Relationship Id="rId915" Type="http://schemas.openxmlformats.org/officeDocument/2006/relationships/hyperlink" Target="http://www.wusa9.com/story/news/local/dc/2015/11/02/police-involved-shooting-reported-southeast-dc/75070140/" TargetMode="External"/><Relationship Id="rId916" Type="http://schemas.openxmlformats.org/officeDocument/2006/relationships/hyperlink" Target="http://whns.images.worldnow.com/images/9218557_G.jpg" TargetMode="External"/><Relationship Id="rId917" Type="http://schemas.openxmlformats.org/officeDocument/2006/relationships/hyperlink" Target="http://www.foxcarolina.com/story/30476491/spartanburg-methodist-college-burglary-suspect-talks-to-fox-carolina" TargetMode="External"/><Relationship Id="rId918" Type="http://schemas.openxmlformats.org/officeDocument/2006/relationships/hyperlink" Target="http://wach.com/resources/media/283f8404-c162-47c2-aafc-8a93d8b6df7b-large16x9_DemtriusBryant.jpg?1447798547635" TargetMode="External"/><Relationship Id="rId919" Type="http://schemas.openxmlformats.org/officeDocument/2006/relationships/hyperlink" Target="http://www.wltx.com/story/news/2015/11/17/overnight-officer-involved-shooting-cayce/75914374/" TargetMode="External"/><Relationship Id="rId790" Type="http://schemas.openxmlformats.org/officeDocument/2006/relationships/hyperlink" Target="http://pjmedia.com/tatler/2013/07/30/the-strange-killing-of-larry-eugene-jackson-jr-by-an-austin-police-detective/" TargetMode="External"/><Relationship Id="rId791" Type="http://schemas.openxmlformats.org/officeDocument/2006/relationships/hyperlink" Target="http://www.wral.com/suspect-killed-in-officer-involved-shooting-identified/12688890/" TargetMode="External"/><Relationship Id="rId792" Type="http://schemas.openxmlformats.org/officeDocument/2006/relationships/hyperlink" Target="http://crimeblog.dallasnews.com/2013/07/police-shoot-burglary-suspect-in-confrontation-in-southeast-dallas.html/" TargetMode="External"/><Relationship Id="rId793" Type="http://schemas.openxmlformats.org/officeDocument/2006/relationships/hyperlink" Target="http://www.floydcountytimes.com/view/full_story/1431043/article-Suspect-shot-and-killed-by-state-trooper-while-in-custody" TargetMode="External"/><Relationship Id="rId794" Type="http://schemas.openxmlformats.org/officeDocument/2006/relationships/hyperlink" Target="http://explorevenango.com/vigil-rally-held-for-oil-city-woman-fatally-shot-by-police/" TargetMode="External"/><Relationship Id="rId795" Type="http://schemas.openxmlformats.org/officeDocument/2006/relationships/hyperlink" Target="http://hiphopwired.com/2013/07/17/arkansas-cop-kills-wrongfully-suspected-in-car-thief-claims-self-defense/" TargetMode="External"/><Relationship Id="rId796" Type="http://schemas.openxmlformats.org/officeDocument/2006/relationships/hyperlink" Target="http://newsok.com/family-member-identifies-man-shot-by-oklahoma-city-police/article/3861642" TargetMode="External"/><Relationship Id="rId797" Type="http://schemas.openxmlformats.org/officeDocument/2006/relationships/hyperlink" Target="http://www.nj.com/essex/index.ssf/2013/09/woman_files_multi-million_dollar_suit_against_belleville_after_police_shot_husband_24_times.html" TargetMode="External"/><Relationship Id="rId798" Type="http://schemas.openxmlformats.org/officeDocument/2006/relationships/hyperlink" Target="http://www.post-gazette.com/stories/local/neighborhoods-north/man-shot-to-death-in-sewickley-694786/" TargetMode="External"/><Relationship Id="rId799" Type="http://schemas.openxmlformats.org/officeDocument/2006/relationships/hyperlink" Target="http://articles.baltimoresun.com/2013-06-11/news/bs-md-ar-road-rage-bail-20130610_1_police-officer-documents-hudson-county" TargetMode="External"/><Relationship Id="rId470" Type="http://schemas.openxmlformats.org/officeDocument/2006/relationships/hyperlink" Target="http://www.timesunion.com/news/article/Taser-victim-Dontay-Ivy-to-be-laid-to-rest-6187858.php" TargetMode="External"/><Relationship Id="rId471" Type="http://schemas.openxmlformats.org/officeDocument/2006/relationships/hyperlink" Target="http://www.inquisitr.com/2003038/oklahoma-shooting-videos-reveal-eric-courtney-harris-last-moments-alive/" TargetMode="External"/><Relationship Id="rId472" Type="http://schemas.openxmlformats.org/officeDocument/2006/relationships/hyperlink" Target="http://www.kfvs12.com/story/28708976/man-identified-following-officer-involved-shooting-in-metropolis" TargetMode="External"/><Relationship Id="rId473" Type="http://schemas.openxmlformats.org/officeDocument/2006/relationships/hyperlink" Target="http://www.thetowntalk.com/story/news/local/2015/04/04/pineville-man-killed-deputy-idd-la-guardsman/25296693/" TargetMode="External"/><Relationship Id="rId474" Type="http://schemas.openxmlformats.org/officeDocument/2006/relationships/hyperlink" Target="http://www.killedbypolice.net/victims/150292.jpg" TargetMode="External"/><Relationship Id="rId475" Type="http://schemas.openxmlformats.org/officeDocument/2006/relationships/hyperlink" Target="http://www.nbclosangeles.com/news/local/Fatal-Shooting-May-Have-Started-Over-Laugh-298532211.html" TargetMode="External"/><Relationship Id="rId476" Type="http://schemas.openxmlformats.org/officeDocument/2006/relationships/hyperlink" Target="http://www.click2houston.com/news/pd-man-with-pellet-gun-shot-dead-by-baytown-police-officer/32108156" TargetMode="External"/><Relationship Id="rId477" Type="http://schemas.openxmlformats.org/officeDocument/2006/relationships/hyperlink" Target="http://www.nwitimes.com/news/local/lake/hobart-man-dies-while-in-police-custody/article_8c40ecd0-25ee-537c-a247-168e9f79d438.html" TargetMode="External"/><Relationship Id="rId478" Type="http://schemas.openxmlformats.org/officeDocument/2006/relationships/hyperlink" Target="http://www.10tv.com/content/stories/2015/03/29/pike-county-ohio--officer-involved-shooting-leaves-one-dead.html" TargetMode="External"/><Relationship Id="rId479" Type="http://schemas.openxmlformats.org/officeDocument/2006/relationships/hyperlink" Target="http://www.killedbypolice.net/victims/150279.jpg" TargetMode="External"/><Relationship Id="rId1150" Type="http://schemas.openxmlformats.org/officeDocument/2006/relationships/hyperlink" Target="http://www.khq.com/story/29771812/man-killed-in-officer-involved-shooting-identified" TargetMode="External"/><Relationship Id="rId1151" Type="http://schemas.openxmlformats.org/officeDocument/2006/relationships/hyperlink" Target="http://www.khou.com/story/news/local/2015/08/09/man-killed-in-officer-involved-shooting-in-waller-county/31363535/" TargetMode="External"/><Relationship Id="rId1152" Type="http://schemas.openxmlformats.org/officeDocument/2006/relationships/hyperlink" Target="http://www.postandcourier.com/article/20150810/PC16/150819946" TargetMode="External"/><Relationship Id="rId1153" Type="http://schemas.openxmlformats.org/officeDocument/2006/relationships/hyperlink" Target="http://www.pe.com/articles/vallejo-776889-convicted-shot.html" TargetMode="External"/><Relationship Id="rId1154" Type="http://schemas.openxmlformats.org/officeDocument/2006/relationships/hyperlink" Target="http://wnct.com/2015/08/08/officer-involved-shooting-at-buffalo-wild-wings/" TargetMode="External"/><Relationship Id="rId1155" Type="http://schemas.openxmlformats.org/officeDocument/2006/relationships/hyperlink" Target="http://www.indystar.com/story/news/crime/2015/08/10/carjacking-suspect-dead-officer-involved-shooting/31398827/" TargetMode="External"/><Relationship Id="rId1156" Type="http://schemas.openxmlformats.org/officeDocument/2006/relationships/hyperlink" Target="http://www.sfgate.com/crime/article/San-Jose-police-shoot-and-kill-stabbing-suspect-6434653.php" TargetMode="External"/><Relationship Id="rId1157" Type="http://schemas.openxmlformats.org/officeDocument/2006/relationships/hyperlink" Target="http://www.kxii.com/home/headlines/Suspect-in-Ardmore-officer-involved-shooting-dies-321179871.html" TargetMode="External"/><Relationship Id="rId1158" Type="http://schemas.openxmlformats.org/officeDocument/2006/relationships/hyperlink" Target="http://www.azcentral.com/story/news/local/gilbert/breaking/2015/08/10/officer-involved-shooting-scene--gilbert-abrk/31414861/" TargetMode="External"/><Relationship Id="rId1159" Type="http://schemas.openxmlformats.org/officeDocument/2006/relationships/hyperlink" Target="http://www.spokesman.com/stories/2015/aug/11/man-dies-after-police-shooting-sandpoint/" TargetMode="External"/><Relationship Id="rId150" Type="http://schemas.openxmlformats.org/officeDocument/2006/relationships/hyperlink" Target="http://kfor.com/2015/07/06/alleged-suspects-identity-released-in-deadly-officer-involved-shooting/" TargetMode="External"/><Relationship Id="rId151" Type="http://schemas.openxmlformats.org/officeDocument/2006/relationships/hyperlink" Target="http://i.guim.co.uk/img/media/6b8d2e8197fcd13bf1efa55dde76f7af6401fdfb/0_188_600_360/master/600.jpg?w=620&amp;q=85&amp;auto=format&amp;sharp=10&amp;s=cd2d313d4e808218cd2fff1e044bc896" TargetMode="External"/><Relationship Id="rId152" Type="http://schemas.openxmlformats.org/officeDocument/2006/relationships/hyperlink" Target="http://www.king5.com/story/news/crime/2015/07/17/ravenna-spd-cruiser-rammed/30286759/" TargetMode="External"/><Relationship Id="rId153" Type="http://schemas.openxmlformats.org/officeDocument/2006/relationships/hyperlink" Target="http://www.reviewjournal.com/news/las-vegas/gunman-killed-police-henderson-hotel-identified" TargetMode="External"/><Relationship Id="rId154" Type="http://schemas.openxmlformats.org/officeDocument/2006/relationships/hyperlink" Target="http://www.standardbanner.com/news/morristown-man-shot-by-police-was-also-wanted-here/article_e6215eb4-242a-11e5-b876-3f8c02fbda9f.html" TargetMode="External"/><Relationship Id="rId155" Type="http://schemas.openxmlformats.org/officeDocument/2006/relationships/hyperlink" Target="http://media.nbclosangeles.com/images/1203*675/7-3-15+Christian+Siqueiros+in-custody+death.JPG" TargetMode="External"/><Relationship Id="rId156" Type="http://schemas.openxmlformats.org/officeDocument/2006/relationships/hyperlink" Target="http://jacksonville.com/sites/default/files/imagecache/premium_415_wide_scale/Suspect_1.jpg" TargetMode="External"/><Relationship Id="rId157" Type="http://schemas.openxmlformats.org/officeDocument/2006/relationships/hyperlink" Target="http://www.news4jax.com/news/names-details-of-police-shooting-released/33983574" TargetMode="External"/><Relationship Id="rId158" Type="http://schemas.openxmlformats.org/officeDocument/2006/relationships/hyperlink" Target="http://k2radio.com/police-identify-man-killed-by-police-christopher-benton-had-a-criminal-record/" TargetMode="External"/><Relationship Id="rId159" Type="http://schemas.openxmlformats.org/officeDocument/2006/relationships/hyperlink" Target="http://victimsofpolice.com/2015/images/Julian-Joseph.jpg" TargetMode="External"/><Relationship Id="rId920" Type="http://schemas.openxmlformats.org/officeDocument/2006/relationships/hyperlink" Target="http://a.abcnews.go.com/images/US/ap_jamar_clark_police_shooting_float_jc_151119_4x3_992.jpg" TargetMode="External"/><Relationship Id="rId921" Type="http://schemas.openxmlformats.org/officeDocument/2006/relationships/hyperlink" Target="http://www.startribune.com/police-officer-shoots-north-minneapolis-assault-suspect-during-physical-struggle/349730171/" TargetMode="External"/><Relationship Id="rId922" Type="http://schemas.openxmlformats.org/officeDocument/2006/relationships/hyperlink" Target="https://www.poncacitynow.com/8/images/media/JerayChatham.png" TargetMode="External"/><Relationship Id="rId923" Type="http://schemas.openxmlformats.org/officeDocument/2006/relationships/hyperlink" Target="http://newsok.com/article/5461273" TargetMode="External"/><Relationship Id="rId924" Type="http://schemas.openxmlformats.org/officeDocument/2006/relationships/hyperlink" Target="http://www.boydmortuary.com/fh_live/14900/14906/images/obituaries/3375053_wlpp.jpg" TargetMode="External"/><Relationship Id="rId925" Type="http://schemas.openxmlformats.org/officeDocument/2006/relationships/hyperlink" Target="http://abc13.com/news/officer-shoots-kills-man-accused-of-pulling-gun-on-police/1067399/" TargetMode="External"/><Relationship Id="rId926" Type="http://schemas.openxmlformats.org/officeDocument/2006/relationships/hyperlink" Target="http://www.homefacts.com/images/offenders/michigan/thumb/2013445.jpg" TargetMode="External"/><Relationship Id="rId927" Type="http://schemas.openxmlformats.org/officeDocument/2006/relationships/hyperlink" Target="http://www.wndu.com/home/headlines/Police-investigating-alleged-kidnapping-at-assisted-living-facililty-351375961.html" TargetMode="External"/><Relationship Id="rId928" Type="http://schemas.openxmlformats.org/officeDocument/2006/relationships/hyperlink" Target="https://blackopswiki.s3.amazonaws.com/uploads/article/avatar/498/large_avatar_ryan_quinn_martin.jpg" TargetMode="External"/><Relationship Id="rId929" Type="http://schemas.openxmlformats.org/officeDocument/2006/relationships/hyperlink" Target="http://www.baltimoresun.com/news/maryland/baltimore-city/bs-md-ci-officer-involved-shoot-1112-20151111-story.html" TargetMode="External"/><Relationship Id="rId600" Type="http://schemas.openxmlformats.org/officeDocument/2006/relationships/hyperlink" Target="http://www.demingheadlight.com/deming-news/ci_26572049/pursuit-through-luna-county-ends-stand-off-las" TargetMode="External"/><Relationship Id="rId601" Type="http://schemas.openxmlformats.org/officeDocument/2006/relationships/hyperlink" Target="http://www.northwestgeorgianews.com/polkfishwrap/news/local/authorities--year-old-levi-weaver-shot-killed-by-polk/article_b26d6dba-408c-11e4-ba96-0017a43b2370.html" TargetMode="External"/><Relationship Id="rId602" Type="http://schemas.openxmlformats.org/officeDocument/2006/relationships/hyperlink" Target="http://www.twincities.com/localnews/ci_26675527/hermantown-man-dies-after-police-use-taser" TargetMode="External"/><Relationship Id="rId603" Type="http://schemas.openxmlformats.org/officeDocument/2006/relationships/hyperlink" Target="http://www.ajc.com/news/news/man-fatally-shot-by-police-on-savannah-street/nhP97/" TargetMode="External"/><Relationship Id="rId604" Type="http://schemas.openxmlformats.org/officeDocument/2006/relationships/hyperlink" Target="http://www.wwltv.com/story/news/local/orleans/2014/09/15/officer-shot-on-duty-in-good-spirits/15700815/" TargetMode="External"/><Relationship Id="rId605" Type="http://schemas.openxmlformats.org/officeDocument/2006/relationships/hyperlink" Target="http://www.copblock.org/wp-content/uploads/2014/09/ricky-deangelo-hinkle-jefferson-county-alabama-copblock.png" TargetMode="External"/><Relationship Id="rId606" Type="http://schemas.openxmlformats.org/officeDocument/2006/relationships/hyperlink" Target="http://www.al.com/news/birmingham/index.ssf/2014/09/jefferson_county_inmate_dies_a.html" TargetMode="External"/><Relationship Id="rId607" Type="http://schemas.openxmlformats.org/officeDocument/2006/relationships/hyperlink" Target="http://www.wkyt.com/home/headlines/Police-dealing-with-developing-situation-in-Madison-County-275029661.html" TargetMode="External"/><Relationship Id="rId608" Type="http://schemas.openxmlformats.org/officeDocument/2006/relationships/hyperlink" Target="http://www.kolotv.com/home/headlines/Officer-Involved-Shooting-Shuts-Down-Sutro-and-So-273796761.html" TargetMode="External"/><Relationship Id="rId609" Type="http://schemas.openxmlformats.org/officeDocument/2006/relationships/hyperlink" Target="http://www.cleveland.com/metro/index.ssf/2014/09/man_shot_killed_by_cleveland_p.html" TargetMode="External"/><Relationship Id="rId480" Type="http://schemas.openxmlformats.org/officeDocument/2006/relationships/hyperlink" Target="http://www.vcstar.com/news/local-news/oxnard/oxnard-woman-killed-by-police-after-domestic-dispute-call_34372240" TargetMode="External"/><Relationship Id="rId481" Type="http://schemas.openxmlformats.org/officeDocument/2006/relationships/hyperlink" Target="http://www.oregonlive.com/clark-county/index.ssf/2015/03/clark_county_jail_inmate_dies_1.html" TargetMode="External"/><Relationship Id="rId482" Type="http://schemas.openxmlformats.org/officeDocument/2006/relationships/hyperlink" Target="http://crimeblog.dallasnews.com/2015/03/man-in-arlington-police-custody-hospitazlied.html/" TargetMode="External"/><Relationship Id="rId483" Type="http://schemas.openxmlformats.org/officeDocument/2006/relationships/hyperlink" Target="http://www.19actionnews.com/story/28380324/one-dead-after-officer-involved-shooting-in-cleveland" TargetMode="External"/><Relationship Id="rId484" Type="http://schemas.openxmlformats.org/officeDocument/2006/relationships/hyperlink" Target="http://www.ksstradio.com/2015/03/09/texas-rangers-investigate-death-of-inmate/" TargetMode="External"/><Relationship Id="rId485" Type="http://schemas.openxmlformats.org/officeDocument/2006/relationships/hyperlink" Target="http://www.tristatehomepage.com/story/d/story/isp-investigating-officer-involved-shooting-in-ter/40703/pV4yrq5qR0S3uTbJYNfJsQ" TargetMode="External"/><Relationship Id="rId486" Type="http://schemas.openxmlformats.org/officeDocument/2006/relationships/hyperlink" Target="http://www.theindychannel.com/news/local-news/suspect-fatally-shot-by-impd-officer-on-east-side" TargetMode="External"/><Relationship Id="rId487" Type="http://schemas.openxmlformats.org/officeDocument/2006/relationships/hyperlink" Target="http://touch.mcall.com/" TargetMode="External"/><Relationship Id="rId488" Type="http://schemas.openxmlformats.org/officeDocument/2006/relationships/hyperlink" Target="http://www.starfl.com/news/local-news/officer-involved-shooting-under-investigation-1.440104" TargetMode="External"/><Relationship Id="rId489" Type="http://schemas.openxmlformats.org/officeDocument/2006/relationships/hyperlink" Target="http://crimeblog.dallasnews.com/2015/02/live-video-dallas-police-on-the-scene-of-officer-involved-shooting-at-bonnie-view-and-i-20.html/" TargetMode="External"/><Relationship Id="rId1160" Type="http://schemas.openxmlformats.org/officeDocument/2006/relationships/hyperlink" Target="http://www.kwtx.com/home/headlines/Shooting-Reported-At-Local-H-E-B-Store-321470271.html" TargetMode="External"/><Relationship Id="rId1161" Type="http://schemas.openxmlformats.org/officeDocument/2006/relationships/hyperlink" Target="http://www.oaoa.com/news/crime_justice/article_0d1cc546-4094-11e5-b2c0-67fa1d7ef932.html" TargetMode="External"/><Relationship Id="rId1162" Type="http://schemas.openxmlformats.org/officeDocument/2006/relationships/hyperlink" Target="http://www.nbcsandiego.com/news/local/Suspect-IDd-in-Fatal-Orange-County-Deputy-Involved-Shooting-on-I-5-Near-Camp-Pendleton-320828071.html" TargetMode="External"/><Relationship Id="rId1163" Type="http://schemas.openxmlformats.org/officeDocument/2006/relationships/hyperlink" Target="http://www.kob.com/article/stories/s3879034.shtml" TargetMode="External"/><Relationship Id="rId1164" Type="http://schemas.openxmlformats.org/officeDocument/2006/relationships/hyperlink" Target="http://www.courant.com/breaking-news/hc-bolton-chase-update-0818-20150817-story.html" TargetMode="External"/><Relationship Id="rId1165" Type="http://schemas.openxmlformats.org/officeDocument/2006/relationships/hyperlink" Target="http://www.silive.com/news/index.ssf/2015/08/im_coming_out_now_mama_suspect.html" TargetMode="External"/><Relationship Id="rId1166" Type="http://schemas.openxmlformats.org/officeDocument/2006/relationships/hyperlink" Target="http://www.mysanantonio.com/news/local/article/Man-brandishes-gun-at-Boerne-police-is-shot-and-6446247.php" TargetMode="External"/><Relationship Id="rId1167" Type="http://schemas.openxmlformats.org/officeDocument/2006/relationships/hyperlink" Target="http://www.sfgate.com/crime/article/Prostitution-call-preceded-fatal-Sunnyvale-police-6448999.php" TargetMode="External"/><Relationship Id="rId1168" Type="http://schemas.openxmlformats.org/officeDocument/2006/relationships/hyperlink" Target="http://www.latimes.com/local/lanow/la-me-ln-kern-county-shooting-20150815-story.html" TargetMode="External"/><Relationship Id="rId1169" Type="http://schemas.openxmlformats.org/officeDocument/2006/relationships/hyperlink" Target="http://www.madisoncourier.com/Content/News/News/Article/Hanover-man-dead-in-officer-involved-shooting/178/961/92193" TargetMode="External"/><Relationship Id="rId160" Type="http://schemas.openxmlformats.org/officeDocument/2006/relationships/hyperlink" Target="http://www.local10.com/news/bank-robber-killed-by-police-had-previous-runins-with-law-enforcement/33983100" TargetMode="External"/><Relationship Id="rId161" Type="http://schemas.openxmlformats.org/officeDocument/2006/relationships/hyperlink" Target="http://www.enterprisenews.com/galleryimage/WL/20150702/PHOTOGALLERY/702009988/PH/0/6/PH-702009988.jpg" TargetMode="External"/><Relationship Id="rId162" Type="http://schemas.openxmlformats.org/officeDocument/2006/relationships/hyperlink" Target="http://images.bimedia.net/images/150701_Kevin_Lamont_Judson_story_insert.jpg" TargetMode="External"/><Relationship Id="rId163" Type="http://schemas.openxmlformats.org/officeDocument/2006/relationships/hyperlink" Target="http://www.katu.com/news/local/DA-clears-deputy-in-deadly-McMinnville-shooting-316055961.html" TargetMode="External"/><Relationship Id="rId164" Type="http://schemas.openxmlformats.org/officeDocument/2006/relationships/hyperlink" Target="http://www.oregonlive.com/pacific-northwest-news/index.ssf/2015/07/oregon_state_police_shoot_and.html" TargetMode="External"/><Relationship Id="rId165" Type="http://schemas.openxmlformats.org/officeDocument/2006/relationships/hyperlink" Target="http://www.killedbypolice.net/victims/150628.jpg" TargetMode="External"/><Relationship Id="rId166" Type="http://schemas.openxmlformats.org/officeDocument/2006/relationships/hyperlink" Target="http://www.wtae.com/news/authorities-open-fire-after-man-shoots-at-them-with-crossbow/33977196" TargetMode="External"/><Relationship Id="rId167" Type="http://schemas.openxmlformats.org/officeDocument/2006/relationships/hyperlink" Target="http://www.wyff4.com/image/view/-/33914720/highRes/1/-/maxh/630/maxw/1200/-/157k9k3/-/Clay-Alan-Lickteig-jpg.jpg" TargetMode="External"/><Relationship Id="rId168" Type="http://schemas.openxmlformats.org/officeDocument/2006/relationships/hyperlink" Target="http://www.wyff4.com/news/police-man-killed-after-shootout-with-officers/33901040" TargetMode="External"/><Relationship Id="rId169" Type="http://schemas.openxmlformats.org/officeDocument/2006/relationships/hyperlink" Target="http://www.timesunion.com/news/article/Sheriff-Edinburgh-resident-dead-in-officer-6357460.php" TargetMode="External"/><Relationship Id="rId930" Type="http://schemas.openxmlformats.org/officeDocument/2006/relationships/hyperlink" Target="http://www.local10.com/image/view/-/36526126/medRes/3/-/maxh/360/maxw/640/-/10fwv3w/-/Yohans-Leon-stock-mug-jpg.jpg" TargetMode="External"/><Relationship Id="rId931" Type="http://schemas.openxmlformats.org/officeDocument/2006/relationships/hyperlink" Target="http://www.miamiherald.com/news/local/community/miami-dade/article45170145.html" TargetMode="External"/><Relationship Id="rId932" Type="http://schemas.openxmlformats.org/officeDocument/2006/relationships/hyperlink" Target="https://www.washingtonpost.com/local/family-asks-for-federal-review-of-sons-death-after-tasering/2015/12/01/0ce7834e-9856-11e5-b499-76cbec161973_story.html" TargetMode="External"/><Relationship Id="rId933" Type="http://schemas.openxmlformats.org/officeDocument/2006/relationships/hyperlink" Target="http://www.killedbypolice.net/victims/151082.jpg" TargetMode="External"/><Relationship Id="rId934" Type="http://schemas.openxmlformats.org/officeDocument/2006/relationships/hyperlink" Target="http://www.killedbypolice.net/victims/151080.jpg" TargetMode="External"/><Relationship Id="rId935" Type="http://schemas.openxmlformats.org/officeDocument/2006/relationships/hyperlink" Target="http://www.killedbypolice.net/victims/151079.jpg" TargetMode="External"/><Relationship Id="rId936" Type="http://schemas.openxmlformats.org/officeDocument/2006/relationships/hyperlink" Target="http://www.killedbypolice.net/victims/151078.jpg" TargetMode="External"/><Relationship Id="rId937" Type="http://schemas.openxmlformats.org/officeDocument/2006/relationships/hyperlink" Target="http://www.killedbypolice.net/victims/151075.jpg" TargetMode="External"/><Relationship Id="rId938" Type="http://schemas.openxmlformats.org/officeDocument/2006/relationships/hyperlink" Target="http://www.killedbypolice.net/victims/151074.jpg" TargetMode="External"/><Relationship Id="rId939" Type="http://schemas.openxmlformats.org/officeDocument/2006/relationships/hyperlink" Target="http://www.killedbypolice.net/victims/151072.jpg" TargetMode="External"/><Relationship Id="rId610" Type="http://schemas.openxmlformats.org/officeDocument/2006/relationships/hyperlink" Target="http://nypost.com/2014/09/06/man-who-shot-nypd-cop-dies-after-surgery/" TargetMode="External"/><Relationship Id="rId611" Type="http://schemas.openxmlformats.org/officeDocument/2006/relationships/hyperlink" Target="http://www.king5.com/story/news/local/seattle/2014/09/01/police-find-gun-arsenal-queen-anne-home-shooting/14946055/" TargetMode="External"/><Relationship Id="rId612" Type="http://schemas.openxmlformats.org/officeDocument/2006/relationships/hyperlink" Target="https://cbsnewyork.files.wordpress.com/2014/08/singelton2.jpg?w=620&amp;h=349&amp;crop=1" TargetMode="External"/><Relationship Id="rId613" Type="http://schemas.openxmlformats.org/officeDocument/2006/relationships/hyperlink" Target="http://www.nydailynews.com/new-york/nyc-crime/death-man-high-pcp-restrained-cops-ruled-homicide-article-1.1922055" TargetMode="External"/><Relationship Id="rId614" Type="http://schemas.openxmlformats.org/officeDocument/2006/relationships/hyperlink" Target="http://www.mprnews.org/story/2014/11/17/police-justified-in-ramsey-shooting" TargetMode="External"/><Relationship Id="rId615" Type="http://schemas.openxmlformats.org/officeDocument/2006/relationships/hyperlink" Target="http://www.redding.com/news/local-news/deputies-person-shot-on-fig-tree-lane" TargetMode="External"/><Relationship Id="rId616" Type="http://schemas.openxmlformats.org/officeDocument/2006/relationships/hyperlink" Target="http://www.baltimoresun.com/news/maryland/baltimore-county/bs-md-co-in-custody-death-20140821-story.html" TargetMode="External"/><Relationship Id="rId617" Type="http://schemas.openxmlformats.org/officeDocument/2006/relationships/hyperlink" Target="http://www.philly.com/philly/news/20140820_Cop_grazed_by_bullet__suspect_killed.html" TargetMode="External"/><Relationship Id="rId618" Type="http://schemas.openxmlformats.org/officeDocument/2006/relationships/hyperlink" Target="http://homicide.latimes.com/post/andre-maurice-jones/" TargetMode="External"/><Relationship Id="rId619" Type="http://schemas.openxmlformats.org/officeDocument/2006/relationships/hyperlink" Target="http://homicides.suntimes.com/victims/wally-flex/" TargetMode="External"/><Relationship Id="rId490" Type="http://schemas.openxmlformats.org/officeDocument/2006/relationships/hyperlink" Target="http://www.cbsnews.com/news/texas-officer-responding-to-home-fatally-shoots-off-duty-deputy/" TargetMode="External"/><Relationship Id="rId491" Type="http://schemas.openxmlformats.org/officeDocument/2006/relationships/hyperlink" Target="http://www.washingtonpost.com/local/crime/woman-dies-after-a-stun-gun-was-used-on-her-in-the-fairfax-county-jail/2015/02/08/14a7f498-4987-4e47-be50-5d31b39825ef_story.html" TargetMode="External"/><Relationship Id="rId492" Type="http://schemas.openxmlformats.org/officeDocument/2006/relationships/hyperlink" Target="http://www.trbimg.com/img-54da5444/turbine/os-joseph-paffen-20150210/243/243x137" TargetMode="External"/><Relationship Id="rId493" Type="http://schemas.openxmlformats.org/officeDocument/2006/relationships/hyperlink" Target="http://www.orlandosentinel.com/news/breaking-news/os-sovereign-citizen-deputy-shooting-20150210-story.html" TargetMode="External"/><Relationship Id="rId494" Type="http://schemas.openxmlformats.org/officeDocument/2006/relationships/hyperlink" Target="http://www.wcnc.com/story/news/crime/2015/02/08/gastoina-police-officer-involved-in-deadly-shooting/23075073/" TargetMode="External"/><Relationship Id="rId495" Type="http://schemas.openxmlformats.org/officeDocument/2006/relationships/hyperlink" Target="http://woodtv.com/2015/02/07/suspect-in-officer-shooting-to-be-taken-off-life-support/" TargetMode="External"/><Relationship Id="rId496" Type="http://schemas.openxmlformats.org/officeDocument/2006/relationships/hyperlink" Target="http://www.wacotrib.com/news/traffic/officers-shoot-kill-suspected-waco-area-robber-after-high-speed/article_0ad98762-1641-5888-80b2-3797f0b5c9f6.html" TargetMode="External"/><Relationship Id="rId497" Type="http://schemas.openxmlformats.org/officeDocument/2006/relationships/hyperlink" Target="http://www.killedbypolice.net/victims/150102.jpg" TargetMode="External"/><Relationship Id="rId498" Type="http://schemas.openxmlformats.org/officeDocument/2006/relationships/hyperlink" Target="http://losangeles.cbslocal.com/2015/02/04/police-fatally-shoot-bank-robbery-suspect-in-chino-following-high-speed-chase/" TargetMode="External"/><Relationship Id="rId499" Type="http://schemas.openxmlformats.org/officeDocument/2006/relationships/hyperlink" Target="http://newsok.com/new-details-released-in-stillwater-homicide-officer-shooting/article/5389230" TargetMode="External"/><Relationship Id="rId1170" Type="http://schemas.openxmlformats.org/officeDocument/2006/relationships/hyperlink" Target="http://www.nevadaappeal.com/news/17729220-113/several-popping-noises-right-consecutive" TargetMode="External"/><Relationship Id="rId1171" Type="http://schemas.openxmlformats.org/officeDocument/2006/relationships/hyperlink" Target="http://www.sgvtribune.com/general-news/20150816/suspect-dies-after-being-shot-with-taser-by-police" TargetMode="External"/><Relationship Id="rId1172" Type="http://schemas.openxmlformats.org/officeDocument/2006/relationships/hyperlink" Target="http://www.nbcbayarea.com/news/local/Officer-Involved-Shooting-in-San-Jose-322019022.html?utm_source=dlvr.it&amp;utm_medium=twitter" TargetMode="External"/><Relationship Id="rId1173" Type="http://schemas.openxmlformats.org/officeDocument/2006/relationships/hyperlink" Target="http://www.mysanantonio.com/news/local/article/Kerrville-police-shoot-kill-man-who-fired-rifle-6448471.php" TargetMode="External"/><Relationship Id="rId1174" Type="http://schemas.openxmlformats.org/officeDocument/2006/relationships/hyperlink" Target="http://www.chron.com/houston/article/Officer-involved-shooting-in-Northeast-Houston-6449062.php" TargetMode="External"/><Relationship Id="rId1175" Type="http://schemas.openxmlformats.org/officeDocument/2006/relationships/hyperlink" Target="https://spokane-news.com/2015/08/26/sirr-team-update-stevens-county-deputys-officer-involved-shooting-in-hunters-wa/" TargetMode="External"/><Relationship Id="rId1176" Type="http://schemas.openxmlformats.org/officeDocument/2006/relationships/hyperlink" Target="http://www.stltoday.com/news/local/crime-and-courts/fires-set-off-police-confront-crowds-hours-after-st-louis/article_9eae9155-9f8e-5296-b836-45326918fda3.html" TargetMode="External"/><Relationship Id="rId1177" Type="http://schemas.openxmlformats.org/officeDocument/2006/relationships/hyperlink" Target="http://www.startribune.com/man-shot-in-gunfire-exchange-with-officers-in-north-carolina/322391871/" TargetMode="External"/><Relationship Id="rId1178" Type="http://schemas.openxmlformats.org/officeDocument/2006/relationships/hyperlink" Target="http://www.fredericksburg.com/news/crime_courts/king-george-sheriff-deputy-gave-man-every-opportunity-to-surrender/article_5b6e9432-4a75-11e5-8dd2-cb62e7e351c0.html" TargetMode="External"/><Relationship Id="rId1179" Type="http://schemas.openxmlformats.org/officeDocument/2006/relationships/hyperlink" Target="http://wivb.com/2015/08/23/troy-officers-hospitalized-after-shootout-gunman-dead/" TargetMode="External"/><Relationship Id="rId170" Type="http://schemas.openxmlformats.org/officeDocument/2006/relationships/hyperlink" Target="http://www.portlandmercury.com/images/blogimages/2015/06/29/1435620050-screen_shot_2015-06-29_at_4.20.07_pm.png" TargetMode="External"/><Relationship Id="rId171" Type="http://schemas.openxmlformats.org/officeDocument/2006/relationships/hyperlink" Target="http://www.kgw.com/story/news/local/2015/06/29/police-shooting-winco-parking-lot-portland/29455487/" TargetMode="External"/><Relationship Id="rId172" Type="http://schemas.openxmlformats.org/officeDocument/2006/relationships/hyperlink" Target="http://wfla.com/2015/07/09/tampa-hit-and-run-investigation-focuses-on-tpd-officer/" TargetMode="External"/><Relationship Id="rId173" Type="http://schemas.openxmlformats.org/officeDocument/2006/relationships/hyperlink" Target="http://www.news9.com/story/29443076/tahlequah-police-release-body-cam-video-in-fatal-officer-involved-shooting" TargetMode="External"/><Relationship Id="rId174" Type="http://schemas.openxmlformats.org/officeDocument/2006/relationships/hyperlink" Target="http://www.mysanantonio.com/news/local/article/Suspect-killed-by-polcie-during-chase-identified-6355557.php" TargetMode="External"/><Relationship Id="rId175" Type="http://schemas.openxmlformats.org/officeDocument/2006/relationships/hyperlink" Target="http://a.abcnews.com/images/US/HT_richard_matt_jt_150606_4x3_992.jpg" TargetMode="External"/><Relationship Id="rId176" Type="http://schemas.openxmlformats.org/officeDocument/2006/relationships/hyperlink" Target="http://www.nbcnews.com/storyline/new-york-prison-escape/autopsy-shows-prison-escapee-richard-matt-was-drunk-when-he-n404676" TargetMode="External"/><Relationship Id="rId177" Type="http://schemas.openxmlformats.org/officeDocument/2006/relationships/hyperlink" Target="http://www.baltimoresun.com/news/maryland/crime/blog/bs-md-baltimore-county-0628-20150627-story.html" TargetMode="External"/><Relationship Id="rId178" Type="http://schemas.openxmlformats.org/officeDocument/2006/relationships/hyperlink" Target="http://abc30.com/news/man-wanted-after-deadly-fresno-county-deputy-involved-shooting-identified/808781/" TargetMode="External"/><Relationship Id="rId179" Type="http://schemas.openxmlformats.org/officeDocument/2006/relationships/hyperlink" Target="http://www.gannett-cdn.com/-mm-/8334042135d7f679c06190b7cdf533ced74a407e/c=15-0-465-600&amp;r=537&amp;c=0-0-534-712/local/-/media/2015/06/24/WVEC/WVEC/635707581920059394-DamienAlexanderHarrell.jpg" TargetMode="External"/><Relationship Id="rId940" Type="http://schemas.openxmlformats.org/officeDocument/2006/relationships/hyperlink" Target="http://www.killedbypolice.net/victims/151070.jpg" TargetMode="External"/><Relationship Id="rId941" Type="http://schemas.openxmlformats.org/officeDocument/2006/relationships/hyperlink" Target="http://www.killedbypolice.net/victims/151069.jpg" TargetMode="External"/><Relationship Id="rId942" Type="http://schemas.openxmlformats.org/officeDocument/2006/relationships/hyperlink" Target="http://www.killedbypolice.net/victims/151067.jpg" TargetMode="External"/><Relationship Id="rId943" Type="http://schemas.openxmlformats.org/officeDocument/2006/relationships/hyperlink" Target="http://www.killedbypolice.net/victims/151066.jpg" TargetMode="External"/><Relationship Id="rId944" Type="http://schemas.openxmlformats.org/officeDocument/2006/relationships/hyperlink" Target="http://www.killedbypolice.net/victims/151064.jpg" TargetMode="External"/><Relationship Id="rId945" Type="http://schemas.openxmlformats.org/officeDocument/2006/relationships/hyperlink" Target="http://www.killedbypolice.net/victims/151063.jpg" TargetMode="External"/><Relationship Id="rId946" Type="http://schemas.openxmlformats.org/officeDocument/2006/relationships/hyperlink" Target="http://www.killedbypolice.net/victims/151062.jpg" TargetMode="External"/><Relationship Id="rId947" Type="http://schemas.openxmlformats.org/officeDocument/2006/relationships/hyperlink" Target="http://www.killedbypolice.net/victims/151061.jpg" TargetMode="External"/><Relationship Id="rId948" Type="http://schemas.openxmlformats.org/officeDocument/2006/relationships/hyperlink" Target="http://www.killedbypolice.net/victims/151058.jpg" TargetMode="External"/><Relationship Id="rId949" Type="http://schemas.openxmlformats.org/officeDocument/2006/relationships/hyperlink" Target="http://www.killedbypolice.net/victims/151049.jpg" TargetMode="External"/><Relationship Id="rId620" Type="http://schemas.openxmlformats.org/officeDocument/2006/relationships/hyperlink" Target="http://homicides.suntimes.com/2014/08/18/gabriel-johnson-charged-with-reckless-homicide-in-crash-that-killed-wally-flex/" TargetMode="External"/><Relationship Id="rId621" Type="http://schemas.openxmlformats.org/officeDocument/2006/relationships/hyperlink" Target="http://www.9news.com/story/news/crime/2014/08/13/greeley-officer-involved-shoot-veteran-shoot-out-call/14006469/" TargetMode="External"/><Relationship Id="rId622" Type="http://schemas.openxmlformats.org/officeDocument/2006/relationships/hyperlink" Target="http://neshobademocrat.com/main.asp?SectionID=2&amp;SubSectionID=297&amp;ArticleID=33427" TargetMode="External"/><Relationship Id="rId623" Type="http://schemas.openxmlformats.org/officeDocument/2006/relationships/hyperlink" Target="http://obits.dignitymemorial.com/dignity-memorial/obituary.aspx?n=James-DeVito&amp;lc=7339&amp;pid=172110208&amp;mid=6085341" TargetMode="External"/><Relationship Id="rId624" Type="http://schemas.openxmlformats.org/officeDocument/2006/relationships/hyperlink" Target="http://kbmt.images.worldnow.com/images/4452029_G.jpg" TargetMode="External"/><Relationship Id="rId625" Type="http://schemas.openxmlformats.org/officeDocument/2006/relationships/hyperlink" Target="http://www.12newsnow.com/story/26251863/family-seeks-answers-after-police-release-unconscious-man-who-died-moments-later" TargetMode="External"/><Relationship Id="rId626"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627" Type="http://schemas.openxmlformats.org/officeDocument/2006/relationships/hyperlink" Target="http://www.arklatexhomepage.com/story/d/story/man-killed-in-overnight-shooting-has-been-identifi/42931/M-T9-BnlDEKC3eIlvgv1Xg" TargetMode="External"/><Relationship Id="rId628" Type="http://schemas.openxmlformats.org/officeDocument/2006/relationships/hyperlink" Target="http://kpel965.com/la-state-police-handling-shooting-involving-crowley-police-officers/" TargetMode="External"/><Relationship Id="rId629" Type="http://schemas.openxmlformats.org/officeDocument/2006/relationships/hyperlink" Target="http://www.local10.com/news/1-killed-in-policeinvolved-shooting-in-miami-springs/26847256" TargetMode="External"/><Relationship Id="rId1300" Type="http://schemas.openxmlformats.org/officeDocument/2006/relationships/hyperlink" Target="http://wsls.com/2015/09/24/grayson-county-deputy-involved-deadly-shooting/" TargetMode="External"/><Relationship Id="rId1301" Type="http://schemas.openxmlformats.org/officeDocument/2006/relationships/hyperlink" Target="http://www.wsbt.com/news/local/police-benton-charter-twp-officer-strikes-kills-pedestrian/35391048" TargetMode="External"/><Relationship Id="rId1302" Type="http://schemas.openxmlformats.org/officeDocument/2006/relationships/hyperlink" Target="http://www.wkyt.com/home/headlines/KSP-investigating-deadly-officer-involved-shooting-in-Rockcastle-County-328144451.html" TargetMode="External"/><Relationship Id="rId1303" Type="http://schemas.openxmlformats.org/officeDocument/2006/relationships/hyperlink" Target="http://www.9and10news.com/story/30057906/gladwin-county-man-dead-after-shooting-at-deputies" TargetMode="External"/><Relationship Id="rId1304" Type="http://schemas.openxmlformats.org/officeDocument/2006/relationships/hyperlink" Target="http://www.dnronline.com/article/hpd_officer_shooting" TargetMode="External"/><Relationship Id="rId1305" Type="http://schemas.openxmlformats.org/officeDocument/2006/relationships/hyperlink" Target="http://www.pe.com/articles/activity-780802-police-freeway.html" TargetMode="External"/><Relationship Id="rId1306" Type="http://schemas.openxmlformats.org/officeDocument/2006/relationships/hyperlink" Target="http://gazette.com/fountain-police-officer-who-fatally-shot-teen-is-identified/article/1560162" TargetMode="External"/><Relationship Id="rId1307" Type="http://schemas.openxmlformats.org/officeDocument/2006/relationships/hyperlink" Target="http://www.startribune.com/st-paul-man-killed-in-officer-involved-shooting-is-identified/329566071/" TargetMode="External"/><Relationship Id="rId1308" Type="http://schemas.openxmlformats.org/officeDocument/2006/relationships/hyperlink" Target="http://fox13now.com/2015/09/23/officer-kills-burglary-suspect-found-stabbing-woman-in-salt-lake-break-in/" TargetMode="External"/><Relationship Id="rId1309" Type="http://schemas.openxmlformats.org/officeDocument/2006/relationships/hyperlink" Target="http://www.ksfy.com/home/headlines/Suspect-shot-during-chase-near-ski-resort-in-Lead-dies-327960971.html" TargetMode="External"/><Relationship Id="rId300" Type="http://schemas.openxmlformats.org/officeDocument/2006/relationships/hyperlink" Target="http://www.thelevisalazer.com/news/local-news/11484-louisa-man-dies-after-being-tasered-by-police-during-arrest.html" TargetMode="External"/><Relationship Id="rId301" Type="http://schemas.openxmlformats.org/officeDocument/2006/relationships/hyperlink" Target="http://www.presstelegram.com/general-news/20150528/man-dies-after-long-beach-officer-involved-shooting" TargetMode="External"/><Relationship Id="rId302" Type="http://schemas.openxmlformats.org/officeDocument/2006/relationships/hyperlink" Target="http://www.11alive.com/story/news/local/carrollton/2015/05/28/carrolton-officer-involved-shooting/28130059/" TargetMode="External"/><Relationship Id="rId303" Type="http://schemas.openxmlformats.org/officeDocument/2006/relationships/hyperlink" Target="http://www.thedenverchannel.com/news/local-news/injured-northglenn-police-officer-taken-to-hospital" TargetMode="External"/><Relationship Id="rId304" Type="http://schemas.openxmlformats.org/officeDocument/2006/relationships/hyperlink" Target="http://www.macon.com/2015/05/28/3768612/putnam-deputy-shoots-and-kills.html" TargetMode="External"/><Relationship Id="rId305" Type="http://schemas.openxmlformats.org/officeDocument/2006/relationships/hyperlink" Target="http://www.clickondetroit.com/news/man-attacks-officer-shot-by-police-trenton/33276844" TargetMode="External"/><Relationship Id="rId306" Type="http://schemas.openxmlformats.org/officeDocument/2006/relationships/hyperlink" Target="http://www.wsoctv.com/news/news/local/sled-responding-possible-officer-involved-shooting/nmQSJ/" TargetMode="External"/><Relationship Id="rId307" Type="http://schemas.openxmlformats.org/officeDocument/2006/relationships/hyperlink" Target="http://www.nbcsandiego.com/news/local/Reported-Shots-Fired-Alpine-305259931.html" TargetMode="External"/><Relationship Id="rId308" Type="http://schemas.openxmlformats.org/officeDocument/2006/relationships/hyperlink" Target="http://www.kmbc.com/news/person-taken-to-hospital-after-kck-officer-uses-force-at-family-dollar/33249942" TargetMode="External"/><Relationship Id="rId309" Type="http://schemas.openxmlformats.org/officeDocument/2006/relationships/hyperlink" Target="http://7online.com/news/man-holding-17-month-old-son-hostage-killed-in-middletown-police-shooting/744277/" TargetMode="External"/><Relationship Id="rId1180" Type="http://schemas.openxmlformats.org/officeDocument/2006/relationships/hyperlink" Target="http://www.wfmynews2.com/story/news/local/2015/08/24/one-dead-archdale-officer-involved-shooting/32252479/" TargetMode="External"/><Relationship Id="rId1181" Type="http://schemas.openxmlformats.org/officeDocument/2006/relationships/hyperlink" Target="http://www.wvtm13.com/news/cullman-county-authorities-identify-man-shot-by-arab-police/34883830" TargetMode="External"/><Relationship Id="rId1182" Type="http://schemas.openxmlformats.org/officeDocument/2006/relationships/hyperlink" Target="http://www.nj.com/ocean/index.ssf/2015/08/family_says_emotional_goodbye_to_brick_man_shot_by.html" TargetMode="External"/><Relationship Id="rId1183" Type="http://schemas.openxmlformats.org/officeDocument/2006/relationships/hyperlink" Target="http://www.firstcoastnews.com/story/news/crime/2015/08/23/jso-officer-involved-incident-reported-west-jacksonville/32231241/" TargetMode="External"/><Relationship Id="rId1184" Type="http://schemas.openxmlformats.org/officeDocument/2006/relationships/hyperlink" Target="http://bigstory.ap.org/article/591758407e704e56a35001a00033f9cd/white-officer-recovering-after-shootout-black-suspect" TargetMode="External"/><Relationship Id="rId1185" Type="http://schemas.openxmlformats.org/officeDocument/2006/relationships/hyperlink" Target="http://mauinow.com/2015/08/10/man-killed-in-keopuolani-shootout-identified/" TargetMode="External"/><Relationship Id="rId1186" Type="http://schemas.openxmlformats.org/officeDocument/2006/relationships/hyperlink" Target="http://www.whas11.com/story/news/crime/2015/08/06/man-fatally-shot-after-attacking-officers--knife/31203233/" TargetMode="External"/><Relationship Id="rId1187" Type="http://schemas.openxmlformats.org/officeDocument/2006/relationships/hyperlink" Target="http://www.tennessean.com/story/news/2015/08/06/police-describe-scene-inside-antioch-theater/31202637/" TargetMode="External"/><Relationship Id="rId1188" Type="http://schemas.openxmlformats.org/officeDocument/2006/relationships/hyperlink" Target="http://www.elpasotimes.com/news/ci_28636541/el-paso-police-id-man-killed-officer-involved" TargetMode="External"/><Relationship Id="rId1189" Type="http://schemas.openxmlformats.org/officeDocument/2006/relationships/hyperlink" Target="http://www.cincinnati.com/story/news/2015/08/07/ksp-investigating-officer-involved-elsmere-shooting/31273817/" TargetMode="External"/><Relationship Id="rId180" Type="http://schemas.openxmlformats.org/officeDocument/2006/relationships/hyperlink" Target="http://www.13newsnow.com/story/news/local/peninsulanow/2015/06/24/incident-closes-part-of-ft-eustis-blvd-in-york-co/29204021/" TargetMode="External"/><Relationship Id="rId181" Type="http://schemas.openxmlformats.org/officeDocument/2006/relationships/hyperlink" Target="http://www.kansas.com/news/local/article25221067.html" TargetMode="External"/><Relationship Id="rId182" Type="http://schemas.openxmlformats.org/officeDocument/2006/relationships/hyperlink" Target="http://www.wthr.com/story/29391400/impd-officer-involved-in-shooting-after-short-pursuit" TargetMode="External"/><Relationship Id="rId183" Type="http://schemas.openxmlformats.org/officeDocument/2006/relationships/hyperlink" Target="http://bloximages.chicago2.vip.townnews.com/weatherforddemocrat.com/content/tncms/assets/v3/editorial/c/9c/c9c251be-1a8f-11e5-9a9f-0358863fe83b/558addd0ba8d6.image.jpg?resize=300%2C300" TargetMode="External"/><Relationship Id="rId184" Type="http://schemas.openxmlformats.org/officeDocument/2006/relationships/hyperlink" Target="http://www.star-telegram.com/news/local/community/fort-worth/article25340344.html" TargetMode="External"/><Relationship Id="rId185" Type="http://schemas.openxmlformats.org/officeDocument/2006/relationships/hyperlink" Target="http://bloximages.newyork1.vip.townnews.com/omaha.com/content/tncms/assets/v3/editorial/d/d0/dd0b9724-19c9-11e5-93b4-936ae8b833ff/558991a743529.image.jpg" TargetMode="External"/><Relationship Id="rId186" Type="http://schemas.openxmlformats.org/officeDocument/2006/relationships/hyperlink" Target="http://journalstar.com/news/local/911/man-shot-by-deputy-has-died-sheriff-s-office-says/article_6edae1e6-0eba-5846-8dc1-79a7a3a032da.html" TargetMode="External"/><Relationship Id="rId187" Type="http://schemas.openxmlformats.org/officeDocument/2006/relationships/hyperlink" Target="http://www.post-gazette.com/image/2015/06/23/420x_q90_cMC_z_ca0,37,614,753/HarrisTyrone.jpg" TargetMode="External"/><Relationship Id="rId188" Type="http://schemas.openxmlformats.org/officeDocument/2006/relationships/hyperlink" Target="http://www.post-gazette.com/local/city/2015/06/22/Shooting-incident-blocks-traffic-on-Route-51-near-Bausman-pittsburgh/stories/201506220143" TargetMode="External"/><Relationship Id="rId189" Type="http://schemas.openxmlformats.org/officeDocument/2006/relationships/hyperlink" Target="http://www.sacbee.com/news/local/crime/article25297567.html" TargetMode="External"/><Relationship Id="rId950" Type="http://schemas.openxmlformats.org/officeDocument/2006/relationships/hyperlink" Target="http://www.killedbypolice.net/victims/151040.jpg" TargetMode="External"/><Relationship Id="rId951" Type="http://schemas.openxmlformats.org/officeDocument/2006/relationships/hyperlink" Target="http://www.killedbypolice.net/victims/151038.jpg" TargetMode="External"/><Relationship Id="rId952" Type="http://schemas.openxmlformats.org/officeDocument/2006/relationships/hyperlink" Target="http://www.killedbypolice.net/victims/151035.jpg" TargetMode="External"/><Relationship Id="rId953" Type="http://schemas.openxmlformats.org/officeDocument/2006/relationships/hyperlink" Target="http://www.killedbypolice.net/victims/151032.jpg" TargetMode="External"/><Relationship Id="rId954" Type="http://schemas.openxmlformats.org/officeDocument/2006/relationships/hyperlink" Target="http://www.killedbypolice.net/victims/151031.jpg" TargetMode="External"/><Relationship Id="rId955" Type="http://schemas.openxmlformats.org/officeDocument/2006/relationships/hyperlink" Target="http://www.killedbypolice.net/victims/151030.jpg" TargetMode="External"/><Relationship Id="rId956" Type="http://schemas.openxmlformats.org/officeDocument/2006/relationships/hyperlink" Target="http://www.killedbypolice.net/victims/151027.jpg" TargetMode="External"/><Relationship Id="rId957" Type="http://schemas.openxmlformats.org/officeDocument/2006/relationships/hyperlink" Target="http://www.killedbypolice.net/victims/151026.jpg" TargetMode="External"/><Relationship Id="rId958" Type="http://schemas.openxmlformats.org/officeDocument/2006/relationships/hyperlink" Target="http://www.killedbypolice.net/victims/151025.jpg" TargetMode="External"/><Relationship Id="rId959" Type="http://schemas.openxmlformats.org/officeDocument/2006/relationships/hyperlink" Target="http://www.killedbypolice.net/victims/151024.jpg" TargetMode="External"/><Relationship Id="rId630" Type="http://schemas.openxmlformats.org/officeDocument/2006/relationships/hyperlink" Target="http://www.cincinnati.com/story/news/2014/08/05/cincinnati-police-officer-shoots-man-killed-traffic-stop/13611479/" TargetMode="External"/><Relationship Id="rId631" Type="http://schemas.openxmlformats.org/officeDocument/2006/relationships/hyperlink" Target="http://www.newsherald.com/news/crime-public-safety/man-shot-during-standoff-dies-1.357594" TargetMode="External"/><Relationship Id="rId632" Type="http://schemas.openxmlformats.org/officeDocument/2006/relationships/hyperlink" Target="http://ak-cache.legacy.net/legacy/Images/Cobrands/DignityMemorial/Photos/0cde69ec-edda-421b-b501-5eebbf9d5797.jpg" TargetMode="External"/><Relationship Id="rId633" Type="http://schemas.openxmlformats.org/officeDocument/2006/relationships/hyperlink" Target="http://bangordailynews.com/2014/08/04/news/penobscot/lagrange-man-49-killed-by-state-trooper-after-3-hour-standoff/" TargetMode="External"/><Relationship Id="rId634" Type="http://schemas.openxmlformats.org/officeDocument/2006/relationships/hyperlink" Target="http://www.ajc.com/news/news/police-investigating-shooting-in-east-point/ngsX4/" TargetMode="External"/><Relationship Id="rId635" Type="http://schemas.openxmlformats.org/officeDocument/2006/relationships/hyperlink" Target="http://www.8newsnow.com/story/26137424/breaking-news-police-investigate-officer-involved-shooting" TargetMode="External"/><Relationship Id="rId636" Type="http://schemas.openxmlformats.org/officeDocument/2006/relationships/hyperlink" Target="http://www.tri-cityherald.com/2014/07/29/3083195_pasco-man-with-knife-killed-by.html?rh=1" TargetMode="External"/><Relationship Id="rId637" Type="http://schemas.openxmlformats.org/officeDocument/2006/relationships/hyperlink" Target="http://www.knoxnews.com/news/local-news/parolee-killed-in-fight-with-officer-had-a-syringe-narcotic-on-him_07147175" TargetMode="External"/><Relationship Id="rId638" Type="http://schemas.openxmlformats.org/officeDocument/2006/relationships/hyperlink" Target="http://www.sltrib.com/news/justice/1618808-155/officers-shot-lister-police-gill-gun" TargetMode="External"/><Relationship Id="rId639" Type="http://schemas.openxmlformats.org/officeDocument/2006/relationships/hyperlink" Target="http://www.northwestgeorgianews.com/rome/adairsville-officer-on-administrative-leave-after-fatal-shooting/article_7082a720-119e-11e4-8eb9-001a4bcf6878.html" TargetMode="External"/><Relationship Id="rId1310" Type="http://schemas.openxmlformats.org/officeDocument/2006/relationships/hyperlink" Target="http://www.kltv.com/story/30089332/identity-of-man-killed-in-altercation-with-dps-trooper-released" TargetMode="External"/><Relationship Id="rId1311" Type="http://schemas.openxmlformats.org/officeDocument/2006/relationships/hyperlink" Target="http://www.clickorlando.com/news/man-killed-pregnant-woman-injured-during-shootout/35407050" TargetMode="External"/><Relationship Id="rId1312" Type="http://schemas.openxmlformats.org/officeDocument/2006/relationships/hyperlink" Target="http://www.montereyherald.com/general-news/20150922/sand-city-shooting-mother-of-dead-suspect-recalls-sons-troubles" TargetMode="External"/><Relationship Id="rId1313" Type="http://schemas.openxmlformats.org/officeDocument/2006/relationships/hyperlink" Target="http://www.nbclosangeles.com/news/local/Ontario-Police-Shooting-324830551.html" TargetMode="External"/><Relationship Id="rId1314" Type="http://schemas.openxmlformats.org/officeDocument/2006/relationships/hyperlink" Target="http://www.montereyherald.com/general-news/20150922/sand-city-shooting-mother-of-dead-suspect-recalls-sons-troubles" TargetMode="External"/><Relationship Id="rId1315" Type="http://schemas.openxmlformats.org/officeDocument/2006/relationships/hyperlink" Target="http://www.al.com/news/index.ssf/2015/10/georgia_state_trooper_fired_fo.html" TargetMode="External"/><Relationship Id="rId1316" Type="http://schemas.openxmlformats.org/officeDocument/2006/relationships/hyperlink" Target="http://www.nbcphiladelphia.com/news/breaking/Chester-Shooting-Hayes-6th-326599641.html" TargetMode="External"/><Relationship Id="rId1317" Type="http://schemas.openxmlformats.org/officeDocument/2006/relationships/hyperlink" Target="http://www.sbsun.com/general-news/20150910/man-shot-killed-by-fontana-police-officer" TargetMode="External"/><Relationship Id="rId1318" Type="http://schemas.openxmlformats.org/officeDocument/2006/relationships/hyperlink" Target="http://www.kionrightnow.com/news/local-news/update-moco-da-identifies-man-killed-during-officer-involved-shooting/35690628" TargetMode="External"/><Relationship Id="rId1319" Type="http://schemas.openxmlformats.org/officeDocument/2006/relationships/hyperlink" Target="http://www.kgw.com/story/news/local/washington-county/2015/10/02/officer-shoots-woman-aloha/73258098/" TargetMode="External"/><Relationship Id="rId310" Type="http://schemas.openxmlformats.org/officeDocument/2006/relationships/hyperlink" Target="http://kfor.com/2015/05/27/breaking-news-officer-involved-shooting-in-edmond/" TargetMode="External"/><Relationship Id="rId311" Type="http://schemas.openxmlformats.org/officeDocument/2006/relationships/hyperlink" Target="http://pix11.com/2015/05/26/police-shoot-man-in-brooklyn-school-parking-lot/" TargetMode="External"/><Relationship Id="rId312" Type="http://schemas.openxmlformats.org/officeDocument/2006/relationships/hyperlink" Target="http://www.nbcdfw.com/news/local/9-Year-Old-Child-Reported-Missing-in-Benbrook-304947651.html" TargetMode="External"/><Relationship Id="rId313" Type="http://schemas.openxmlformats.org/officeDocument/2006/relationships/hyperlink" Target="http://www.kirotv.com/news/news/breaking-news-deputy-shoots-kills-man-near-monroe/nmNnq/" TargetMode="External"/><Relationship Id="rId314" Type="http://schemas.openxmlformats.org/officeDocument/2006/relationships/hyperlink" Target="http://www.waaytv.com/appnews/huntsville-police-investigate-fatal-officer-involved-shooting/article_ed55e3aa-035d-11e5-86b1-a7abaa619c23.html" TargetMode="External"/><Relationship Id="rId315" Type="http://schemas.openxmlformats.org/officeDocument/2006/relationships/hyperlink" Target="http://kxan.com/2015/05/25/woman-shot-dead-after-five-hour-standoff-with-apd-swat-officers/" TargetMode="External"/><Relationship Id="rId316" Type="http://schemas.openxmlformats.org/officeDocument/2006/relationships/hyperlink" Target="http://www.kpho.com/story/29143797/suspect-dead-following-police-shooting-in-eagar-ariz" TargetMode="External"/><Relationship Id="rId317" Type="http://schemas.openxmlformats.org/officeDocument/2006/relationships/hyperlink" Target="http://www.freep.com/story/news/local/michigan/detroit/2015/05/23/barricaded-standoff-detroit/27839681/" TargetMode="External"/><Relationship Id="rId318" Type="http://schemas.openxmlformats.org/officeDocument/2006/relationships/hyperlink" Target="http://www.kshb.com/news/crime/james-horn-man-who-locked-woman-in-box-wanted-in-connection-to-double-murder" TargetMode="External"/><Relationship Id="rId319" Type="http://schemas.openxmlformats.org/officeDocument/2006/relationships/hyperlink" Target="http://www.wpxi.com/news/news/local/troopers-shoot-person-inside-grocery-store/nmMF2/" TargetMode="External"/><Relationship Id="rId1190" Type="http://schemas.openxmlformats.org/officeDocument/2006/relationships/hyperlink" Target="http://atlantadailyworld.com/2015/08/21/rally-to-protest-taser-death-of-troy-robinson-by-police-at-dekalb-courthouse/" TargetMode="External"/><Relationship Id="rId1191" Type="http://schemas.openxmlformats.org/officeDocument/2006/relationships/hyperlink" Target="http://abc30.com/news/fresno-county-officer-involved-shooting-leaves-suspect-dead/910392/" TargetMode="External"/><Relationship Id="rId1192" Type="http://schemas.openxmlformats.org/officeDocument/2006/relationships/hyperlink" Target="http://www.reviewjournal.com/news/las-vegas/police-shoot-kill-man-holding-sharp-object" TargetMode="External"/><Relationship Id="rId1193" Type="http://schemas.openxmlformats.org/officeDocument/2006/relationships/hyperlink" Target="http://www.wlwt.com/news/police-id-robbery-suspect-who-died-after-taser-shock/35034920" TargetMode="External"/><Relationship Id="rId1194" Type="http://schemas.openxmlformats.org/officeDocument/2006/relationships/hyperlink" Target="http://www.wtvm.com/story/29926838/teen-dies-after-police-tasing-incident" TargetMode="External"/><Relationship Id="rId1195" Type="http://schemas.openxmlformats.org/officeDocument/2006/relationships/hyperlink" Target="http://www.westword.com/news/william-rippley-before-cop-killed-him-theres-going-to-be-a-human-sacrifice-7091421" TargetMode="External"/><Relationship Id="rId1196" Type="http://schemas.openxmlformats.org/officeDocument/2006/relationships/hyperlink" Target="http://www.kvoa.com/story/29916976/officer-involved-shooting-near-park-and-drexel" TargetMode="External"/><Relationship Id="rId1197" Type="http://schemas.openxmlformats.org/officeDocument/2006/relationships/hyperlink" Target="http://www.tulsaworld.com/homepagelatest/cushing-police-officer-cleared-in-fatal-shooting/article_1bc89125-2051-5cb1-9dde-62c9791231cd.html" TargetMode="External"/><Relationship Id="rId1198" Type="http://schemas.openxmlformats.org/officeDocument/2006/relationships/hyperlink" Target="http://www.reviewjournal.com/news/las-vegas/man-dies-after-metro-involved-shooting-north-las-vegas" TargetMode="External"/><Relationship Id="rId1199" Type="http://schemas.openxmlformats.org/officeDocument/2006/relationships/hyperlink" Target="http://www.kltv.com/story/29931923/man-shot-by-longview-officer-dies" TargetMode="External"/><Relationship Id="rId190" Type="http://schemas.openxmlformats.org/officeDocument/2006/relationships/hyperlink" Target="http://chronicle.augusta.com/sites/default/files/imagecache/superphoto/14501857.jpg" TargetMode="External"/><Relationship Id="rId191" Type="http://schemas.openxmlformats.org/officeDocument/2006/relationships/hyperlink" Target="http://chronicle.augusta.com/news/crime-courts/2015-06-23/deputy-shoots-man-who-had-rifle-standoff-victim-died-monday-georgia" TargetMode="External"/><Relationship Id="rId192" Type="http://schemas.openxmlformats.org/officeDocument/2006/relationships/hyperlink" Target="http://bloximages.newyork1.vip.townnews.com/journalnow.com/content/tncms/assets/v3/editorial/4/1f/41fb4001-cb7b-5850-8587-b8e9677b73a9/558828f92bfd8.image.jpg" TargetMode="External"/><Relationship Id="rId193" Type="http://schemas.openxmlformats.org/officeDocument/2006/relationships/hyperlink" Target="http://www.wxii12.com/news/sheriffs-deputy-shot-in-wilkes-county/33705684" TargetMode="External"/><Relationship Id="rId194" Type="http://schemas.openxmlformats.org/officeDocument/2006/relationships/hyperlink" Target="http://www.gannett-cdn.com/-mm-/9084052019203598504c1c2c8d284ed18b0eeeb0/c=95-0-659-424&amp;r=x404&amp;c=534x401/local/-/media/2015/06/25/KTVB/KTVB/635708443303175916-Allen-Hernandez.jpg" TargetMode="External"/><Relationship Id="rId195" Type="http://schemas.openxmlformats.org/officeDocument/2006/relationships/hyperlink" Target="http://www.ktvb.com/story/news/crime/2015/06/25/allen--hernandez-owyhee-sheriff/29283099/" TargetMode="External"/><Relationship Id="rId196" Type="http://schemas.openxmlformats.org/officeDocument/2006/relationships/hyperlink" Target="http://homicide.latimes.com.s3.amazonaws.com/media/homicide/72c81404-df51-4024-b054-47809e5bc39a.jpeg" TargetMode="External"/><Relationship Id="rId197" Type="http://schemas.openxmlformats.org/officeDocument/2006/relationships/hyperlink" Target="http://homicide.latimes.com/post/adrian-simental/" TargetMode="External"/><Relationship Id="rId198" Type="http://schemas.openxmlformats.org/officeDocument/2006/relationships/hyperlink" Target="http://d3trabu2dfbdfb.cloudfront.net/4/6/4658528_300x300.jpeg" TargetMode="External"/><Relationship Id="rId199" Type="http://schemas.openxmlformats.org/officeDocument/2006/relationships/hyperlink" Target="http://www.chron.com/news/houston-texas/article/Deputy-fatally-shoots-man-after-he-charges-6340675.php" TargetMode="External"/><Relationship Id="rId960" Type="http://schemas.openxmlformats.org/officeDocument/2006/relationships/hyperlink" Target="http://www.killedbypolice.net/victims/151023.jpg" TargetMode="External"/><Relationship Id="rId961" Type="http://schemas.openxmlformats.org/officeDocument/2006/relationships/hyperlink" Target="http://www.killedbypolice.net/victims/151020.jpg" TargetMode="External"/><Relationship Id="rId962" Type="http://schemas.openxmlformats.org/officeDocument/2006/relationships/hyperlink" Target="http://www.killedbypolice.net/victims/151019.jpg" TargetMode="External"/><Relationship Id="rId963" Type="http://schemas.openxmlformats.org/officeDocument/2006/relationships/hyperlink" Target="http://www.killedbypolice.net/victims/151018.jpg" TargetMode="External"/><Relationship Id="rId964" Type="http://schemas.openxmlformats.org/officeDocument/2006/relationships/hyperlink" Target="http://www.killedbypolice.net/victims/151016.jpg" TargetMode="External"/><Relationship Id="rId965" Type="http://schemas.openxmlformats.org/officeDocument/2006/relationships/hyperlink" Target="http://www.killedbypolice.net/victims/151015.jpg" TargetMode="External"/><Relationship Id="rId966" Type="http://schemas.openxmlformats.org/officeDocument/2006/relationships/hyperlink" Target="http://www.killedbypolice.net/victims/151012.jpg" TargetMode="External"/><Relationship Id="rId967" Type="http://schemas.openxmlformats.org/officeDocument/2006/relationships/hyperlink" Target="http://www.killedbypolice.net/victims/151011.jpg" TargetMode="External"/><Relationship Id="rId968" Type="http://schemas.openxmlformats.org/officeDocument/2006/relationships/hyperlink" Target="http://www.killedbypolice.net/victims/151008.jpg" TargetMode="External"/><Relationship Id="rId969" Type="http://schemas.openxmlformats.org/officeDocument/2006/relationships/hyperlink" Target="http://www.killedbypolice.net/victims/151007.jpg" TargetMode="External"/><Relationship Id="rId640" Type="http://schemas.openxmlformats.org/officeDocument/2006/relationships/hyperlink" Target="http://www.koat.com/news/apd-involved-in-shooting-near-eubank-central/27095580" TargetMode="External"/><Relationship Id="rId641" Type="http://schemas.openxmlformats.org/officeDocument/2006/relationships/hyperlink" Target="http://www.kentreporter.com/news/272307371.html" TargetMode="External"/><Relationship Id="rId642" Type="http://schemas.openxmlformats.org/officeDocument/2006/relationships/hyperlink" Target="http://www.azcentral.com/story/news/local/tempe/2014/07/20/tempe-officer-involved-shooting-jonathan-williams-dead/12922577/" TargetMode="External"/><Relationship Id="rId643" Type="http://schemas.openxmlformats.org/officeDocument/2006/relationships/hyperlink" Target="http://www.fox5vegas.com/story/26071249/coroner-identifies-man-shot-by-nlv-police" TargetMode="External"/><Relationship Id="rId644" Type="http://schemas.openxmlformats.org/officeDocument/2006/relationships/hyperlink" Target="http://www.citizen-times.com/story/news/crime/2014/07/14/hendersonville-police-shoot-kill-suspect/12640863/" TargetMode="External"/><Relationship Id="rId645" Type="http://schemas.openxmlformats.org/officeDocument/2006/relationships/hyperlink" Target="http://www.12newsnow.com/story/26796642/vidor-officers-cleared-by-grand-jury-will-return-to-work-friday" TargetMode="External"/><Relationship Id="rId646" Type="http://schemas.openxmlformats.org/officeDocument/2006/relationships/hyperlink" Target="http://www.10tv.com/content/stories/2014/07/10/columbus-ohio-probation-officer-among-2-people-shot-in-southeast-columbus.html" TargetMode="External"/><Relationship Id="rId647" Type="http://schemas.openxmlformats.org/officeDocument/2006/relationships/hyperlink" Target="http://journaltimes.com/news/local/crime-and-courts/man-fatally-shot-by-police-identified/article_9983c98a-0620-11e4-8f7e-0019bb2963f4.html" TargetMode="External"/><Relationship Id="rId648" Type="http://schemas.openxmlformats.org/officeDocument/2006/relationships/hyperlink" Target="http://fox2now.com/2014/07/05/suspect-shot-killed-by-police-following-pursuit/" TargetMode="External"/><Relationship Id="rId649" Type="http://schemas.openxmlformats.org/officeDocument/2006/relationships/hyperlink" Target="http://www.wcyb.com/news/tbi-investigating-death-of-man-in-custody/26809334" TargetMode="External"/><Relationship Id="rId1320" Type="http://schemas.openxmlformats.org/officeDocument/2006/relationships/hyperlink" Target="http://chicago.suntimes.com/crime/7/71/1011093/fire-official-1-dead-1-hurt-north-lawndale-shooting" TargetMode="External"/><Relationship Id="rId1321" Type="http://schemas.openxmlformats.org/officeDocument/2006/relationships/hyperlink" Target="http://www.kvoa.com/story/30178157/shootout-behind-a-sierra-vista-church-leaves-one-man-dead" TargetMode="External"/><Relationship Id="rId1322" Type="http://schemas.openxmlformats.org/officeDocument/2006/relationships/hyperlink" Target="http://www.waff.com/story/30190373/raw-emotion-following-mans-shooting-say-muscle-shoals-police" TargetMode="External"/><Relationship Id="rId1323" Type="http://schemas.openxmlformats.org/officeDocument/2006/relationships/hyperlink" Target="http://amarillo.com/news/latest-news/2015-10-03/randall-county-sheriffs-office-ids-man-killed-officer-involved-shooting" TargetMode="External"/><Relationship Id="rId1324" Type="http://schemas.openxmlformats.org/officeDocument/2006/relationships/hyperlink" Target="http://www.mycentraljersey.com/story/news/local/middlesex-county/2015/10/06/man-shot-dead-police-woodbridge-standoff/73442052/" TargetMode="External"/><Relationship Id="rId1325" Type="http://schemas.openxmlformats.org/officeDocument/2006/relationships/hyperlink" Target="http://www.wptv.com/news/region-c-palm-beach-county/west-palm-beach/palm-beach-county-sheriffs-office-investigating-officer-involved-shooting" TargetMode="External"/><Relationship Id="rId1326" Type="http://schemas.openxmlformats.org/officeDocument/2006/relationships/hyperlink" Target="http://www.baltimoresun.com/news/maryland/howard/columbia/bs-md-ho-police-shooting-20151009-story.html" TargetMode="External"/><Relationship Id="rId1327" Type="http://schemas.openxmlformats.org/officeDocument/2006/relationships/hyperlink" Target="http://www.nhregister.com/general-news/20151011/police-identify-groton-man-31-as-suspect-killed-at-motel-in-old-saybrook" TargetMode="External"/><Relationship Id="rId1328" Type="http://schemas.openxmlformats.org/officeDocument/2006/relationships/hyperlink" Target="http://www.mlive.com/news/grand-rapids/index.ssf/2015/10/deputy_shot_with_cross-bow_as.html" TargetMode="External"/><Relationship Id="rId1329" Type="http://schemas.openxmlformats.org/officeDocument/2006/relationships/hyperlink" Target="http://www.fox8live.com/story/30234295/one-dead-following-officer-involved-shooting-at-a-lake-charles-home" TargetMode="External"/><Relationship Id="rId320" Type="http://schemas.openxmlformats.org/officeDocument/2006/relationships/hyperlink" Target="http://www.local10.com/news/markus-clark-dies-at-florida-medical-center-after-arrest/33152392" TargetMode="External"/><Relationship Id="rId321" Type="http://schemas.openxmlformats.org/officeDocument/2006/relationships/hyperlink" Target="http://www.wsvn.com/story/29128211/man-dead-after-barricading-himself-inside-fort-lauderdale-home" TargetMode="External"/><Relationship Id="rId322" Type="http://schemas.openxmlformats.org/officeDocument/2006/relationships/hyperlink" Target="http://www.wave3.com/story/29120867/shooting-investigation-in-owensboro" TargetMode="External"/><Relationship Id="rId323" Type="http://schemas.openxmlformats.org/officeDocument/2006/relationships/hyperlink" Target="http://www.abcnews4.com/story/29122044/police-close-off-downtown-charleston-streets-believe-lt-rogers-shooting-suspect-inside" TargetMode="External"/><Relationship Id="rId324" Type="http://schemas.openxmlformats.org/officeDocument/2006/relationships/hyperlink" Target="http://www.nj.com/bergen/index.ssf/2015/05/police-involved_shooting_under_investigation_in_ha.html" TargetMode="External"/><Relationship Id="rId325" Type="http://schemas.openxmlformats.org/officeDocument/2006/relationships/hyperlink" Target="http://www.elpasotimes.com/latestnews/ci_28159979/officer-involved-shooting-northeast-el-paso" TargetMode="External"/><Relationship Id="rId1000" Type="http://schemas.openxmlformats.org/officeDocument/2006/relationships/hyperlink" Target="http://ktla.com/2015/11/20/fontana-officer-fatally-shoots-allegedly-armed-man/" TargetMode="External"/><Relationship Id="rId1001" Type="http://schemas.openxmlformats.org/officeDocument/2006/relationships/hyperlink" Target="http://www.wsbtv.com/news/news/local/gbi-investigates-deadly-officer-involved-shooting-/npR4n/" TargetMode="External"/><Relationship Id="rId1002" Type="http://schemas.openxmlformats.org/officeDocument/2006/relationships/hyperlink" Target="http://www.pressofatlanticcity.com/news/police-shoot-kill-man-in-little-egg-harbor-township/article_a155067e-8d51-11e5-820c-8f51f462e0d1.html" TargetMode="External"/><Relationship Id="rId1003" Type="http://schemas.openxmlformats.org/officeDocument/2006/relationships/hyperlink" Target="http://www.walb.com/story/30540752/gbi-one-dead-in-officer-involved-shooting" TargetMode="External"/><Relationship Id="rId1004" Type="http://schemas.openxmlformats.org/officeDocument/2006/relationships/hyperlink" Target="http://www.wfaa.com/story/news/crime/2015/11/17/weatherford-officer-fatally-shoots-man-in-patrol-vehicle/75931948/" TargetMode="External"/><Relationship Id="rId1005" Type="http://schemas.openxmlformats.org/officeDocument/2006/relationships/hyperlink" Target="http://www.nbcmontana.com/news/beaverhead-co-sheriffs-office-says-dillon-man-dies-after-officerinvolved-shooting/36485584" TargetMode="External"/><Relationship Id="rId1006" Type="http://schemas.openxmlformats.org/officeDocument/2006/relationships/hyperlink" Target="http://www.wdef.com/news/story/Whitfield-Deputy-Fatally-Shoots-Suspect-After-Car/2cVdW_rl30uLVjQAHyWeKw.cspx" TargetMode="External"/><Relationship Id="rId1007" Type="http://schemas.openxmlformats.org/officeDocument/2006/relationships/hyperlink" Target="http://6abc.com/news/police-off-duty-pha-officer-shot-killed-robbery-suspect-/1085987/" TargetMode="External"/><Relationship Id="rId1008" Type="http://schemas.openxmlformats.org/officeDocument/2006/relationships/hyperlink" Target="http://www.wral.com/one-dead-in-officer-involved-shooting-in-harnett-county/15110806/" TargetMode="External"/><Relationship Id="rId1009" Type="http://schemas.openxmlformats.org/officeDocument/2006/relationships/hyperlink" Target="http://www.pe.com/articles/riverside-786361-area-deputies.html" TargetMode="External"/><Relationship Id="rId326" Type="http://schemas.openxmlformats.org/officeDocument/2006/relationships/hyperlink" Target="http://jacksonville.com/news/crime/2015-05-21/story/suspect-shot-deputies-st-augustine-beach-has-died" TargetMode="External"/><Relationship Id="rId327" Type="http://schemas.openxmlformats.org/officeDocument/2006/relationships/hyperlink" Target="http://www.postandcourier.com/article/20150521/PC16/150529889/man-shot-last-night-after-cutting-deputy-dies" TargetMode="External"/><Relationship Id="rId328" Type="http://schemas.openxmlformats.org/officeDocument/2006/relationships/hyperlink" Target="http://www.gillettenewsrecord.com/news/local/article_8ce9749e-ffea-11e4-b7e5-5f207815da4f.html" TargetMode="External"/><Relationship Id="rId329" Type="http://schemas.openxmlformats.org/officeDocument/2006/relationships/hyperlink" Target="http://www.wowt.com/home/headlines/Police-Officer-Shot-304450711.html?ref=711" TargetMode="External"/><Relationship Id="rId970" Type="http://schemas.openxmlformats.org/officeDocument/2006/relationships/hyperlink" Target="http://www.killedbypolice.net/victims/151006.jpg" TargetMode="External"/><Relationship Id="rId971" Type="http://schemas.openxmlformats.org/officeDocument/2006/relationships/hyperlink" Target="http://www.killedbypolice.net/victims/151005.jpg" TargetMode="External"/><Relationship Id="rId972" Type="http://schemas.openxmlformats.org/officeDocument/2006/relationships/hyperlink" Target="http://www.killedbypolice.net/victims/151003.jpg" TargetMode="External"/><Relationship Id="rId973" Type="http://schemas.openxmlformats.org/officeDocument/2006/relationships/hyperlink" Target="http://www.killedbypolice.net/victims/151002.jpg" TargetMode="External"/><Relationship Id="rId974" Type="http://schemas.openxmlformats.org/officeDocument/2006/relationships/hyperlink" Target="http://www.killedbypolice.net/victims/151000.jpg" TargetMode="External"/><Relationship Id="rId975" Type="http://schemas.openxmlformats.org/officeDocument/2006/relationships/hyperlink" Target="http://www.killedbypolice.net/victims/150998.jpg" TargetMode="External"/><Relationship Id="rId976" Type="http://schemas.openxmlformats.org/officeDocument/2006/relationships/hyperlink" Target="http://www.killedbypolice.net/victims/150997.jpg" TargetMode="External"/><Relationship Id="rId977" Type="http://schemas.openxmlformats.org/officeDocument/2006/relationships/hyperlink" Target="http://www.killedbypolice.net/victims/150996.jpg" TargetMode="External"/><Relationship Id="rId978" Type="http://schemas.openxmlformats.org/officeDocument/2006/relationships/hyperlink" Target="http://www.ajc.com/news/news/crime-law/officer-involved-shooting-reported-near-downtown-a/npY4J/" TargetMode="External"/><Relationship Id="rId979" Type="http://schemas.openxmlformats.org/officeDocument/2006/relationships/hyperlink" Target="http://www.denverpost.com/news/ci_29182697/aurora-accident-triggers-officer-involved-shooting-closes-roads" TargetMode="External"/><Relationship Id="rId650" Type="http://schemas.openxmlformats.org/officeDocument/2006/relationships/hyperlink" Target="http://www.ajc.com/news/news/officer-involved-shooting-in-se-atlanta/ngYcr/" TargetMode="External"/><Relationship Id="rId651" Type="http://schemas.openxmlformats.org/officeDocument/2006/relationships/hyperlink" Target="http://www.nbcnewyork.com/news/local/Long-Island-Suffolk-County-Bay-Shore-Police-Involved-Shooting-Fatal-264868841.html" TargetMode="External"/><Relationship Id="rId652" Type="http://schemas.openxmlformats.org/officeDocument/2006/relationships/hyperlink" Target="http://www.wcyb.com/news/shooting-investigated-in-damascus/26694690" TargetMode="External"/><Relationship Id="rId653" Type="http://schemas.openxmlformats.org/officeDocument/2006/relationships/hyperlink" Target="http://www.nj.com/hudson/index.ssf/2014/06/authorities_release_identity_of_20-year-old_man_shot_by_police.html" TargetMode="External"/><Relationship Id="rId654" Type="http://schemas.openxmlformats.org/officeDocument/2006/relationships/hyperlink" Target="http://www.wusa9.com/story/news/local/upper-marlboro/2014/06/23/man-dies-in-prince-georges-county-jail/11267077/" TargetMode="External"/><Relationship Id="rId655" Type="http://schemas.openxmlformats.org/officeDocument/2006/relationships/hyperlink" Target="http://www.myfoxdfw.com/story/25833600/suspect-killed-in-garland-officer-involved-shooting" TargetMode="External"/><Relationship Id="rId656" Type="http://schemas.openxmlformats.org/officeDocument/2006/relationships/hyperlink" Target="http://blogs.seattletimes.com/today/2014/06/man-killed-by-port-orchard-police-identified/" TargetMode="External"/><Relationship Id="rId657" Type="http://schemas.openxmlformats.org/officeDocument/2006/relationships/hyperlink" Target="http://www.wsp.wa.gov/information/releases/2014_archive/mr061714.htm" TargetMode="External"/><Relationship Id="rId658" Type="http://schemas.openxmlformats.org/officeDocument/2006/relationships/hyperlink" Target="http://www.ky3.com/news/local/deadly-offiverinvolved-shooting-kills-cassville-man-officer-injured/21048998_26424836" TargetMode="External"/><Relationship Id="rId659" Type="http://schemas.openxmlformats.org/officeDocument/2006/relationships/hyperlink" Target="http://www.nbcnews.com/storyline/vegas-cop-killers/police-fatally-shot-las-vegas-gunman-jerad-miller-during-gunfight-n128546" TargetMode="External"/><Relationship Id="rId1330" Type="http://schemas.openxmlformats.org/officeDocument/2006/relationships/hyperlink" Target="http://www.greenvilleonline.com/story/news/2015/10/11/one-dead-taylors-police-shooting/73772180/" TargetMode="External"/><Relationship Id="rId1331" Type="http://schemas.openxmlformats.org/officeDocument/2006/relationships/hyperlink" Target="http://homicide.latimes.com/post/james-joseph-byrd/" TargetMode="External"/><Relationship Id="rId1332" Type="http://schemas.openxmlformats.org/officeDocument/2006/relationships/hyperlink" Target="http://www.kirklandreporter.com/news/337724201.html" TargetMode="External"/><Relationship Id="rId1333" Type="http://schemas.openxmlformats.org/officeDocument/2006/relationships/hyperlink" Target="http://homicide.latimes.com/post/dion-lamont-ramirez/" TargetMode="External"/><Relationship Id="rId1334" Type="http://schemas.openxmlformats.org/officeDocument/2006/relationships/hyperlink" Target="http://www.wfaa.com/story/news/local/tarrant-county/2015/10/05/suspect-killed-in-hurst-officer-involved-shooting/73425460/" TargetMode="External"/><Relationship Id="rId1335" Type="http://schemas.openxmlformats.org/officeDocument/2006/relationships/hyperlink" Target="http://www.salemnews.com/news/local_news/hamilton-man-killed-after-police-involved-shooting-in-beverly/article_ec3bb5b9-6453-5915-8189-4894e3d43a40.html" TargetMode="External"/><Relationship Id="rId1336" Type="http://schemas.openxmlformats.org/officeDocument/2006/relationships/hyperlink" Target="http://www.sbsun.com/general-news/20151011/san-bernardino-police-officer-fatally-shoots-suspect" TargetMode="External"/><Relationship Id="rId1337" Type="http://schemas.openxmlformats.org/officeDocument/2006/relationships/hyperlink" Target="http://www.chicagotribune.com/news/local/breaking/ct-lisle-fatal-police-shooting-20151010-story.html" TargetMode="External"/><Relationship Id="rId1338" Type="http://schemas.openxmlformats.org/officeDocument/2006/relationships/hyperlink" Target="http://www.sbsun.com/general-news/20151011/deputies-shoot-kill-man-in-pinon-hills" TargetMode="External"/><Relationship Id="rId1339" Type="http://schemas.openxmlformats.org/officeDocument/2006/relationships/hyperlink" Target="http://www.oaoa.com/news/article_56304b5e-70eb-11e5-b3b8-73e54f868fb5.html" TargetMode="External"/><Relationship Id="rId330" Type="http://schemas.openxmlformats.org/officeDocument/2006/relationships/hyperlink" Target="http://www.thv11.com/story/news/crime/2015/05/19/police-respond-to-cabot-shooting/27627629/" TargetMode="External"/><Relationship Id="rId331" Type="http://schemas.openxmlformats.org/officeDocument/2006/relationships/hyperlink" Target="http://www.newsnet5.com/news/local-news/oh-summit/summit-county-sheriffs-deputy-fatally-shoots-man-with-knife-in-green" TargetMode="External"/><Relationship Id="rId332" Type="http://schemas.openxmlformats.org/officeDocument/2006/relationships/hyperlink" Target="http://www.wgal.com/news/breaking-news-officer-shot-in-lancaster/33104470" TargetMode="External"/><Relationship Id="rId333" Type="http://schemas.openxmlformats.org/officeDocument/2006/relationships/hyperlink" Target="http://www.arlnow.com/2015/05/19/breaking-officer-involved-shooting-in-buckingham/" TargetMode="External"/><Relationship Id="rId334" Type="http://schemas.openxmlformats.org/officeDocument/2006/relationships/hyperlink" Target="http://www.kjct8.com/news/headlines/Officer-involved-shooting-near-downtown-Grand-Junction-304404101.html" TargetMode="External"/><Relationship Id="rId335" Type="http://schemas.openxmlformats.org/officeDocument/2006/relationships/hyperlink" Target="http://k2radio.com/inmate-fought-deputies-before-dying-affidavit-details-bin-williams-last-days/" TargetMode="External"/><Relationship Id="rId1010" Type="http://schemas.openxmlformats.org/officeDocument/2006/relationships/hyperlink" Target="http://www.jacksonsun.com/story/news/crime/2015/11/14/tbi-investigating-officer-involved-shooting-trenton/75775108/" TargetMode="External"/><Relationship Id="rId1011" Type="http://schemas.openxmlformats.org/officeDocument/2006/relationships/hyperlink" Target="http://www.pe.com/articles/responding-786289-involved-sheriff.html" TargetMode="External"/><Relationship Id="rId1012" Type="http://schemas.openxmlformats.org/officeDocument/2006/relationships/hyperlink" Target="http://www.wjcl.com/news/local-news/effingham-co-sheriff-deputy-shot-suspect-killed-after-deputy-involved-shooting/94554359/story" TargetMode="External"/><Relationship Id="rId1013" Type="http://schemas.openxmlformats.org/officeDocument/2006/relationships/hyperlink" Target="http://www.mercurynews.com/bay-area-news/ci_29109035/sunnyvale-police-shoot-armed-male-at-apartment-complex" TargetMode="External"/><Relationship Id="rId1014" Type="http://schemas.openxmlformats.org/officeDocument/2006/relationships/hyperlink" Target="http://www.live5news.com/story/30496764/sled-investigating-deputy-involved-shooting-in-aiken" TargetMode="External"/><Relationship Id="rId1015" Type="http://schemas.openxmlformats.org/officeDocument/2006/relationships/hyperlink" Target="http://sanfrancisco.cbslocal.com/2015/11/11/reports-of-gunman-on-construction-site-near-san-francisco-hospital/" TargetMode="External"/><Relationship Id="rId1016" Type="http://schemas.openxmlformats.org/officeDocument/2006/relationships/hyperlink" Target="http://www.abqjournal.com/673935/abqnewsseeker/bcso-investigates-south-valley-shooting.html" TargetMode="External"/><Relationship Id="rId1017" Type="http://schemas.openxmlformats.org/officeDocument/2006/relationships/hyperlink" Target="http://www.dailycamera.com/news/boulder/ci_29097757/suspects-reported-armed-robbery-high-speed-chase-boulder" TargetMode="External"/><Relationship Id="rId1018" Type="http://schemas.openxmlformats.org/officeDocument/2006/relationships/hyperlink" Target="http://www.krcrtv.com/news/local/shooting-in-chico-leaves-one-dead/36369296" TargetMode="External"/><Relationship Id="rId1019" Type="http://schemas.openxmlformats.org/officeDocument/2006/relationships/hyperlink" Target="http://www.mercurynews.com/crime-courts/ci_29098278/san-jose-authorities-identify-gunman-victim-deadly-cambrian" TargetMode="External"/><Relationship Id="rId336" Type="http://schemas.openxmlformats.org/officeDocument/2006/relationships/hyperlink" Target="http://www.chicagotribune.com/news/local/breaking/ct-officials-robbery-suspect-shot-dead-after-opening-fire-on-cops-20150517-story.html" TargetMode="External"/><Relationship Id="rId337" Type="http://schemas.openxmlformats.org/officeDocument/2006/relationships/hyperlink" Target="http://www.utsandiego.com/news/2015/may/17/sdpd-ois-officer-shot-kearny-mesa-hospital/" TargetMode="External"/><Relationship Id="rId338" Type="http://schemas.openxmlformats.org/officeDocument/2006/relationships/hyperlink" Target="http://www.baynews9.com/content/news/baynews9/news/article.html/content/news/articles/bn9/2015/5/17/st_pete_officer_shot.html" TargetMode="External"/><Relationship Id="rId339" Type="http://schemas.openxmlformats.org/officeDocument/2006/relationships/hyperlink" Target="http://www.kob.com/article/stories/s3798987.shtml" TargetMode="External"/><Relationship Id="rId980" Type="http://schemas.openxmlformats.org/officeDocument/2006/relationships/hyperlink" Target="http://journalstar.com/news/local/911/one-dead-five-in-custody-after-officer-involved-shooting/article_e4cfd9fb-e157-53ad-a637-cfa8b1b1468f.html" TargetMode="External"/><Relationship Id="rId981" Type="http://schemas.openxmlformats.org/officeDocument/2006/relationships/hyperlink" Target="http://www.kpho.com/story/30624737/mcso-deputy-shoots-kills-suicidal-man-who-pulled-out-gun" TargetMode="External"/><Relationship Id="rId982" Type="http://schemas.openxmlformats.org/officeDocument/2006/relationships/hyperlink" Target="http://www.kshb.com/news/crime/man-dead-in-officer-involved-shooting-in-dekalb-county-missouri" TargetMode="External"/><Relationship Id="rId983" Type="http://schemas.openxmlformats.org/officeDocument/2006/relationships/hyperlink" Target="http://www.whio.com/news/news/crime-law/person-shot-during-altercation-with-trooper-in-cel/npYFP/" TargetMode="External"/><Relationship Id="rId984" Type="http://schemas.openxmlformats.org/officeDocument/2006/relationships/hyperlink" Target="http://www.turnto23.com/news/breaking-news/officer-involved-shooting-near-downtown-restaurant-11292015" TargetMode="External"/><Relationship Id="rId985" Type="http://schemas.openxmlformats.org/officeDocument/2006/relationships/hyperlink" Target="http://www.wfaa.com/story/news/local/dallas-county/2015/11/28/police-kill-suspect-seagoville/76491256/" TargetMode="External"/><Relationship Id="rId986" Type="http://schemas.openxmlformats.org/officeDocument/2006/relationships/hyperlink" Target="http://www.ky3.com/news/local/man-shot-dead-in-confrontation-with-stone-county-deputies/21048998_36683524" TargetMode="External"/><Relationship Id="rId987" Type="http://schemas.openxmlformats.org/officeDocument/2006/relationships/hyperlink" Target="http://www.news-leader.com/story/news/crime/2015/11/26/man-killed-officer-involved-shooting/76409078/" TargetMode="External"/><Relationship Id="rId988" Type="http://schemas.openxmlformats.org/officeDocument/2006/relationships/hyperlink" Target="http://www.ky3.com/news/local/law-enforcement-work-standoff-near-ozarks-square/21048998_36658518" TargetMode="External"/><Relationship Id="rId989" Type="http://schemas.openxmlformats.org/officeDocument/2006/relationships/hyperlink" Target="http://www.wmicentral.com/officer-involved-shooting-in-eagar/article_3c603f82-9534-11e5-99b8-63c3ec52f2de.html" TargetMode="External"/><Relationship Id="rId660" Type="http://schemas.openxmlformats.org/officeDocument/2006/relationships/hyperlink" Target="http://www.local8now.com/home/headlines/KPD-officer-shot-in-East-KNoxville-262228291.html" TargetMode="External"/><Relationship Id="rId661" Type="http://schemas.openxmlformats.org/officeDocument/2006/relationships/hyperlink" Target="http://www.wbaltv.com/news/police-investigate-mta-officerinvolved-shooting-at-cromwell-light-rail-station/26384134" TargetMode="External"/><Relationship Id="rId662" Type="http://schemas.openxmlformats.org/officeDocument/2006/relationships/hyperlink" Target="http://www.mlive.com/news/flint/index.ssf/2013/10/prosecutor_says_michigan_state.html" TargetMode="External"/><Relationship Id="rId663" Type="http://schemas.openxmlformats.org/officeDocument/2006/relationships/hyperlink" Target="http://www.firstcoastnews.com/story/news/local/2014/06/04/westside-jso-officer-involved-shooting/9985499/" TargetMode="External"/><Relationship Id="rId664" Type="http://schemas.openxmlformats.org/officeDocument/2006/relationships/hyperlink" Target="http://rapidcityjournal.com/news/local/police-rapid-city-man-shot-and-killed-by-officer-had/article_262374b9-bd2f-569a-9635-2170734ac0d0.html" TargetMode="External"/><Relationship Id="rId665" Type="http://schemas.openxmlformats.org/officeDocument/2006/relationships/hyperlink" Target="http://6abc.com/news/officer-released-from-hospital-suspect-dead-in-chester/89060/" TargetMode="External"/><Relationship Id="rId666" Type="http://schemas.openxmlformats.org/officeDocument/2006/relationships/hyperlink" Target="http://www.hickoryrecord.com/news/hickory-police-man-killed-in-officer-involved-shooting/article_701d15ba-ea50-11e3-ad29-001a4bcf6878.html" TargetMode="External"/><Relationship Id="rId667" Type="http://schemas.openxmlformats.org/officeDocument/2006/relationships/hyperlink" Target="http://www.wyff4.com/news/dispatchers-deputyinvolved-shooting-under-investigation-at-gas-station/26282954" TargetMode="External"/><Relationship Id="rId668" Type="http://schemas.openxmlformats.org/officeDocument/2006/relationships/hyperlink" Target="http://www.kake.com/home/headlines/Officer-involved-shooting-reported-south-of-Dexter-in-Cowley-County-261401221.html" TargetMode="External"/><Relationship Id="rId669" Type="http://schemas.openxmlformats.org/officeDocument/2006/relationships/hyperlink" Target="http://patersontimes.com/2014/05/31/armed-city-man-killed-by-city-detective-on-montgomery-street/" TargetMode="External"/><Relationship Id="rId1340" Type="http://schemas.openxmlformats.org/officeDocument/2006/relationships/hyperlink" Target="http://www.swoknews.com/local/man-waving-gun-sheridan-lee-shot-killed-police" TargetMode="External"/><Relationship Id="rId1341" Type="http://schemas.openxmlformats.org/officeDocument/2006/relationships/hyperlink" Target="http://wjtv.com/2015/10/13/suspect-identified-in-brookhaven-standoff-2-officers-injured/" TargetMode="External"/><Relationship Id="rId1342" Type="http://schemas.openxmlformats.org/officeDocument/2006/relationships/hyperlink" Target="http://www.ledger-enquirer.com/news/local/crime/article39281184.html" TargetMode="External"/><Relationship Id="rId1343" Type="http://schemas.openxmlformats.org/officeDocument/2006/relationships/hyperlink" Target="http://www.miamiherald.com/news/local/community/miami-dade/article39262830.html" TargetMode="External"/><Relationship Id="rId1344" Type="http://schemas.openxmlformats.org/officeDocument/2006/relationships/hyperlink" Target="http://www.reviewjournal.com/news/las-vegas/metro-woman-killed-after-firing-officers-stolen-car" TargetMode="External"/><Relationship Id="rId1345" Type="http://schemas.openxmlformats.org/officeDocument/2006/relationships/hyperlink" Target="http://www.dispatch.com/content/stories/local/2015/10/15/officer-kills-suspect-during-far-east-side-robbery.html" TargetMode="External"/><Relationship Id="rId1346" Type="http://schemas.openxmlformats.org/officeDocument/2006/relationships/hyperlink" Target="http://www.desertsun.com/story/news/crime_courts/2015/10/14/possible-shooting-indio-apartments/73951052/" TargetMode="External"/><Relationship Id="rId1347" Type="http://schemas.openxmlformats.org/officeDocument/2006/relationships/hyperlink" Target="http://www.thecalifornian.com/story/news/my-safety/2015/10/14/officer-involved-shooting-breaks-out-seaside/73954434/" TargetMode="External"/><Relationship Id="rId1348" Type="http://schemas.openxmlformats.org/officeDocument/2006/relationships/hyperlink" Target="http://www.sfexaminer.com/new-details-emerge-fatal-mid-market-police-shooting/" TargetMode="External"/><Relationship Id="rId1349" Type="http://schemas.openxmlformats.org/officeDocument/2006/relationships/hyperlink" Target="http://www.cleveland.com/parma/index.ssf/2015/10/suspect_in_robbery_of_parma_pa.html" TargetMode="External"/><Relationship Id="rId340" Type="http://schemas.openxmlformats.org/officeDocument/2006/relationships/hyperlink" Target="http://www.kcra.com/news/local-news/news-sacramento/sacramento-police-investigating-officerinvolved-shooting/33053756" TargetMode="External"/><Relationship Id="rId341" Type="http://schemas.openxmlformats.org/officeDocument/2006/relationships/hyperlink" Target="http://www.nydailynews.com/new-york/bronx-man-died-custody-drinking-sources-article-1.2224115" TargetMode="External"/><Relationship Id="rId342" Type="http://schemas.openxmlformats.org/officeDocument/2006/relationships/hyperlink" Target="http://www.wrex.com/story/29079166/2015/05/15/officer-involved-shooting-in-rockford" TargetMode="External"/><Relationship Id="rId343" Type="http://schemas.openxmlformats.org/officeDocument/2006/relationships/hyperlink" Target="http://www.mlive.com/news/kalamazoo/index.ssf/2015/05/police_kill_1_man_injure_anoth.html" TargetMode="External"/><Relationship Id="rId344" Type="http://schemas.openxmlformats.org/officeDocument/2006/relationships/hyperlink" Target="http://www.spokesman.com/stories/2015/may/13/jail-inmate-dies-shortly-after-arrest/" TargetMode="External"/><Relationship Id="rId345" Type="http://schemas.openxmlformats.org/officeDocument/2006/relationships/hyperlink" Target="http://jacksonville.com/news/crime/2015-05-12/story/suspect-dead-police-involved-shooting-westside-jacksonville-apartment" TargetMode="External"/><Relationship Id="rId1020" Type="http://schemas.openxmlformats.org/officeDocument/2006/relationships/hyperlink" Target="http://wvmetronews.com/2015/11/09/one-dead-one-injured-in-police-search-for-fugitives/" TargetMode="External"/><Relationship Id="rId1021" Type="http://schemas.openxmlformats.org/officeDocument/2006/relationships/hyperlink" Target="http://yourdailyjournal.com/news/18292/sbi-anson-deputy-shot-killed-domestic-violence-suspect" TargetMode="External"/><Relationship Id="rId1022" Type="http://schemas.openxmlformats.org/officeDocument/2006/relationships/hyperlink" Target="http://ktla.com/2015/11/09/authorities-responding-to-possible-police-shooting-in-lake-balboa/" TargetMode="External"/><Relationship Id="rId1023" Type="http://schemas.openxmlformats.org/officeDocument/2006/relationships/hyperlink" Target="http://www.lmtonline.com/front-news/article_2cdd3578-870c-11e5-96b2-1fbfed068503.html" TargetMode="External"/><Relationship Id="rId1024" Type="http://schemas.openxmlformats.org/officeDocument/2006/relationships/hyperlink" Target="http://www.wftv.com/news/news/local/deputies-deland-police-officer-shoots-kills-uncle-/npHzw/" TargetMode="External"/><Relationship Id="rId1025" Type="http://schemas.openxmlformats.org/officeDocument/2006/relationships/hyperlink" Target="http://www.reviewjournal.com/news/las-vegas/school-police-shoot-kill-threatening-driver-south-valley-park" TargetMode="External"/><Relationship Id="rId1026" Type="http://schemas.openxmlformats.org/officeDocument/2006/relationships/hyperlink" Target="http://www.oregonlive.com/portland/index.ssf/2015/11/police_activity_closes_streets.html" TargetMode="External"/><Relationship Id="rId1027" Type="http://schemas.openxmlformats.org/officeDocument/2006/relationships/hyperlink" Target="http://www.kmov.com/story/30452751/police-open-fire-on-suspect-charging-at-them-with-weapon" TargetMode="External"/><Relationship Id="rId1028" Type="http://schemas.openxmlformats.org/officeDocument/2006/relationships/hyperlink" Target="http://www.postandcourier.com/article/20151105/PC16/151109561" TargetMode="External"/><Relationship Id="rId1029" Type="http://schemas.openxmlformats.org/officeDocument/2006/relationships/hyperlink" Target="http://www.wdtv.com/wdtv.cfm?func=view&amp;section=5-News&amp;item=BREAKING-NEWS-One-Person-Killed-in-Police-Involved-Shooting-26608" TargetMode="External"/><Relationship Id="rId346" Type="http://schemas.openxmlformats.org/officeDocument/2006/relationships/hyperlink" Target="http://wtop.com/montgomery-county/2015/05/death-of-man-after-police-tasing-investigated-in-montgomery-county/" TargetMode="External"/><Relationship Id="rId347" Type="http://schemas.openxmlformats.org/officeDocument/2006/relationships/hyperlink" Target="http://www.staradvertiser.com/news/breaking/20150512_Man_fatally_shot_at_Chinatown_Gateway_Plaza.html?id=303517261" TargetMode="External"/><Relationship Id="rId348" Type="http://schemas.openxmlformats.org/officeDocument/2006/relationships/hyperlink" Target="http://www.ocregister.com/articles/santa-661469-involved-margarita.html" TargetMode="External"/><Relationship Id="rId349" Type="http://schemas.openxmlformats.org/officeDocument/2006/relationships/hyperlink" Target="http://www.nbcwashington.com/news/local/Prince-Georges-County-Sheriffs-Deputy-Involved-in-Fatal-Shooting-303283731.html" TargetMode="External"/><Relationship Id="rId990" Type="http://schemas.openxmlformats.org/officeDocument/2006/relationships/hyperlink" Target="http://philadelphia.cbslocal.com/2015/11/24/camden-county-prosecutor-investigating-fatal-shooting-involving-two-police-officers/" TargetMode="External"/><Relationship Id="rId991" Type="http://schemas.openxmlformats.org/officeDocument/2006/relationships/hyperlink" Target="http://minnesota.cbslocal.com/2015/11/24/reports-of-shots-fired-in-columbia-heights-police-say/" TargetMode="External"/><Relationship Id="rId992" Type="http://schemas.openxmlformats.org/officeDocument/2006/relationships/hyperlink" Target="http://lasvegas.cbslocal.com/2015/11/24/officer-involved-shooting-in-las-vegas/" TargetMode="External"/><Relationship Id="rId993" Type="http://schemas.openxmlformats.org/officeDocument/2006/relationships/hyperlink" Target="http://nbc4i.com/2015/11/23/3-people-reported-dead-after-reported-shooting-on-citys-west-side/" TargetMode="External"/><Relationship Id="rId994" Type="http://schemas.openxmlformats.org/officeDocument/2006/relationships/hyperlink" Target="http://www.kristv.com/story/30582358/concord-st-closed-off" TargetMode="External"/><Relationship Id="rId995" Type="http://schemas.openxmlformats.org/officeDocument/2006/relationships/hyperlink" Target="http://www.denverpost.com/news/ci_29154811/denver-police-fatally-shoot-gunman-during-standoff" TargetMode="External"/><Relationship Id="rId996" Type="http://schemas.openxmlformats.org/officeDocument/2006/relationships/hyperlink" Target="http://www.kolotv.com/home/headlines/Reno-Police-One-Person-Shot-on-Grove-St-352960401.html" TargetMode="External"/><Relationship Id="rId997" Type="http://schemas.openxmlformats.org/officeDocument/2006/relationships/hyperlink" Target="http://www.kxii.com/home/headlines/New-details-released-in-officer-involved-shooting-in-Colbert-352955771.html" TargetMode="External"/><Relationship Id="rId998" Type="http://schemas.openxmlformats.org/officeDocument/2006/relationships/hyperlink" Target="http://www.pe.com/articles/report-787263-suspect-officers.html" TargetMode="External"/><Relationship Id="rId999" Type="http://schemas.openxmlformats.org/officeDocument/2006/relationships/hyperlink" Target="http://www.ajc.com/news/news/local/coweta-man-dies-after-being-tasered-by-deputies/npSZB/" TargetMode="External"/><Relationship Id="rId670" Type="http://schemas.openxmlformats.org/officeDocument/2006/relationships/hyperlink" Target="http://www.tricities.com/news/article_0ec2ddf4-e749-11e3-a6a8-0017a43b2370.html" TargetMode="External"/><Relationship Id="rId671" Type="http://schemas.openxmlformats.org/officeDocument/2006/relationships/hyperlink" Target="http://www.daytondailynews.com/news/news/crime-law/police-involved-shooting-reported-udf-dayton/nf7f7/?__federated=1" TargetMode="External"/><Relationship Id="rId672" Type="http://schemas.openxmlformats.org/officeDocument/2006/relationships/hyperlink" Target="http://www.bakersfieldnow.com/news/local/1-shot-killed-by-KC-deputy-in-Lebec-260562651.html" TargetMode="External"/><Relationship Id="rId673" Type="http://schemas.openxmlformats.org/officeDocument/2006/relationships/hyperlink" Target="https://www.facebook.com/curtise.welford" TargetMode="External"/><Relationship Id="rId674" Type="http://schemas.openxmlformats.org/officeDocument/2006/relationships/hyperlink" Target="http://www.expressnews.com/news/local/article/Officer-shoots-kills-woman-who-police-said-5490353.php" TargetMode="External"/><Relationship Id="rId675" Type="http://schemas.openxmlformats.org/officeDocument/2006/relationships/hyperlink" Target="http://nrvnews.com/wp-content/uploads/2014/05/saunders_thomas_neil.jpg" TargetMode="External"/><Relationship Id="rId676" Type="http://schemas.openxmlformats.org/officeDocument/2006/relationships/hyperlink" Target="http://www.wdbj7.com/news/local/developing-story-officerinvolved-shooting-in-giles-county/26045058" TargetMode="External"/><Relationship Id="rId677" Type="http://schemas.openxmlformats.org/officeDocument/2006/relationships/hyperlink" Target="http://www.kansascity.com/2014/05/20/5035276/kck-standoff-suspect-killed-by.html" TargetMode="External"/><Relationship Id="rId678" Type="http://schemas.openxmlformats.org/officeDocument/2006/relationships/hyperlink" Target="http://www.nbcnewyork.com/news/local/NYPD-Shooting-FDR-Drive-96-Street-259556971.html" TargetMode="External"/><Relationship Id="rId679" Type="http://schemas.openxmlformats.org/officeDocument/2006/relationships/hyperlink" Target="http://www.mercurynews.com/my-town/ci_25773669/concord-police-shoot-kill-suspect-thursday-evening" TargetMode="External"/><Relationship Id="rId1350" Type="http://schemas.openxmlformats.org/officeDocument/2006/relationships/hyperlink" Target="http://www.pe.com/articles/shooting-782957-information-officer.html" TargetMode="External"/><Relationship Id="rId1351" Type="http://schemas.openxmlformats.org/officeDocument/2006/relationships/hyperlink" Target="http://www.cdispatch.com/news/article.asp?aid=45542" TargetMode="External"/><Relationship Id="rId1352" Type="http://schemas.openxmlformats.org/officeDocument/2006/relationships/hyperlink" Target="http://www.al.com/news/index.ssf/2015/10/alabama_state_troopers_shoot_a.html" TargetMode="External"/><Relationship Id="rId1353" Type="http://schemas.openxmlformats.org/officeDocument/2006/relationships/hyperlink" Target="http://www.latimes.com/local/lanow/la-me-ln-deputy-involved-shooting-san-gabriel-valley-20151016-story.html" TargetMode="External"/><Relationship Id="rId1354" Type="http://schemas.openxmlformats.org/officeDocument/2006/relationships/hyperlink" Target="http://www.modbee.com/news/local/crime/article39598365.html" TargetMode="External"/><Relationship Id="rId1355" Type="http://schemas.openxmlformats.org/officeDocument/2006/relationships/hyperlink" Target="http://archive.ydr.com/local/ci_28983263/police-respond-saturday-afternoon-shooting-york" TargetMode="External"/><Relationship Id="rId1356" Type="http://schemas.openxmlformats.org/officeDocument/2006/relationships/hyperlink" Target="http://www.richmond.com/news/local/chesterfield/article_c725c915-9977-5246-be48-5a2b51f13953.html" TargetMode="External"/><Relationship Id="rId1357" Type="http://schemas.openxmlformats.org/officeDocument/2006/relationships/hyperlink" Target="http://www.sun-sentinel.com/local/palm-beach/fl-palm-beach-gardens-officer-shooting-20151019-story.html" TargetMode="External"/><Relationship Id="rId1358" Type="http://schemas.openxmlformats.org/officeDocument/2006/relationships/hyperlink" Target="http://abc30.com/news/neighbor-says-police-officer-who-shot-suspect-may-have-saved-him/1039573/" TargetMode="External"/><Relationship Id="rId1359" Type="http://schemas.openxmlformats.org/officeDocument/2006/relationships/hyperlink" Target="http://www.nola.com/crime/index.ssf/2015/10/man_fatally_shot_by_st_tammany.html" TargetMode="External"/><Relationship Id="rId350" Type="http://schemas.openxmlformats.org/officeDocument/2006/relationships/hyperlink" Target="http://www.wfaa.com/story/news/crime/2015/05/11/fort-worth-police-report-officer-involved-shooting/27141917/" TargetMode="External"/><Relationship Id="rId351" Type="http://schemas.openxmlformats.org/officeDocument/2006/relationships/hyperlink" Target="http://www.kpho.com/story/29033947/man-dead-after-officer-involved-shooting-in-kearny" TargetMode="External"/><Relationship Id="rId352" Type="http://schemas.openxmlformats.org/officeDocument/2006/relationships/hyperlink" Target="http://www.news4jax.com/news/st-johns-county-investiges-deputy-involved-shooting/32947972" TargetMode="External"/><Relationship Id="rId353" Type="http://schemas.openxmlformats.org/officeDocument/2006/relationships/hyperlink" Target="http://www.wral.com/man-dies-while-in-police-custody-in-enfield/14637653/" TargetMode="External"/><Relationship Id="rId354" Type="http://schemas.openxmlformats.org/officeDocument/2006/relationships/hyperlink" Target="http://www.kirotv.com/news/news/tacoma-police-shoot-and-kill-armed-man-outside-his/nmDNM/" TargetMode="External"/><Relationship Id="rId355" Type="http://schemas.openxmlformats.org/officeDocument/2006/relationships/hyperlink" Target="http://www.kare11.com/story/news/2015/05/09/694-shut-down-man-dies-in-officer-involved-shooting/27034515/" TargetMode="External"/><Relationship Id="rId1030" Type="http://schemas.openxmlformats.org/officeDocument/2006/relationships/hyperlink" Target="http://www.newson6.com/story/30447866/osbi-investigating-officer-involved-shooting-in-osage-county" TargetMode="External"/><Relationship Id="rId1031" Type="http://schemas.openxmlformats.org/officeDocument/2006/relationships/hyperlink" Target="http://www.sandiegouniontribune.com/news/2015/nov/04/officer-involved-shooting-pacific-beach/" TargetMode="External"/><Relationship Id="rId1032" Type="http://schemas.openxmlformats.org/officeDocument/2006/relationships/hyperlink" Target="http://www.mercedsunstar.com/news/local/education/uc-merced/article42944028.html" TargetMode="External"/><Relationship Id="rId1033" Type="http://schemas.openxmlformats.org/officeDocument/2006/relationships/hyperlink" Target="http://www.ozarksfirst.com/news/one-man-dead-in-officer-involved-shooting" TargetMode="External"/><Relationship Id="rId1034" Type="http://schemas.openxmlformats.org/officeDocument/2006/relationships/hyperlink" Target="http://www.katc.com/story/30434244/6-year-old-dead-another-in-critical-after-officer-involved-shooting-in-marksville" TargetMode="External"/><Relationship Id="rId1035" Type="http://schemas.openxmlformats.org/officeDocument/2006/relationships/hyperlink" Target="http://www.oregonlive.com/pacific-northwest-news/index.ssf/2015/11/klamath_county_officials_ident.html" TargetMode="External"/><Relationship Id="rId1036" Type="http://schemas.openxmlformats.org/officeDocument/2006/relationships/hyperlink" Target="http://www.kivitv.com/news/idaho-state-police-investigating-officer-involved-shooting" TargetMode="External"/><Relationship Id="rId1037" Type="http://schemas.openxmlformats.org/officeDocument/2006/relationships/hyperlink" Target="http://www.kare11.com/story/news/2015/11/01/bca-investigating-hutchinson-officer-involved-shooting/75021264/" TargetMode="External"/><Relationship Id="rId1038" Type="http://schemas.openxmlformats.org/officeDocument/2006/relationships/hyperlink" Target="http://www.times-standard.com/20151101/chp-officer-shot-alleged-shooter-dead-after-eureka-traffic-stop" TargetMode="External"/><Relationship Id="rId1039" Type="http://schemas.openxmlformats.org/officeDocument/2006/relationships/hyperlink" Target="http://eugenedailynews.com/2015/11/lane-county-sheriffs-deputy-hits-kills-bicyclist/" TargetMode="External"/><Relationship Id="rId356" Type="http://schemas.openxmlformats.org/officeDocument/2006/relationships/hyperlink" Target="http://www.nola.com/crime/index.ssf/2015/05/officer-involved_shooting_repo.html" TargetMode="External"/><Relationship Id="rId357" Type="http://schemas.openxmlformats.org/officeDocument/2006/relationships/hyperlink" Target="http://www.localsyr.com/story/d/story/authorities-investigating-fatal-officer-involved-s/67882/io8DUgiTsEG_yMWZyCVbHw" TargetMode="External"/><Relationship Id="rId358" Type="http://schemas.openxmlformats.org/officeDocument/2006/relationships/hyperlink" Target="http://ktla.com/2015/05/07/apparent-deputy-involved-shooting-prompts-emergency-response-in-cerritos/" TargetMode="External"/><Relationship Id="rId359" Type="http://schemas.openxmlformats.org/officeDocument/2006/relationships/hyperlink" Target="http://www.heraldtribune.com/article/20150507/ARTICLE/150509754/2416/NEWS" TargetMode="External"/><Relationship Id="rId800" Type="http://schemas.openxmlformats.org/officeDocument/2006/relationships/hyperlink" Target="http://www.wsfa.com/story/22481859/selma-police-stunned-that-off-duty-officer-killed-two-then-self-over-the-weekend" TargetMode="External"/><Relationship Id="rId801" Type="http://schemas.openxmlformats.org/officeDocument/2006/relationships/hyperlink" Target="http://www.nydailynews.com/new-york/brooklyn/crazed-brooklyn-man-shot-cops-bad-mouthed-article-1.1297528" TargetMode="External"/><Relationship Id="rId802" Type="http://schemas.openxmlformats.org/officeDocument/2006/relationships/hyperlink" Target="http://wreg.com/2013/05/30/funeral-escort-riders-say-farewell-to-one-of-their-own/" TargetMode="External"/><Relationship Id="rId803" Type="http://schemas.openxmlformats.org/officeDocument/2006/relationships/hyperlink" Target="http://www.palmbeachpost.com/news/news/man-shot-and-killed-by-deputies-near-marriott-in-w/nXR2K/" TargetMode="External"/><Relationship Id="rId804" Type="http://schemas.openxmlformats.org/officeDocument/2006/relationships/hyperlink" Target="http://www.daytondailynews.com/news/news/crime-law/fbi-working-at-shooting-site/nXDWH/" TargetMode="External"/><Relationship Id="rId805" Type="http://schemas.openxmlformats.org/officeDocument/2006/relationships/hyperlink" Target="http://www.chron.com/news/houston-texas/houston/article/HPD-officer-wounded-suspect-killed-in-shootout-4362891.php" TargetMode="External"/><Relationship Id="rId806" Type="http://schemas.openxmlformats.org/officeDocument/2006/relationships/hyperlink" Target="http://crimeblog.dallasnews.com/2013/03/dallas-police-officer-fatally-shoots-suspect-after-major-disturbance-at-apartment-complex.html/" TargetMode="External"/><Relationship Id="rId807" Type="http://schemas.openxmlformats.org/officeDocument/2006/relationships/hyperlink" Target="http://www.dnainfo.com/new-york/20130310/east-flatbush/police-fatally-shoot-allegedly-armed-teenager-brooklyn" TargetMode="External"/><Relationship Id="rId808" Type="http://schemas.openxmlformats.org/officeDocument/2006/relationships/hyperlink" Target="http://articles.sun-sentinel.com/2013-03-12/news/fl-boca-officer-involved-named-20130311_1_boca-raton-police-police-officers-facebook-profile" TargetMode="External"/><Relationship Id="rId809" Type="http://schemas.openxmlformats.org/officeDocument/2006/relationships/hyperlink" Target="http://www.myfoxhouston.com/story/21431932/suspected-purse-snatcher-shot-by-houston-police-officer" TargetMode="External"/><Relationship Id="rId680" Type="http://schemas.openxmlformats.org/officeDocument/2006/relationships/hyperlink" Target="http://www.houstontx.gov/police/nr/2014/may/nr051314-3.htm" TargetMode="External"/><Relationship Id="rId681" Type="http://schemas.openxmlformats.org/officeDocument/2006/relationships/hyperlink" Target="http://www.dcclothesline.com/2014/05/19/veteran-stopped-front-license-plate-beat-death-5-cops/" TargetMode="External"/><Relationship Id="rId682" Type="http://schemas.openxmlformats.org/officeDocument/2006/relationships/hyperlink" Target="http://www.suntimes.com/27377311-761/armed-man-shot-by-police-on-west-side-dies.html" TargetMode="External"/><Relationship Id="rId683" Type="http://schemas.openxmlformats.org/officeDocument/2006/relationships/hyperlink" Target="http://www.10tv.com/content/stories/2014/05/10/columbus-jonathan-drive-officer-involved-shooting.html" TargetMode="External"/><Relationship Id="rId684" Type="http://schemas.openxmlformats.org/officeDocument/2006/relationships/hyperlink" Target="http://www.nbclosangeles.com/news/local/Man-Killed-in-Fatal-Officer-Involved-Shooting-in-Ontario-258815701.html" TargetMode="External"/><Relationship Id="rId685" Type="http://schemas.openxmlformats.org/officeDocument/2006/relationships/hyperlink" Target="http://www.statesmanjournal.com/story/news/crime/2014/05/19/grand-jury-officer-justified-shooting-killing-armed-suspect/9307783/" TargetMode="External"/><Relationship Id="rId686" Type="http://schemas.openxmlformats.org/officeDocument/2006/relationships/hyperlink" Target="http://www.mlive.com/news/grand-rapids/index.ssf/2014/05/two_troopers_one_deputy_on_lea.html" TargetMode="External"/><Relationship Id="rId687" Type="http://schemas.openxmlformats.org/officeDocument/2006/relationships/hyperlink" Target="http://www.nydailynews.com/news/national/fired-fatally-shot-93-year-old-woman-rips-knee-jerk-reaction-article-1.1789207" TargetMode="External"/><Relationship Id="rId688"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689" Type="http://schemas.openxmlformats.org/officeDocument/2006/relationships/hyperlink" Target="http://m.union-bulletin.com/news/2014/apr/29/update-investigation-continues-athena-mans-fatal-s/?templates=mobile" TargetMode="External"/><Relationship Id="rId1360" Type="http://schemas.openxmlformats.org/officeDocument/2006/relationships/hyperlink" Target="http://www.desmoinesregister.com/story/news/crime-and-courts/2015/10/21/cedar-rapids-fatal-police-shooting/74316302/?from=global&amp;sessionKey=&amp;autologin=" TargetMode="External"/><Relationship Id="rId1361" Type="http://schemas.openxmlformats.org/officeDocument/2006/relationships/hyperlink" Target="http://www.sandiegouniontribune.com/news/2015/oct/20/officer-involved-shooting-downtown-san-diego/" TargetMode="External"/><Relationship Id="rId1362" Type="http://schemas.openxmlformats.org/officeDocument/2006/relationships/hyperlink" Target="http://www.courier-journal.com/story/news/crime/2015/10/20/jeffersontown-police-shoot-robbery-suspect/74283040/" TargetMode="External"/><Relationship Id="rId1363" Type="http://schemas.openxmlformats.org/officeDocument/2006/relationships/hyperlink" Target="http://www.nbcsandiego.com/news/local/Customs-Border-Protection-CBP-Officer-Shoots-Kills-Man-at-Calexico-Port-of-Entry-335010591.html" TargetMode="External"/><Relationship Id="rId1364" Type="http://schemas.openxmlformats.org/officeDocument/2006/relationships/hyperlink" Target="http://www.fresnobee.com/news/local/crime/article40741638.html" TargetMode="External"/><Relationship Id="rId1365" Type="http://schemas.openxmlformats.org/officeDocument/2006/relationships/hyperlink" Target="http://www.mlive.com/news/grand-rapids/index.ssf/2015/10/man_shot_dead_by_kentwood_poli.html" TargetMode="External"/><Relationship Id="rId1366" Type="http://schemas.openxmlformats.org/officeDocument/2006/relationships/hyperlink" Target="http://www.sacbee.com/news/local/crime/article41204820.html" TargetMode="External"/><Relationship Id="rId1367" Type="http://schemas.openxmlformats.org/officeDocument/2006/relationships/hyperlink" Target="http://www.shreveporttimes.com/story/news/2015/10/22/police-man-knife-shot-officer/74382544/" TargetMode="External"/><Relationship Id="rId1368" Type="http://schemas.openxmlformats.org/officeDocument/2006/relationships/hyperlink" Target="http://www.wkyt.com/wymt/home/headlines/Kentucky-State-Police-involved-in-fatal-shooting-in-Knott-County--336397431.html?device=tablet&amp;c=y" TargetMode="External"/><Relationship Id="rId1369" Type="http://schemas.openxmlformats.org/officeDocument/2006/relationships/hyperlink" Target="http://www.jsonline.com/news/crime/shotgun-wielding-man-shot-by-kenosha-county-deputy-has-died-b99603068z1-336891891.html" TargetMode="External"/><Relationship Id="rId360" Type="http://schemas.openxmlformats.org/officeDocument/2006/relationships/hyperlink" Target="http://www.wsbtv.com/news/news/local/gwinnett-county-police-investigate-officer-involve/nmBY5/" TargetMode="External"/><Relationship Id="rId361" Type="http://schemas.openxmlformats.org/officeDocument/2006/relationships/hyperlink" Target="http://www.wsoctv.com/news/news/local/police-investigate-officer-involved-shooting-wake-/nmBQL/" TargetMode="External"/><Relationship Id="rId362" Type="http://schemas.openxmlformats.org/officeDocument/2006/relationships/hyperlink" Target="http://www.recordonline.com/article/20150507/NEWS/150509481" TargetMode="External"/><Relationship Id="rId363" Type="http://schemas.openxmlformats.org/officeDocument/2006/relationships/hyperlink" Target="http://abc7.com/news/man-shot-to-death-by-lapd-in-venice-after-disturbing-the-peace-call/699856/" TargetMode="External"/><Relationship Id="rId364" Type="http://schemas.openxmlformats.org/officeDocument/2006/relationships/hyperlink" Target="http://newyork.cbslocal.com/2015/05/06/nj-turnpike-pedestrians-killed-police-car/" TargetMode="External"/><Relationship Id="rId365" Type="http://schemas.openxmlformats.org/officeDocument/2006/relationships/hyperlink" Target="http://newyork.cbslocal.com/2015/05/06/nj-turnpike-pedestrians-killed-police-car/" TargetMode="External"/><Relationship Id="rId1040" Type="http://schemas.openxmlformats.org/officeDocument/2006/relationships/hyperlink" Target="http://www.wftv.com/news/news/local/crash-heavy-law-enforcement-presence-causes-delays/npJ6S/" TargetMode="External"/><Relationship Id="rId1041" Type="http://schemas.openxmlformats.org/officeDocument/2006/relationships/hyperlink" Target="http://www.killedbypolice.net/victims/151084.jpg" TargetMode="External"/><Relationship Id="rId1042" Type="http://schemas.openxmlformats.org/officeDocument/2006/relationships/hyperlink" Target="http://www.telegram.com/article/20150730/NEWS/307309660" TargetMode="External"/><Relationship Id="rId1043" Type="http://schemas.openxmlformats.org/officeDocument/2006/relationships/hyperlink" Target="https://www.bostonglobe.com/metro/2015/07/02/brockton-man-fatally-shot-police/TFwHapR8aN1shu8KY67duM/story.html" TargetMode="External"/><Relationship Id="rId1044" Type="http://schemas.openxmlformats.org/officeDocument/2006/relationships/hyperlink" Target="http://www.vnews.com/news/newsletter/17857473-95/haverhill-officers-unnamed-nh-ag-wont-give-any-shooting-details" TargetMode="External"/><Relationship Id="rId1045" Type="http://schemas.openxmlformats.org/officeDocument/2006/relationships/hyperlink" Target="http://www.wxii12.com/news/stabbing-standoff-reported-in-stokes-co/34345684" TargetMode="External"/><Relationship Id="rId1046" Type="http://schemas.openxmlformats.org/officeDocument/2006/relationships/hyperlink" Target="http://www.kctv5.com/story/29494552/armed-carjacking-suspect-dead-in-police-shooting" TargetMode="External"/><Relationship Id="rId1047" Type="http://schemas.openxmlformats.org/officeDocument/2006/relationships/hyperlink" Target="http://www.startribune.com/officer-involved-shooting-at-plymouth-arby-s-leaves-one-man-dead/318383701/" TargetMode="External"/><Relationship Id="rId1048" Type="http://schemas.openxmlformats.org/officeDocument/2006/relationships/hyperlink" Target="http://www.wtok.com/home/headlines/New-Details-in-Stonewall-Death-Investigation-313047501.html" TargetMode="External"/><Relationship Id="rId1049" Type="http://schemas.openxmlformats.org/officeDocument/2006/relationships/hyperlink" Target="http://www.redding.com/homepage-showcase/matthew-graham-killed-in-dunsmuir-shootout-with-officers_38935482" TargetMode="External"/><Relationship Id="rId366" Type="http://schemas.openxmlformats.org/officeDocument/2006/relationships/hyperlink" Target="http://www.sgvtribune.com/general-news/20150505/2-dead-1-injured-in-south-el-monte-stabbing-deputy-involved-shooting" TargetMode="External"/><Relationship Id="rId367" Type="http://schemas.openxmlformats.org/officeDocument/2006/relationships/hyperlink" Target="http://www.wsls.com/story/28977735/vsp-investigating-officer-involved-shooting-in-pulaski" TargetMode="External"/><Relationship Id="rId368" Type="http://schemas.openxmlformats.org/officeDocument/2006/relationships/hyperlink" Target="http://www.wkyt.com/wymt/home/headlines/Police-investigating-officer-involved-shooting-in-Perry-County-302391481.html" TargetMode="External"/><Relationship Id="rId369" Type="http://schemas.openxmlformats.org/officeDocument/2006/relationships/hyperlink" Target="http://www.keprtv.com/SWAT-on-scene-of-standoff-in-Kennewick-302418671.html" TargetMode="External"/><Relationship Id="rId810" Type="http://schemas.openxmlformats.org/officeDocument/2006/relationships/hyperlink" Target="http://www.phillyburbs.com/news/crime/da-warminster-officer-accidentally-shot-year-old-during-standoff/article_2e02c0de-13d0-54ef-88d7-e00c66713ba5.html" TargetMode="External"/><Relationship Id="rId811" Type="http://schemas.openxmlformats.org/officeDocument/2006/relationships/hyperlink" Target="http://www.chron.com/news/houston-texas/houston/article/HPD-kills-person-at-westside-complex-4276703.php" TargetMode="External"/><Relationship Id="rId812" Type="http://schemas.openxmlformats.org/officeDocument/2006/relationships/hyperlink" Target="http://www.wrdw.com/home/headlines/Deputies-respond-to-reports-of-a-shooting-at-Fox-Trace-189340421.html" TargetMode="External"/><Relationship Id="rId813" Type="http://schemas.openxmlformats.org/officeDocument/2006/relationships/hyperlink" Target="http://jacksonville.com/news/crime/2014-09-06/story/lawsuit-pits-family-against-jacksonville-police-over-fatal-police" TargetMode="External"/><Relationship Id="rId814" Type="http://schemas.openxmlformats.org/officeDocument/2006/relationships/hyperlink" Target="http://wreg.com/2013/01/18/man-shot-killed-by-memphis-police/" TargetMode="External"/><Relationship Id="rId815" Type="http://schemas.openxmlformats.org/officeDocument/2006/relationships/hyperlink" Target="http://www.baynews9.com/content/dam/news/images/2012/12/Suspect-killed-110.jpg" TargetMode="External"/><Relationship Id="rId816" Type="http://schemas.openxmlformats.org/officeDocument/2006/relationships/hyperlink" Target="http://www.baynews9.com/content/news/baynews9/news/article.html/content/news/articles/bn9/2013/1/10/with_deputy_in_fight.html" TargetMode="External"/><Relationship Id="rId817" Type="http://schemas.openxmlformats.org/officeDocument/2006/relationships/hyperlink" Target="http://miami.cbslocal.com/2013/01/07/family-of-man-killed-in-police-involved-shooting-demands-answers/" TargetMode="External"/><Relationship Id="rId818" Type="http://schemas.openxmlformats.org/officeDocument/2006/relationships/hyperlink" Target="http://www.trbimg.com/img-50e7a90e/turbine/peter-jourdan-of-allentown.jpg-20130104/600" TargetMode="External"/><Relationship Id="rId819" Type="http://schemas.openxmlformats.org/officeDocument/2006/relationships/hyperlink" Target="http://www.tricitytribuneusa.com/wp-content/uploads/Chavez_Mug0642-300x300.jpg" TargetMode="External"/><Relationship Id="rId690" Type="http://schemas.openxmlformats.org/officeDocument/2006/relationships/hyperlink" Target="http://www.news-graphic.com/image_5c8d94e0-b110-11e2-af2b-001a4bcf887a.html" TargetMode="External"/><Relationship Id="rId691" Type="http://schemas.openxmlformats.org/officeDocument/2006/relationships/hyperlink" Target="http://www.natchezdemocrat.com/2014/04/25/man-dies-after-stun-gun-shock-state-agency-inspecting-acso-traffic-stop-death/" TargetMode="External"/><Relationship Id="rId692" Type="http://schemas.openxmlformats.org/officeDocument/2006/relationships/hyperlink" Target="http://www.wtok.com/news/headlines/Update-on-Emmanuel-Wooten-Search-256704901.html" TargetMode="External"/><Relationship Id="rId693" Type="http://schemas.openxmlformats.org/officeDocument/2006/relationships/hyperlink" Target="http://triblive.com/news/allegheny/6036085-74/zappala-officer-police" TargetMode="External"/><Relationship Id="rId694" Type="http://schemas.openxmlformats.org/officeDocument/2006/relationships/hyperlink" Target="http://www.wwaytv3.com/2014/04/14/updated-sbi-investigating-officer-involved-shooting-pender-county" TargetMode="External"/><Relationship Id="rId695" Type="http://schemas.openxmlformats.org/officeDocument/2006/relationships/hyperlink" Target="http://www.miamiherald.com/news/local/crime/article2176191.html" TargetMode="External"/><Relationship Id="rId696" Type="http://schemas.openxmlformats.org/officeDocument/2006/relationships/hyperlink" Target="http://www.kansas.com/2014/04/10/3396426/man-dead-after-officer-involved.html" TargetMode="External"/><Relationship Id="rId697" Type="http://schemas.openxmlformats.org/officeDocument/2006/relationships/hyperlink" Target="http://www.wrhi.com/2014/04/officer-involved-shooting-in-york-county-leaves-one-man-dead-91986" TargetMode="External"/><Relationship Id="rId698" Type="http://schemas.openxmlformats.org/officeDocument/2006/relationships/hyperlink" Target="http://www.charlotteobserver.com/2014/04/09/4830144_experts-weigh-in-on-york-county.html" TargetMode="External"/><Relationship Id="rId699" Type="http://schemas.openxmlformats.org/officeDocument/2006/relationships/hyperlink" Target="http://www.palmbeachpost.com/news/news/pbso-investigating-officer-involved-shooting-in-su/nfTT5/" TargetMode="External"/><Relationship Id="rId1370" Type="http://schemas.openxmlformats.org/officeDocument/2006/relationships/hyperlink" Target="http://www.desertsun.com/story/news/crime_courts/2015/10/25/cathedral-city-officer-shooting/74582286/" TargetMode="External"/><Relationship Id="rId1371" Type="http://schemas.openxmlformats.org/officeDocument/2006/relationships/hyperlink" Target="http://www.adn.com/article/20151025/man-shot-killed-confrontation-trooper-kenai-peninsula" TargetMode="External"/><Relationship Id="rId1372" Type="http://schemas.openxmlformats.org/officeDocument/2006/relationships/hyperlink" Target="http://www.winknews.com/2015/10/26/cape-pd-identifies-suspect-in-deadly-weekend-shooting/" TargetMode="External"/><Relationship Id="rId1373"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1374" Type="http://schemas.openxmlformats.org/officeDocument/2006/relationships/hyperlink" Target="http://www.tampabay.com/news/publicsafety/crime/one-suspect-shot-two-in-custody-and-tampa-police-hunting-for-a-fourth/2251265" TargetMode="External"/><Relationship Id="rId1375" Type="http://schemas.openxmlformats.org/officeDocument/2006/relationships/hyperlink" Target="http://www.wtoc.com/story/30372168/gbi-releases-new-details-on-officer-involved-shooting-in-savannah" TargetMode="External"/><Relationship Id="rId1376" Type="http://schemas.openxmlformats.org/officeDocument/2006/relationships/hyperlink" Target="http://www.clarionledger.com/story/news/2015/10/28/fatal-deputy-involved-shooting-monroe-county/74730994/" TargetMode="External"/><Relationship Id="rId1377" Type="http://schemas.openxmlformats.org/officeDocument/2006/relationships/hyperlink" Target="http://www.dispatch.com/content/stories/local/2015/10/29/Officer-involved-shooting.html" TargetMode="External"/><Relationship Id="rId1378" Type="http://schemas.openxmlformats.org/officeDocument/2006/relationships/hyperlink" Target="http://www.gainesville.com/article/20151030/ARTICLES/151039969?tc=ar" TargetMode="External"/><Relationship Id="rId1379" Type="http://schemas.openxmlformats.org/officeDocument/2006/relationships/hyperlink" Target="http://www.nbcnews.com/news/us-news/fugitive-rapist-floyd-ray-cook-shot-killed-kentucky-police-n454186" TargetMode="External"/><Relationship Id="rId370" Type="http://schemas.openxmlformats.org/officeDocument/2006/relationships/hyperlink" Target="http://facebook.com/KilledByPolice/posts/1034785363216267" TargetMode="External"/><Relationship Id="rId371" Type="http://schemas.openxmlformats.org/officeDocument/2006/relationships/hyperlink" Target="http://www.wfaa.com/story/news/local/2015/05/03/garland-curtis-culwell-center-swat/26848435/" TargetMode="External"/><Relationship Id="rId372" Type="http://schemas.openxmlformats.org/officeDocument/2006/relationships/hyperlink" Target="http://krqe.com/2015/05/03/suspect-from-deputy-involved-shooting-dies/" TargetMode="External"/><Relationship Id="rId373" Type="http://schemas.openxmlformats.org/officeDocument/2006/relationships/hyperlink" Target="http://www.deseretnews.com/article/865627866/Roosevelt-police-shoot-kill-man-wielding-handgun-near-hospital.html?pg=all" TargetMode="External"/><Relationship Id="rId374" Type="http://schemas.openxmlformats.org/officeDocument/2006/relationships/hyperlink" Target="http://www.wboc.com/story/28959278/police-investigating-officer-involved-shooting" TargetMode="External"/><Relationship Id="rId375" Type="http://schemas.openxmlformats.org/officeDocument/2006/relationships/hyperlink" Target="http://mugshots.com/search.html?q=alexia%20christian&amp;c=119250" TargetMode="External"/><Relationship Id="rId1050" Type="http://schemas.openxmlformats.org/officeDocument/2006/relationships/hyperlink" Target="http://abc7.com/news/suspect-holding-knife-killed-in-west-covina-officer-involved-shooting/828284/" TargetMode="External"/><Relationship Id="rId1051" Type="http://schemas.openxmlformats.org/officeDocument/2006/relationships/hyperlink" Target="http://www.mlive.com/news/detroit/index.ssf/2015/07/st_clair_shores_police_car_tur.html" TargetMode="External"/><Relationship Id="rId1052" Type="http://schemas.openxmlformats.org/officeDocument/2006/relationships/hyperlink" Target="http://www.wsoctv.com/news/news/local/sbi-investigating-deadly-officer-involved-shooting/nmt7Y/" TargetMode="External"/><Relationship Id="rId1053" Type="http://schemas.openxmlformats.org/officeDocument/2006/relationships/hyperlink" Target="http://www.nbcsandiego.com/news/local/Man-with-Knife-Shot-Killed-by-San-Diego-Police-Officer-Identified-311679131.html" TargetMode="External"/><Relationship Id="rId1054" Type="http://schemas.openxmlformats.org/officeDocument/2006/relationships/hyperlink" Target="http://www.ksdk.com/story/news/nation/2015/07/20/man-hogtied-police-death/30433375/" TargetMode="External"/><Relationship Id="rId1055" Type="http://schemas.openxmlformats.org/officeDocument/2006/relationships/hyperlink" Target="http://patch.com/new-jersey/lacey/toms-river-man-struck-killed-lacey-police-cruiser-0?" TargetMode="External"/><Relationship Id="rId1056" Type="http://schemas.openxmlformats.org/officeDocument/2006/relationships/hyperlink" Target="http://abc7.com/news/man-dies-of-heart-attack-while-in-montclair-police-custody/826399/" TargetMode="External"/><Relationship Id="rId1057" Type="http://schemas.openxmlformats.org/officeDocument/2006/relationships/hyperlink" Target="http://www.themonitor.com/news/local/authorities-armed-man-in-edinburg-standoff-killed-in-officer-involved/article_62b2b456-24f2-11e5-b79b-6b2f14f63dc2.html" TargetMode="External"/><Relationship Id="rId1058" Type="http://schemas.openxmlformats.org/officeDocument/2006/relationships/hyperlink" Target="http://www.appeal-democrat.com/news/brother-man-killed-by-deputies-never-aimed-gun/article_6837624e-2b6b-11e5-acd8-fbcbeffebfe0.html" TargetMode="External"/><Relationship Id="rId1059" Type="http://schemas.openxmlformats.org/officeDocument/2006/relationships/hyperlink" Target="http://www.mlive.com/news/grand-rapids/index.ssf/2015/07/no_reason_to_shoot_him_step-da.html" TargetMode="External"/><Relationship Id="rId376" Type="http://schemas.openxmlformats.org/officeDocument/2006/relationships/hyperlink" Target="http://www.ajc.com/news/news/shots-fired-in-downtown-atlanta/nk6jp/" TargetMode="External"/><Relationship Id="rId377" Type="http://schemas.openxmlformats.org/officeDocument/2006/relationships/hyperlink" Target="http://www.wsmv.com/story/28940658/police-investigating-shooting-in-south-nashville" TargetMode="External"/><Relationship Id="rId378" Type="http://schemas.openxmlformats.org/officeDocument/2006/relationships/hyperlink" Target="http://www.wsmv.com/story/28940658/police-investigating-shooting-in-south-nashville" TargetMode="External"/><Relationship Id="rId379" Type="http://schemas.openxmlformats.org/officeDocument/2006/relationships/hyperlink" Target="http://www.cbs8.com/story/28940667/homicide-detectives-on-scene-after-officer-involved-shooting-in-midway" TargetMode="External"/><Relationship Id="rId820" Type="http://schemas.openxmlformats.org/officeDocument/2006/relationships/hyperlink" Target="http://www.muskogeephoenix.com/news/man-dead-after-cherokee-county-deputy-forced-to-shoot-him/article_3f61699f-87c3-5576-ac6c-47ec84673edb.html" TargetMode="External"/><Relationship Id="rId821" Type="http://schemas.openxmlformats.org/officeDocument/2006/relationships/hyperlink" Target="http://www.click2houston.com/news/breaking-3-shot-in-northwest-harris-county-life-flight-on-scene/36144374" TargetMode="External"/><Relationship Id="rId822" Type="http://schemas.openxmlformats.org/officeDocument/2006/relationships/hyperlink" Target="http://www.killedbypolice.net/victims/150990.jpg" TargetMode="External"/><Relationship Id="rId823" Type="http://schemas.openxmlformats.org/officeDocument/2006/relationships/hyperlink" Target="http://www.killedbypolice.net/victims/150988.jpg" TargetMode="External"/><Relationship Id="rId824" Type="http://schemas.openxmlformats.org/officeDocument/2006/relationships/hyperlink" Target="http://www.killedbypolice.net/victims/150986.jpg" TargetMode="External"/><Relationship Id="rId825" Type="http://schemas.openxmlformats.org/officeDocument/2006/relationships/hyperlink" Target="http://www.kgw.com/story/news/local/2015/10/29/police-chase-hwy-26-ends-crash-man-hospitalized/74787522/" TargetMode="External"/><Relationship Id="rId826" Type="http://schemas.openxmlformats.org/officeDocument/2006/relationships/hyperlink" Target="http://www.killedbypolice.net/victims/150985.jpg" TargetMode="External"/><Relationship Id="rId827" Type="http://schemas.openxmlformats.org/officeDocument/2006/relationships/hyperlink" Target="http://www.statesmanjournal.com/story/news/crime/2015/10/28/-5-southbound-traffic-detourced-kuebler/74775822/" TargetMode="External"/><Relationship Id="rId828" Type="http://schemas.openxmlformats.org/officeDocument/2006/relationships/hyperlink" Target="http://www.killedbypolice.net/victims/150984.jpg" TargetMode="External"/><Relationship Id="rId829" Type="http://schemas.openxmlformats.org/officeDocument/2006/relationships/hyperlink" Target="http://www.killedbypolice.net/victims/150983.jpg" TargetMode="External"/><Relationship Id="rId500" Type="http://schemas.openxmlformats.org/officeDocument/2006/relationships/hyperlink" Target="http://alaska-native-news.com/inmate-dies-intake-anchorage-correctional-complex-15705" TargetMode="External"/><Relationship Id="rId501" Type="http://schemas.openxmlformats.org/officeDocument/2006/relationships/hyperlink" Target="http://www.statesman.com/news/news/local/officer-involved-shooting-being-investigated/njtpW/" TargetMode="External"/><Relationship Id="rId502" Type="http://schemas.openxmlformats.org/officeDocument/2006/relationships/hyperlink" Target="http://abc7news.com/news/fremont-police-investigate-fatal-officer-involved-shooting-/478614/" TargetMode="External"/><Relationship Id="rId503" Type="http://schemas.openxmlformats.org/officeDocument/2006/relationships/hyperlink" Target="http://kfor.com/2015/01/17/update-on-off-duty-officer-shooting-at-garth-brooks-concert-in-tulsa/" TargetMode="External"/><Relationship Id="rId504" Type="http://schemas.openxmlformats.org/officeDocument/2006/relationships/hyperlink" Target="http://theadvocate.com/news/11346884-123/evangeline-parish-man-shot-killed" TargetMode="External"/><Relationship Id="rId505" Type="http://schemas.openxmlformats.org/officeDocument/2006/relationships/hyperlink" Target="http://www.greenfieldreporter.com/view/story/f769fa01fc134dab9ebc78994015adf8/AR--Fatal-Pharmacy-Robbery" TargetMode="External"/><Relationship Id="rId506" Type="http://schemas.openxmlformats.org/officeDocument/2006/relationships/hyperlink" Target="http://www.omaha.com/news/crime/autopsy-results-to-be-released-soon-in-case-of-man/article_57e6f9c6-981e-11e4-84ef-dfff4d2c6e13.html" TargetMode="External"/><Relationship Id="rId507" Type="http://schemas.openxmlformats.org/officeDocument/2006/relationships/hyperlink" Target="http://www.latimes.com/local/lanow/la-me-ln-taser-death-20150107-story.html" TargetMode="External"/><Relationship Id="rId508" Type="http://schemas.openxmlformats.org/officeDocument/2006/relationships/hyperlink" Target="http://www.washingtonpost.com/news/the-watch/wp/2015/01/09/iowa-cop-reportedly-tries-to-shoot-dog-kills-woman-instead/" TargetMode="External"/><Relationship Id="rId509" Type="http://schemas.openxmlformats.org/officeDocument/2006/relationships/hyperlink" Target="http://pickens.fetchyournews.com/archives/5043-UPDATED-Authorities-Confirm-Suspect-Has-Died,-Domestic-Call-Ends-in-Gun-Fire.html" TargetMode="External"/><Relationship Id="rId1380" Type="http://schemas.openxmlformats.org/officeDocument/2006/relationships/hyperlink" Target="http://crimeblog.dallasnews.com/2015/10/gunman-killed-by-police-after-overnight-chase-standoff-in-mesquite.html/" TargetMode="External"/><Relationship Id="rId1381" Type="http://schemas.openxmlformats.org/officeDocument/2006/relationships/hyperlink" Target="http://www.denverpost.com/news/ci_29052366/shooting-reported-near-downtown-colorado-springs" TargetMode="External"/><Relationship Id="rId1382" Type="http://schemas.openxmlformats.org/officeDocument/2006/relationships/hyperlink" Target="http://www.wsmv.com/story/30397967/father-of-officer-shooting-suspect-speaks-out" TargetMode="External"/><Relationship Id="rId1383" Type="http://schemas.openxmlformats.org/officeDocument/2006/relationships/hyperlink" Target="http://www.heraldstandard.com/news/hsnewsnow/woman-injured-in-bute-road-police-pursuit-has-died/article_d2b0eb60-ca0c-5a25-9600-76e7263fa5db.html" TargetMode="External"/><Relationship Id="rId1384" Type="http://schemas.openxmlformats.org/officeDocument/2006/relationships/hyperlink" Target="http://extras.mnginteractive.com/live/media/site568/2015/0903/20150903__bettertyree~1_200.JPG" TargetMode="External"/><Relationship Id="rId1385" Type="http://schemas.openxmlformats.org/officeDocument/2006/relationships/hyperlink" Target="http://www.mercurynews.com/bay-area-news/ci_28758811/san-jose-jail-death-new-details-from-inmates" TargetMode="External"/><Relationship Id="rId1386" Type="http://schemas.openxmlformats.org/officeDocument/2006/relationships/hyperlink" Target="http://www.killedbypolice.net/victims/150755.jpg" TargetMode="External"/><Relationship Id="rId1387" Type="http://schemas.openxmlformats.org/officeDocument/2006/relationships/hyperlink" Target="https://djournal.com/news/man-dies-after-police-chase-2/" TargetMode="External"/><Relationship Id="rId1388" Type="http://schemas.openxmlformats.org/officeDocument/2006/relationships/hyperlink" Target="http://www.killedbypolice.net/victims/150896.jpg" TargetMode="External"/><Relationship Id="rId1389" Type="http://schemas.openxmlformats.org/officeDocument/2006/relationships/hyperlink" Target="http://www.kristv.com/story/30147782/texas-rangers-investigating-aransas-co-death" TargetMode="External"/><Relationship Id="rId380" Type="http://schemas.openxmlformats.org/officeDocument/2006/relationships/hyperlink" Target="http://wtvr.com/2015/04/30/greensville-county-sheriff-shooting/" TargetMode="External"/><Relationship Id="rId381" Type="http://schemas.openxmlformats.org/officeDocument/2006/relationships/hyperlink" Target="http://www.13newsnow.com/story/news/local/virginia/2015/04/30/greensville-co-man-killed-in-officer-involved-shooting/26633591/" TargetMode="External"/><Relationship Id="rId382" Type="http://schemas.openxmlformats.org/officeDocument/2006/relationships/hyperlink" Target="http://www.azcentral.com/story/news/local/mesa/2015/04/29/mesa-police-officer-involved-fatal-shooting-abrk/26610825/" TargetMode="External"/><Relationship Id="rId383" Type="http://schemas.openxmlformats.org/officeDocument/2006/relationships/hyperlink" Target="http://www.elpasotimes.com/news/ci_28023272/el-paso-police-officer-shot-and-killed-burglary" TargetMode="External"/><Relationship Id="rId384" Type="http://schemas.openxmlformats.org/officeDocument/2006/relationships/hyperlink" Target="http://kfor.com/2015/04/29/oklahoma-police-officer-involved-in-fatal-shooting/" TargetMode="External"/><Relationship Id="rId385" Type="http://schemas.openxmlformats.org/officeDocument/2006/relationships/hyperlink" Target="http://www.sacbee.com/news/local/crime/article19860156.html" TargetMode="External"/><Relationship Id="rId1060" Type="http://schemas.openxmlformats.org/officeDocument/2006/relationships/hyperlink" Target="https://www.bostonglobe.com/metro/2015/07/14/roxbury-man-identified-person-fatally-shot-lynn-police-officer-during-drug-investigation/HluhRMJJeFBqMqtUt3gNWP/story.html" TargetMode="External"/><Relationship Id="rId1061" Type="http://schemas.openxmlformats.org/officeDocument/2006/relationships/hyperlink" Target="http://www.citizen-times.com/story/news/crime/2015/07/14/sbi-investigating-custody-death-henderson-jail/30124137/" TargetMode="External"/><Relationship Id="rId1062" Type="http://schemas.openxmlformats.org/officeDocument/2006/relationships/hyperlink" Target="http://www.nbclosangeles.com/news/local/Fatal-Deputy-Involved-Shooting-in-Moreno-Valley-315985111.html" TargetMode="External"/><Relationship Id="rId1063" Type="http://schemas.openxmlformats.org/officeDocument/2006/relationships/hyperlink" Target="http://www.dnainfo.com/chicago/20150911/brighton-park/man-died-police-custody-due-drugs-physical-restraint-morgue" TargetMode="External"/><Relationship Id="rId1064" Type="http://schemas.openxmlformats.org/officeDocument/2006/relationships/hyperlink" Target="http://theadvocate.com/news/acadiana/13044082-123/shooting-in-baton-rouge-may" TargetMode="External"/><Relationship Id="rId1065" Type="http://schemas.openxmlformats.org/officeDocument/2006/relationships/hyperlink" Target="http://www.kansascity.com/news/local/crime/article27006070.html" TargetMode="External"/><Relationship Id="rId386" Type="http://schemas.openxmlformats.org/officeDocument/2006/relationships/hyperlink" Target="http://www.wwltv.com/story/news/crime/2015/04/28/nopd-on-scene-of-officer-needing-assistance/26555847/" TargetMode="External"/><Relationship Id="rId387" Type="http://schemas.openxmlformats.org/officeDocument/2006/relationships/hyperlink" Target="http://www.kfvs12.com/story/28915534/1-dead-after-standoff-in-marion" TargetMode="External"/><Relationship Id="rId388" Type="http://schemas.openxmlformats.org/officeDocument/2006/relationships/hyperlink" Target="http://www.kfvs12.com/story/28915534/1-dead-after-standoff-in-marion" TargetMode="External"/><Relationship Id="rId389" Type="http://schemas.openxmlformats.org/officeDocument/2006/relationships/hyperlink" Target="http://www.mansfieldnewsjournal.com/story/news/local/2015/04/27/mansfield-police-scene-standoff/26457727/" TargetMode="External"/><Relationship Id="rId1066" Type="http://schemas.openxmlformats.org/officeDocument/2006/relationships/hyperlink" Target="http://articles.philly.com/2015-07-06/news/64115122_1_dispatchers-county-force-camden-county-police-department" TargetMode="External"/><Relationship Id="rId1067" Type="http://schemas.openxmlformats.org/officeDocument/2006/relationships/hyperlink" Target="http://www.kansas.com/news/local/crime/r08yss/picture32105475/ALTERNATES/FREE_320/Nicholas%20Garner%201" TargetMode="External"/><Relationship Id="rId1068"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1069" Type="http://schemas.openxmlformats.org/officeDocument/2006/relationships/hyperlink" Target="https://tacomastories.files.wordpress.com/2015/08/jasongalaviz.jpg?w=300&amp;h=300" TargetMode="External"/><Relationship Id="rId830" Type="http://schemas.openxmlformats.org/officeDocument/2006/relationships/hyperlink" Target="http://www.killedbypolice.net/victims/150982.jpg" TargetMode="External"/><Relationship Id="rId831" Type="http://schemas.openxmlformats.org/officeDocument/2006/relationships/hyperlink" Target="http://www.killedbypolice.net/victims/150981.jpg" TargetMode="External"/><Relationship Id="rId832" Type="http://schemas.openxmlformats.org/officeDocument/2006/relationships/hyperlink" Target="http://www.killedbypolice.net/victims/150979.jpg" TargetMode="External"/><Relationship Id="rId833" Type="http://schemas.openxmlformats.org/officeDocument/2006/relationships/hyperlink" Target="http://www.killedbypolice.net/victims/150977.jpg" TargetMode="External"/><Relationship Id="rId834" Type="http://schemas.openxmlformats.org/officeDocument/2006/relationships/hyperlink" Target="http://www.killedbypolice.net/victims/150976.jpg" TargetMode="External"/><Relationship Id="rId835" Type="http://schemas.openxmlformats.org/officeDocument/2006/relationships/hyperlink" Target="http://6abc.com/news/police-suspect-dead-after-assaulting-septa-officer-in-kensington/1051327/" TargetMode="External"/><Relationship Id="rId836" Type="http://schemas.openxmlformats.org/officeDocument/2006/relationships/hyperlink" Target="http://www.killedbypolice.net/victims/150975.jpg" TargetMode="External"/><Relationship Id="rId837" Type="http://schemas.openxmlformats.org/officeDocument/2006/relationships/hyperlink" Target="http://www.killedbypolice.net/victims/150972.jpg" TargetMode="External"/><Relationship Id="rId838" Type="http://schemas.openxmlformats.org/officeDocument/2006/relationships/hyperlink" Target="http://www.killedbypolice.net/victims/150971.jpg" TargetMode="External"/><Relationship Id="rId839" Type="http://schemas.openxmlformats.org/officeDocument/2006/relationships/hyperlink" Target="http://www.zanesvilletimesrecorder.com/story/news/crime/2015/10/25/sheriff-one-dead-officer-involved-shooting/74581242/" TargetMode="External"/><Relationship Id="rId510" Type="http://schemas.openxmlformats.org/officeDocument/2006/relationships/hyperlink" Target="http://www.miamiherald.com/news/local/community/florida-keys/tfsh2c/picture5621952/ALTERNATES/FREE_960/Roberto.jpg" TargetMode="External"/><Relationship Id="rId511" Type="http://schemas.openxmlformats.org/officeDocument/2006/relationships/hyperlink" Target="http://www.miamiherald.com/news/local/community/florida-keys/article5621958.html" TargetMode="External"/><Relationship Id="rId512" Type="http://schemas.openxmlformats.org/officeDocument/2006/relationships/hyperlink" Target="http://i.guim.co.uk/static/w-620/h--/q-95/sys-images/Guardian/Pix/pictures/2015/2/12/1423748301468/7245d83a-eba5-4117-8f2b-584fc9f566e8-bestSizeAvailable.jpeg" TargetMode="External"/><Relationship Id="rId513" Type="http://schemas.openxmlformats.org/officeDocument/2006/relationships/hyperlink" Target="http://www.alternet.org/news-amp-politics/kevin-davis-called-cops-help-out-friend-trouble-and-was-shot-death-police-his" TargetMode="External"/><Relationship Id="rId514" Type="http://schemas.openxmlformats.org/officeDocument/2006/relationships/hyperlink" Target="http://www.miamiherald.com/news/local/crime/2xyin4/picture5303859/ALTERNATES/FREE_960/Eric%20Tyrone%20Forbes.jpg" TargetMode="External"/><Relationship Id="rId515" Type="http://schemas.openxmlformats.org/officeDocument/2006/relationships/hyperlink" Target="http://www.local10.com/news/1-dead-in-new-years-eve-policeinvolved-shooting-in-miami/30477214" TargetMode="External"/><Relationship Id="rId516" Type="http://schemas.openxmlformats.org/officeDocument/2006/relationships/hyperlink" Target="http://www.presstelegram.com/general-news/20150101/armed-woman-killed-in-compton-deputy-involved-shooting" TargetMode="External"/><Relationship Id="rId517" Type="http://schemas.openxmlformats.org/officeDocument/2006/relationships/hyperlink" Target="http://6abc.com/news/sources-suspect-shot-killed-by-police-in-drexel-hill/455767/" TargetMode="External"/><Relationship Id="rId518" Type="http://schemas.openxmlformats.org/officeDocument/2006/relationships/hyperlink" Target="http://www.firstcoastnews.com/story/news/local/2014/12/29/st-johns-county-armed-suspect-killed/21031459/" TargetMode="External"/><Relationship Id="rId519" Type="http://schemas.openxmlformats.org/officeDocument/2006/relationships/hyperlink" Target="http://www.chicoer.com/general-news/20141229/man-shot-killed-by-sheriffs-deputy-in-paradise" TargetMode="External"/><Relationship Id="rId1390" Type="http://schemas.openxmlformats.org/officeDocument/2006/relationships/hyperlink" Target="http://www.mercurynews.com/crime-courts/ci_28894656/san-jose-latest-inmate-jail-death-sparks-internal" TargetMode="External"/><Relationship Id="rId1391" Type="http://schemas.openxmlformats.org/officeDocument/2006/relationships/hyperlink" Target="http://www.fresnobee.com/news/local/crime/article37140321.html" TargetMode="External"/><Relationship Id="rId1392" Type="http://schemas.openxmlformats.org/officeDocument/2006/relationships/hyperlink" Target="http://www.redding.com/news/local-news/happy-valley-road-closing-in-search-for-armed-suspect" TargetMode="External"/><Relationship Id="rId1393" Type="http://schemas.openxmlformats.org/officeDocument/2006/relationships/hyperlink" Target="http://www.killedbypolice.net/victims/150924.jpg" TargetMode="External"/><Relationship Id="rId1394" Type="http://schemas.openxmlformats.org/officeDocument/2006/relationships/hyperlink" Target="http://www.abc-7.com/story/30262286/ccso-suspect-dies-after-deputy-involved-shooting" TargetMode="External"/><Relationship Id="rId1395" Type="http://schemas.openxmlformats.org/officeDocument/2006/relationships/hyperlink" Target="http://www.presleyflukerfunerals.com/storage/Dukes-Gerald.jpg?__SQUARESPACE_CACHEVERSION=1434663870356" TargetMode="External"/><Relationship Id="rId1396" Type="http://schemas.openxmlformats.org/officeDocument/2006/relationships/hyperlink" Target="http://whnt.com/2015/06/04/man-dies-in-crash-during-chase-with-falkville-police-officer/" TargetMode="External"/><Relationship Id="rId1397" Type="http://schemas.openxmlformats.org/officeDocument/2006/relationships/hyperlink" Target="http://wlbt.images.worldnow.com/images/7660774_G.jpg" TargetMode="External"/><Relationship Id="rId1398" Type="http://schemas.openxmlformats.org/officeDocument/2006/relationships/hyperlink" Target="http://www.wapt.com/news/family-seeks-answers-after-loved-one-dies-in-crash/32806478" TargetMode="External"/><Relationship Id="rId1399" Type="http://schemas.openxmlformats.org/officeDocument/2006/relationships/hyperlink" Target="http://www.fatalencounters.org/wp-content/uploads/2013/10/BryanOverstreet.png" TargetMode="External"/><Relationship Id="rId390" Type="http://schemas.openxmlformats.org/officeDocument/2006/relationships/hyperlink" Target="http://www.mansfieldnewsjournal.com/story/news/local/2015/04/27/mansfield-police-scene-standoff/26457727/" TargetMode="External"/><Relationship Id="rId391" Type="http://schemas.openxmlformats.org/officeDocument/2006/relationships/hyperlink" Target="http://america.aljazeera.com/articles/2015/4/29/terrance-kellom-shot-dead-in-detroit-by-ice-agent.html" TargetMode="External"/><Relationship Id="rId392" Type="http://schemas.openxmlformats.org/officeDocument/2006/relationships/hyperlink" Target="http://abc7.com/news/burglary-suspect-killed-in-officer-involved-shooting-in-fountain-valley/682399/" TargetMode="External"/><Relationship Id="rId393" Type="http://schemas.openxmlformats.org/officeDocument/2006/relationships/hyperlink" Target="http://www.guns.com/2015/04/30/game-warden-shoots-kills-man-who-tried-to-drown-him-after-checking-fishing-license/" TargetMode="External"/><Relationship Id="rId394" Type="http://schemas.openxmlformats.org/officeDocument/2006/relationships/hyperlink" Target="https://www.victoriaadvocate.com/news/2015/apr/27/parents-of-veteran-fatally-shot-by-police-seek-ans/" TargetMode="External"/><Relationship Id="rId395" Type="http://schemas.openxmlformats.org/officeDocument/2006/relationships/hyperlink" Target="https://www.victoriaadvocate.com/news/2015/apr/27/parents-of-veteran-fatally-shot-by-police-seek-ans/" TargetMode="External"/><Relationship Id="rId396" Type="http://schemas.openxmlformats.org/officeDocument/2006/relationships/hyperlink" Target="http://www.democracynow.org/2015/4/27/headlines/new_york_police_kill_mentally_ill_african_american_man" TargetMode="External"/><Relationship Id="rId397" Type="http://schemas.openxmlformats.org/officeDocument/2006/relationships/hyperlink" Target="http://www.nydailynews.com/new-york/cops-shoot-man-east-village-altercation-police-article-1.2198797" TargetMode="External"/><Relationship Id="rId398" Type="http://schemas.openxmlformats.org/officeDocument/2006/relationships/hyperlink" Target="http://www.wftv.com/news/news/local/1-fatally-shot-lake-county-deputy-involved-shootin/nk3ng/" TargetMode="External"/><Relationship Id="rId399" Type="http://schemas.openxmlformats.org/officeDocument/2006/relationships/hyperlink" Target="http://www.kktv.com/home/headlines/Deadly-Officer-Involved-Shooting-in-Trinidad-301252451.html" TargetMode="External"/><Relationship Id="rId1070" Type="http://schemas.openxmlformats.org/officeDocument/2006/relationships/hyperlink" Target="http://ak-cache.legacy.net/legacy/images/cobrands/dignitymemorial/photos/ecf6168a-835c-4498-a00e-86434b125335.jpgx?w=130&amp;h=180&amp;option=1&amp;v=0x000000003111f297" TargetMode="External"/><Relationship Id="rId1071" Type="http://schemas.openxmlformats.org/officeDocument/2006/relationships/hyperlink" Target="http://extras.mnginteractive.com/live/media/site568/2015/0807/20150807__ois~1.JPG" TargetMode="External"/><Relationship Id="rId1072" Type="http://schemas.openxmlformats.org/officeDocument/2006/relationships/hyperlink" Target="https://mgtvwric.files.wordpress.com/2015/08/frank-short.jpg" TargetMode="External"/><Relationship Id="rId1073" Type="http://schemas.openxmlformats.org/officeDocument/2006/relationships/hyperlink" Target="https://mgtvwhtm.files.wordpress.com/2015/08/55c248d06dc55-image.jpg?w=300" TargetMode="External"/><Relationship Id="rId1074" Type="http://schemas.openxmlformats.org/officeDocument/2006/relationships/hyperlink" Target="http://www.gannett-cdn.com/-mm-/4a642aabe5f985a52bba9ddf24c8c1b9c310561c/c=0-58-401-593&amp;r=537&amp;c=0-0-534-712/local/-/media/2015/08/03/Muncie/B9318324335Z.1_20150803220258_000_GL1BHGGFA.1-0.jpg" TargetMode="External"/><Relationship Id="rId1075" Type="http://schemas.openxmlformats.org/officeDocument/2006/relationships/hyperlink" Target="https://img.washingtonpost.com/wp-apps/imrs.php?src=https://img.washingtonpost.com/rf/image_908w/2010-2019/Wires/Images/2015-08-08/AP/Killings_by_Police-Football_Player-01655.jpg&amp;w=1484" TargetMode="External"/><Relationship Id="rId1076" Type="http://schemas.openxmlformats.org/officeDocument/2006/relationships/hyperlink" Target="https://cbsla.files.wordpress.com/2015/08/derrick_hunt.jpg?w=1280" TargetMode="External"/><Relationship Id="rId1077" Type="http://schemas.openxmlformats.org/officeDocument/2006/relationships/hyperlink" Target="http://www.mcleanfuneral.com/obituary/Jeffery-Clyde-Jeff-Wilkes/Gastonia-NC/1535971" TargetMode="External"/><Relationship Id="rId1078" Type="http://schemas.openxmlformats.org/officeDocument/2006/relationships/hyperlink" Target="http://khq.images.worldnow.com/images/8550850_G.jpg" TargetMode="External"/><Relationship Id="rId1079" Type="http://schemas.openxmlformats.org/officeDocument/2006/relationships/hyperlink" Target="http://www.postandcourier.com/storyimage/CP/20150810/PC16/150819946/EP/1/1/EP-150819946.jpg&amp;MaxW=520&amp;q=85" TargetMode="External"/><Relationship Id="rId840" Type="http://schemas.openxmlformats.org/officeDocument/2006/relationships/hyperlink" Target="http://www.killedbypolice.net/victims/150970.jpg" TargetMode="External"/><Relationship Id="rId841" Type="http://schemas.openxmlformats.org/officeDocument/2006/relationships/hyperlink" Target="http://www.11alive.com/story/news/local/2015/10/24/two-deputies-shot-pickens-county/74569260/" TargetMode="External"/><Relationship Id="rId842" Type="http://schemas.openxmlformats.org/officeDocument/2006/relationships/hyperlink" Target="http://www.killedbypolice.net/victims/150969.jpg" TargetMode="External"/><Relationship Id="rId843" Type="http://schemas.openxmlformats.org/officeDocument/2006/relationships/hyperlink" Target="http://www.pe.com/articles/riverside-784400-officers-stop.html" TargetMode="External"/><Relationship Id="rId844" Type="http://schemas.openxmlformats.org/officeDocument/2006/relationships/hyperlink" Target="http://www.killedbypolice.net/victims/150968.jpg" TargetMode="External"/><Relationship Id="rId845" Type="http://schemas.openxmlformats.org/officeDocument/2006/relationships/hyperlink" Target="http://www.killedbypolice.net/victims/150967.jpg" TargetMode="External"/><Relationship Id="rId846" Type="http://schemas.openxmlformats.org/officeDocument/2006/relationships/hyperlink" Target="http://www.wesh.com/news/fhp-investigating-fatal-crash-in-casselberry/36003338" TargetMode="External"/><Relationship Id="rId847" Type="http://schemas.openxmlformats.org/officeDocument/2006/relationships/hyperlink" Target="http://www.killedbypolice.net/victims/150965.jpg" TargetMode="External"/><Relationship Id="rId848" Type="http://schemas.openxmlformats.org/officeDocument/2006/relationships/hyperlink" Target="http://www.killedbypolice.net/victims/150964.jpg" TargetMode="External"/><Relationship Id="rId849" Type="http://schemas.openxmlformats.org/officeDocument/2006/relationships/hyperlink" Target="http://www.killedbypolice.net/victims/150963.jpg" TargetMode="External"/><Relationship Id="rId520"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521" Type="http://schemas.openxmlformats.org/officeDocument/2006/relationships/hyperlink" Target="http://www.actionnewsjax.com/news/news/local/swat-called-out-fort-caroline-area/njbtC/" TargetMode="External"/><Relationship Id="rId522" Type="http://schemas.openxmlformats.org/officeDocument/2006/relationships/hyperlink" Target="http://www.al.com/news/birmingham/index.ssf/2014/12/51-year-old_man_shot_to_death.html" TargetMode="External"/><Relationship Id="rId523" Type="http://schemas.openxmlformats.org/officeDocument/2006/relationships/hyperlink" Target="http://www.wesh.com/image/view/-/30418970/medRes/2/-/maxh/220/maxw/220/-/o2mpgg/-/Quinten-Jamal-Smith-jpg.jpg" TargetMode="External"/><Relationship Id="rId524" Type="http://schemas.openxmlformats.org/officeDocument/2006/relationships/hyperlink" Target="http://www.wesh.com/news/sheriff-brevard-deputy-fatally-shoots-armed-wanted-man/30415088" TargetMode="External"/><Relationship Id="rId525" Type="http://schemas.openxmlformats.org/officeDocument/2006/relationships/hyperlink" Target="http://ww3.hdnux.com/photos/33/73/31/7321166/3/622x350.jpg" TargetMode="External"/><Relationship Id="rId526" Type="http://schemas.openxmlformats.org/officeDocument/2006/relationships/hyperlink" Target="http://www.kvue.com/story/news/state/2014/12/26/police-shoot-kill-man-firing-gun-in-texas-city-parking-lot/20907475/" TargetMode="External"/><Relationship Id="rId527" Type="http://schemas.openxmlformats.org/officeDocument/2006/relationships/hyperlink" Target="http://www.19actionnews.com/story/27709268/bedford-resident-shot-and-killed-during-confrontation-with-police" TargetMode="External"/><Relationship Id="rId528" Type="http://schemas.openxmlformats.org/officeDocument/2006/relationships/hyperlink" Target="http://www.oregonlive.com/portland/index.ssf/2014/12/man_dies_after_officer-involve.html" TargetMode="External"/><Relationship Id="rId529" Type="http://schemas.openxmlformats.org/officeDocument/2006/relationships/hyperlink" Target="http://pickens.fetchyournews.com/archives/5043-UPDATED-Authorities-Confirm-Suspect-Has-Died,-Domestic-Call-Ends-in-Gun-Fire.html" TargetMode="External"/><Relationship Id="rId1200" Type="http://schemas.openxmlformats.org/officeDocument/2006/relationships/hyperlink" Target="http://www.nydailynews.com/new-york/bystander-dies-hit-nypd-bullets-article-1.2341345" TargetMode="External"/><Relationship Id="rId1201" Type="http://schemas.openxmlformats.org/officeDocument/2006/relationships/hyperlink" Target="http://www.nbcnews.com/news/us-news/gilbert-flores-shooting-bexar-county-deputies-near-san-antonio-sparks-n420061" TargetMode="External"/><Relationship Id="rId1202" Type="http://schemas.openxmlformats.org/officeDocument/2006/relationships/hyperlink" Target="http://www.nbcsandiego.com/news/local/Robert-Hober-Eric-Oberndorfer-Fatal-Officer-Involved-Shooting-IDd-323528221.html" TargetMode="External"/><Relationship Id="rId1203" Type="http://schemas.openxmlformats.org/officeDocument/2006/relationships/hyperlink" Target="http://www.mysanantonio.com/news/local/article/Officer-involved-shooting-leaves-one-dead-on-6473238.php" TargetMode="External"/><Relationship Id="rId1204" Type="http://schemas.openxmlformats.org/officeDocument/2006/relationships/hyperlink" Target="http://www.deseretnews.com/article/865635615/Man-shot-killed-by-Spanish-Fork-police-officer-in-church-parking-lot.html?pg=all" TargetMode="External"/><Relationship Id="rId1205" Type="http://schemas.openxmlformats.org/officeDocument/2006/relationships/hyperlink" Target="http://www.dallasnews.com/news/metro/20150903-dallas-police-man-killed-by-officer-had-pellet-gun.ece" TargetMode="External"/><Relationship Id="rId1206" Type="http://schemas.openxmlformats.org/officeDocument/2006/relationships/hyperlink" Target="http://www.dailynews.com/general-news/20150901/man-fatally-shot-by-police-in-van-nuys-was-homeless-coroner-says" TargetMode="External"/><Relationship Id="rId1207" Type="http://schemas.openxmlformats.org/officeDocument/2006/relationships/hyperlink" Target="http://www.kansascity.com/news/local/article32618871.html" TargetMode="External"/><Relationship Id="rId1208" Type="http://schemas.openxmlformats.org/officeDocument/2006/relationships/hyperlink" Target="http://www.mercurynews.com/crime-courts/ci_28734820/oakland-police-release-name-suspect-officer-fatal-shooting" TargetMode="External"/><Relationship Id="rId1209" Type="http://schemas.openxmlformats.org/officeDocument/2006/relationships/hyperlink" Target="http://www.timesfreepress.com/news/local/story/2015/aug/27/police-highway-153-blocked-after-fatal-shooting-hixson/322021/" TargetMode="External"/><Relationship Id="rId200" Type="http://schemas.openxmlformats.org/officeDocument/2006/relationships/hyperlink" Target="http://www.chicagotribune.com/news/local/breaking/ct-alfontish-cockerham-shot-by-police-20150626-story.html" TargetMode="External"/><Relationship Id="rId201" Type="http://schemas.openxmlformats.org/officeDocument/2006/relationships/hyperlink" Target="http://theadvocate.com/news/12712188-123/father-at-a-loss-for" TargetMode="External"/><Relationship Id="rId202" Type="http://schemas.openxmlformats.org/officeDocument/2006/relationships/hyperlink" Target="http://ak-cache.legacy.net/legacy/images/cobrands/birmingham/Photos/photo_20150625_AL0069125_0_danteljelks2015_20150625.jpg?v=0x00000000308a6237" TargetMode="External"/><Relationship Id="rId203" Type="http://schemas.openxmlformats.org/officeDocument/2006/relationships/hyperlink" Target="http://www.tuscaloosanews.com/article/20150622/news/150629934?p=1&amp;tc=pg" TargetMode="External"/><Relationship Id="rId204"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205" Type="http://schemas.openxmlformats.org/officeDocument/2006/relationships/hyperlink" Target="http://www.cincinnati.com/story/news/2015/06/19/trepierre-hummons-past/29018599/" TargetMode="External"/><Relationship Id="rId206" Type="http://schemas.openxmlformats.org/officeDocument/2006/relationships/hyperlink" Target="http://www.necn.com/news/new-england/Sister-Speaks-Out-About-Police-Involved-Shooting-308721631.html" TargetMode="External"/><Relationship Id="rId207" Type="http://schemas.openxmlformats.org/officeDocument/2006/relationships/hyperlink" Target="http://www.greeleytribune.com/news/16932384-113/weld-district-attorney-releases-names-of-man-woman" TargetMode="External"/><Relationship Id="rId208" Type="http://schemas.openxmlformats.org/officeDocument/2006/relationships/hyperlink" Target="http://www.nydailynews.com/new-york/suspect-shot-killed-cops-stabbing-officer-police-article-1.2262745" TargetMode="External"/><Relationship Id="rId209" Type="http://schemas.openxmlformats.org/officeDocument/2006/relationships/hyperlink" Target="http://www.grandforksherald.com/news/region/3770087-family-alleged-police-shooting-victim-speaks-out" TargetMode="External"/><Relationship Id="rId1080" Type="http://schemas.openxmlformats.org/officeDocument/2006/relationships/hyperlink" Target="https://mgtvwnct.files.wordpress.com/2015/08/tsombe-clark.jpg" TargetMode="External"/><Relationship Id="rId1081"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1082" Type="http://schemas.openxmlformats.org/officeDocument/2006/relationships/hyperlink" Target="http://media.graytvinc.com/images/EricTompkins.jpg" TargetMode="External"/><Relationship Id="rId1083"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084" Type="http://schemas.openxmlformats.org/officeDocument/2006/relationships/hyperlink" Target="http://bloximages.chicago2.vip.townnews.com/wacotrib.com/content/tncms/assets/v3/editorial/4/82/48227766-7587-5e01-bab0-26e1b520923e/55cbc329cd5f0.image.jpg?resize=300%2C376" TargetMode="External"/><Relationship Id="rId1085" Type="http://schemas.openxmlformats.org/officeDocument/2006/relationships/hyperlink" Target="http://bloximages.newyork1.vip.townnews.com/oaoa.com/content/tncms/assets/v3/editorial/3/b1/3b1e4ae8-4132-11e5-bdc3-0b12b6b90913/55cbaf23977b2.image.jpg?resize=300%2C225" TargetMode="External"/><Relationship Id="rId1086" Type="http://schemas.openxmlformats.org/officeDocument/2006/relationships/hyperlink" Target="http://www.trbimg.com/img-55d2252a/turbine/hc-bolton-chase-update-0818-20150817-001/900/900x506" TargetMode="External"/><Relationship Id="rId1087" Type="http://schemas.openxmlformats.org/officeDocument/2006/relationships/hyperlink" Target="http://assets.dnainfo.com/generated/photo/2015/08/garland-tyree-1439558833.jpg/extralarge.jpg" TargetMode="External"/><Relationship Id="rId1088" Type="http://schemas.openxmlformats.org/officeDocument/2006/relationships/hyperlink" Target="http://www.fresnobee.com/news/local/crime/h2le4i/picture31453181/ALTERNATES/FREE_640/Allen%20Matthew%20Baker%20III" TargetMode="External"/><Relationship Id="rId1089" Type="http://schemas.openxmlformats.org/officeDocument/2006/relationships/hyperlink" Target="http://www.trbimg.com/img-55d0c66a/turbine/la-ashley-la0030492077-20150816/378/378x213" TargetMode="External"/><Relationship Id="rId850" Type="http://schemas.openxmlformats.org/officeDocument/2006/relationships/hyperlink" Target="http://www.kristv.com/story/30317738/man-dies-in-corpus-christi-pd-custody" TargetMode="External"/><Relationship Id="rId851" Type="http://schemas.openxmlformats.org/officeDocument/2006/relationships/hyperlink" Target="http://www.killedbypolice.net/victims/150960.jpg" TargetMode="External"/><Relationship Id="rId852" Type="http://schemas.openxmlformats.org/officeDocument/2006/relationships/hyperlink" Target="http://www.killedbypolice.net/victims/150959.jpg" TargetMode="External"/><Relationship Id="rId853" Type="http://schemas.openxmlformats.org/officeDocument/2006/relationships/hyperlink" Target="http://www.killedbypolice.net/victims/150958.jpg" TargetMode="External"/><Relationship Id="rId854" Type="http://schemas.openxmlformats.org/officeDocument/2006/relationships/hyperlink" Target="http://www.osagecountyonline.com/archives/18642" TargetMode="External"/><Relationship Id="rId855" Type="http://schemas.openxmlformats.org/officeDocument/2006/relationships/hyperlink" Target="http://www.killedbypolice.net/victims/150957.jpg" TargetMode="External"/><Relationship Id="rId856" Type="http://schemas.openxmlformats.org/officeDocument/2006/relationships/hyperlink" Target="http://www.killedbypolice.net/victims/150956.jpg" TargetMode="External"/><Relationship Id="rId857" Type="http://schemas.openxmlformats.org/officeDocument/2006/relationships/hyperlink" Target="http://www.killedbypolice.net/victims/150955.jpg" TargetMode="External"/><Relationship Id="rId858" Type="http://schemas.openxmlformats.org/officeDocument/2006/relationships/hyperlink" Target="http://krqe.com/2015/10/20/police-officer-involved-in-shooting-at-elephant-butte/" TargetMode="External"/><Relationship Id="rId859" Type="http://schemas.openxmlformats.org/officeDocument/2006/relationships/hyperlink" Target="http://www.killedbypolice.net/victims/150954.jpg" TargetMode="External"/><Relationship Id="rId530" Type="http://schemas.openxmlformats.org/officeDocument/2006/relationships/hyperlink" Target="http://www.huffingtonpost.com/2014/12/24/antonio-martin-police-shooting_n_6376210.html" TargetMode="External"/><Relationship Id="rId531" Type="http://schemas.openxmlformats.org/officeDocument/2006/relationships/hyperlink" Target="http://www.valleynewslive.com/home/headlines/Man-Dead-in-Otter-Tail-Police-Chase-286635971.html" TargetMode="External"/><Relationship Id="rId532" Type="http://schemas.openxmlformats.org/officeDocument/2006/relationships/hyperlink" Target="http://www.doverpost.com/article/20141221/NEWS/141229971/13421/NEWS" TargetMode="External"/><Relationship Id="rId533" Type="http://schemas.openxmlformats.org/officeDocument/2006/relationships/hyperlink" Target="http://www.sacbee.com/news/local/crime/article4774815.html" TargetMode="External"/><Relationship Id="rId534" Type="http://schemas.openxmlformats.org/officeDocument/2006/relationships/hyperlink" Target="http://www.kpho.com/story/27660383/pd-phoenix-officer-involved-in-shooting" TargetMode="External"/><Relationship Id="rId535" Type="http://schemas.openxmlformats.org/officeDocument/2006/relationships/hyperlink" Target="http://www.wthr.com/story/27658447/police-pursuit-standoff-shuts-down-state-road-67-at-owen-morgan-county-line" TargetMode="External"/><Relationship Id="rId536" Type="http://schemas.openxmlformats.org/officeDocument/2006/relationships/hyperlink" Target="http://www.kirotv.com/news/news/deputy-involved-shooting-tacoma/njTnD/" TargetMode="External"/><Relationship Id="rId537" Type="http://schemas.openxmlformats.org/officeDocument/2006/relationships/hyperlink" Target="http://www.pnj.com/story/news/crime/2014/12/17/man-dies-two-weeks-tased/20545199/" TargetMode="External"/><Relationship Id="rId538" Type="http://schemas.openxmlformats.org/officeDocument/2006/relationships/hyperlink" Target="http://www.azcentral.com/story/news/local/phoenix/2014/12/17/phoenix-officer-shooting-teen-dies-abrk/20530475/" TargetMode="External"/><Relationship Id="rId539" Type="http://schemas.openxmlformats.org/officeDocument/2006/relationships/hyperlink" Target="http://www.muellersfuneralhomes.com/obituaries/Johnathon-Jd-Mar/Print/Wall" TargetMode="External"/><Relationship Id="rId1210" Type="http://schemas.openxmlformats.org/officeDocument/2006/relationships/hyperlink" Target="http://www.sltrib.com/home/2880568-155/police-west-jordan-man-dead-after" TargetMode="External"/><Relationship Id="rId1211" Type="http://schemas.openxmlformats.org/officeDocument/2006/relationships/hyperlink" Target="http://www.tennessean.com/story/news/local/hendersonville/2015/08/26/hendersonville-police-investigating-incident/32386959/" TargetMode="External"/><Relationship Id="rId1212" Type="http://schemas.openxmlformats.org/officeDocument/2006/relationships/hyperlink" Target="http://articles.philly.com/2015-08-27/news/65891377_1_county-courthouse-smith-deputy-sheriff-shot" TargetMode="External"/><Relationship Id="rId1213" Type="http://schemas.openxmlformats.org/officeDocument/2006/relationships/hyperlink" Target="http://www.miamiherald.com/news/local/crime/article32465772.html" TargetMode="External"/><Relationship Id="rId1214" Type="http://schemas.openxmlformats.org/officeDocument/2006/relationships/hyperlink" Target="http://www.santafenewmexican.com/news/high-speed-chase-ends-in-fatal-officer-involved-shooting/article_4c2bd7f0-4b29-11e5-bb0e-cbe70da6c311.html" TargetMode="External"/><Relationship Id="rId1215" Type="http://schemas.openxmlformats.org/officeDocument/2006/relationships/hyperlink" Target="http://www.azcentral.com/story/news/local/phoenix/breaking/2015/08/25/phoenix-pd-working-active-shooting-scene/32360753/" TargetMode="External"/><Relationship Id="rId1216" Type="http://schemas.openxmlformats.org/officeDocument/2006/relationships/hyperlink" Target="http://www.tampabay.com/news/publicsafety/crime/hillsborough-deputy-involved-in-shooting-one-suspect-wounded-deputy/2242748" TargetMode="External"/><Relationship Id="rId1217" Type="http://schemas.openxmlformats.org/officeDocument/2006/relationships/hyperlink" Target="http://www.scrippsmedia.com/ktnv/news/Man-shot-by-Las-Vegas-police-following-barricade-near-Buffalo-Alta-drives-322625862.html" TargetMode="External"/><Relationship Id="rId1218" Type="http://schemas.openxmlformats.org/officeDocument/2006/relationships/hyperlink" Target="http://www.bakersfieldnow.com/news/local/Family-demands-investigation-after-police-shooting-322761581.html" TargetMode="External"/><Relationship Id="rId1219" Type="http://schemas.openxmlformats.org/officeDocument/2006/relationships/hyperlink" Target="http://www.startribune.com/man-fatally-shot-by-itasca-county-deputy-is-id-d/322626551/" TargetMode="External"/><Relationship Id="rId210" Type="http://schemas.openxmlformats.org/officeDocument/2006/relationships/hyperlink" Target="http://www.montgomeryadvertiser.com/story/news/local/progress/2015/06/18/sbi-investigate-officer-involved-shooting/28954689/" TargetMode="External"/><Relationship Id="rId211" Type="http://schemas.openxmlformats.org/officeDocument/2006/relationships/hyperlink" Target="http://www.kob.com/article/stories/s3831288.shtml" TargetMode="External"/><Relationship Id="rId212" Type="http://schemas.openxmlformats.org/officeDocument/2006/relationships/hyperlink" Target="http://www.wptv.com/news/region-indian-river-county/drug-related-death-investigated-in-indian-river-county" TargetMode="External"/><Relationship Id="rId213" Type="http://schemas.openxmlformats.org/officeDocument/2006/relationships/hyperlink" Target="http://newyork.cbslocal.com/2015/06/17/neptune-police-officer-shooting/" TargetMode="External"/><Relationship Id="rId214" Type="http://schemas.openxmlformats.org/officeDocument/2006/relationships/hyperlink" Target="http://abc30.com/news/visalia-police-shoot-and-kill-man-shortly-after-arriving-at-vacant-business-complex/789315/" TargetMode="External"/><Relationship Id="rId215" Type="http://schemas.openxmlformats.org/officeDocument/2006/relationships/hyperlink" Target="http://www.kcra.com/image/view/-/33606430/medRes/1/-/maxh/460/maxw/620/-/xldfqjz/-/Kris-Jackson-061615-jpg.jpg" TargetMode="External"/><Relationship Id="rId216" Type="http://schemas.openxmlformats.org/officeDocument/2006/relationships/hyperlink" Target="http://www.kcra.com/news/local-news/news-sierra/officers-police-shoot-kill-man-at-tahoe-hacienda-inn/33590860" TargetMode="External"/><Relationship Id="rId217" Type="http://schemas.openxmlformats.org/officeDocument/2006/relationships/hyperlink" Target="https://tribfox40.files.wordpress.com/2015/06/kenneth-garcia.jpg" TargetMode="External"/><Relationship Id="rId218" Type="http://schemas.openxmlformats.org/officeDocument/2006/relationships/hyperlink" Target="http://www.kcra.com/news/local-news/news-stockton/stockton-police-investigate-officerinvolved-shooting-1-suspect-dead/33578792" TargetMode="External"/><Relationship Id="rId219" Type="http://schemas.openxmlformats.org/officeDocument/2006/relationships/hyperlink" Target="http://media.cmgdigital.com/shared/img/photos/2015/06/15/08/8a/Zane_Terryn.jpg" TargetMode="External"/><Relationship Id="rId1090" Type="http://schemas.openxmlformats.org/officeDocument/2006/relationships/hyperlink" Target="http://www.sgvtribune.com/apps/pbcsi.dll/storyimage/LC/20150819/NEWS/150819459/AR/0/AR-150819459.jpg&amp;maxh=400&amp;maxw=667" TargetMode="External"/><Relationship Id="rId1091" Type="http://schemas.openxmlformats.org/officeDocument/2006/relationships/hyperlink" Target="http://pbs.twimg.com/media/CMxQAW5VEAAvMJF.jpg" TargetMode="External"/><Relationship Id="rId1092" Type="http://schemas.openxmlformats.org/officeDocument/2006/relationships/hyperlink" Target="http://funds.gfmcdn.com/5696790_1439869229.992.jpg" TargetMode="External"/><Relationship Id="rId1093" Type="http://schemas.openxmlformats.org/officeDocument/2006/relationships/hyperlink" Target="https://blackopswiki.s3.amazonaws.com/uploads/article/avatar/367/large_avatar_frederick_roy.jpg" TargetMode="External"/><Relationship Id="rId1094" Type="http://schemas.openxmlformats.org/officeDocument/2006/relationships/hyperlink" Target="http://i.dailymail.co.uk/i/pix/2015/08/20/08/2B838CE700000578-3203849-image-a-8_1440056342444.jpg" TargetMode="External"/><Relationship Id="rId1095" Type="http://schemas.openxmlformats.org/officeDocument/2006/relationships/hyperlink" Target="http://whns.images.worldnow.com/images/8617596_G.jpg" TargetMode="External"/><Relationship Id="rId1096" Type="http://schemas.openxmlformats.org/officeDocument/2006/relationships/hyperlink" Target="http://bloximages.chicago2.vip.townnews.com/fredericksburg.com/content/tncms/assets/v3/editorial/c/6a/c6a518a6-4a8f-11e5-9867-e704cb5d9455/55db6586f3aca.image.jpg" TargetMode="External"/><Relationship Id="rId1097" Type="http://schemas.openxmlformats.org/officeDocument/2006/relationships/hyperlink" Target="https://lintvwivb.files.wordpress.com/2015/08/thaddeus-faison.jpg" TargetMode="External"/><Relationship Id="rId1098" Type="http://schemas.openxmlformats.org/officeDocument/2006/relationships/hyperlink" Target="https://localtvwhnt.files.wordpress.com/2015/08/christopher-tompkins.jpg?w=770" TargetMode="External"/><Relationship Id="rId1099"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860" Type="http://schemas.openxmlformats.org/officeDocument/2006/relationships/hyperlink" Target="http://www.killedbypolice.net/victims/150953.jpg" TargetMode="External"/><Relationship Id="rId861" Type="http://schemas.openxmlformats.org/officeDocument/2006/relationships/hyperlink" Target="http://www.killedbypolice.net/victims/150951.jpg" TargetMode="External"/><Relationship Id="rId862" Type="http://schemas.openxmlformats.org/officeDocument/2006/relationships/hyperlink" Target="http://www.krgv.com/news/local-news/man-in-police-custody-found-unresponsive-later-died/35917204" TargetMode="External"/><Relationship Id="rId863" Type="http://schemas.openxmlformats.org/officeDocument/2006/relationships/hyperlink" Target="http://www.killedbypolice.net/victims/150950.jpg" TargetMode="External"/><Relationship Id="rId864" Type="http://schemas.openxmlformats.org/officeDocument/2006/relationships/hyperlink" Target="http://www.killedbypolice.net/victims/150949.jpg" TargetMode="External"/><Relationship Id="rId865" Type="http://schemas.openxmlformats.org/officeDocument/2006/relationships/hyperlink" Target="http://www.startribune.com/Security-guard-fatally-shot-in-St.-Cloud-Hospital/333868281/" TargetMode="External"/><Relationship Id="rId866" Type="http://schemas.openxmlformats.org/officeDocument/2006/relationships/hyperlink" Target="http://www.killedbypolice.net/victims/150948.jpg" TargetMode="External"/><Relationship Id="rId867" Type="http://schemas.openxmlformats.org/officeDocument/2006/relationships/hyperlink" Target="http://www.killedbypolice.net/victims/150947.jpg" TargetMode="External"/><Relationship Id="rId868" Type="http://schemas.openxmlformats.org/officeDocument/2006/relationships/hyperlink" Target="http://www.killedbypolice.net/victims/150946.jpg" TargetMode="External"/><Relationship Id="rId869" Type="http://schemas.openxmlformats.org/officeDocument/2006/relationships/hyperlink" Target="http://www.killedbypolice.net/victims/150945.jpg" TargetMode="External"/><Relationship Id="rId540" Type="http://schemas.openxmlformats.org/officeDocument/2006/relationships/hyperlink" Target="http://www.ocregister.com/articles/mesa-645510-costa-warrants.html" TargetMode="External"/><Relationship Id="rId541" Type="http://schemas.openxmlformats.org/officeDocument/2006/relationships/hyperlink" Target="http://whotv.com/2014/12/17/marshalltown-police-critically-wound-armed-suspect-overnight/" TargetMode="External"/><Relationship Id="rId542" Type="http://schemas.openxmlformats.org/officeDocument/2006/relationships/hyperlink" Target="http://www.nbcphiladelphia.com/news/local/Mayfair-Police-Shooting-285796911.html" TargetMode="External"/><Relationship Id="rId543" Type="http://schemas.openxmlformats.org/officeDocument/2006/relationships/hyperlink" Target="http://www.tennessean.com/story/news/crime/2014/12/14/suspect-killed-officer-injured-south-nashville/20418519/" TargetMode="External"/><Relationship Id="rId544" Type="http://schemas.openxmlformats.org/officeDocument/2006/relationships/hyperlink" Target="http://www.arklatexhomepage.com/media/lib/186/8/4/d/84d8a85a-cc51-4371-b6d1-6a6fb81977f1/Story.jpg" TargetMode="External"/><Relationship Id="rId545" Type="http://schemas.openxmlformats.org/officeDocument/2006/relationships/hyperlink" Target="http://www.everythinglubbock.com/media/lib/197/b/e/9/be97488a-220f-42d4-a656-82afae53b037/Story.jpg" TargetMode="External"/><Relationship Id="rId546" Type="http://schemas.openxmlformats.org/officeDocument/2006/relationships/hyperlink" Target="http://www.newswest9.com/story/27643563/midland-police-identify-officer-killed-in-murder-suicide" TargetMode="External"/><Relationship Id="rId547" Type="http://schemas.openxmlformats.org/officeDocument/2006/relationships/hyperlink" Target="http://www.msnewsnow.com/story/27625936/madison-coroner-called-to-hwy-51-for-officer-involved-shooting" TargetMode="External"/><Relationship Id="rId548" Type="http://schemas.openxmlformats.org/officeDocument/2006/relationships/hyperlink" Target="http://www.wbir.com/story/news/local/sevierville-sevier/2014/12/13/spd-officer-shoots-kills-man-standoff/20349589/" TargetMode="External"/><Relationship Id="rId549" Type="http://schemas.openxmlformats.org/officeDocument/2006/relationships/hyperlink" Target="http://www.kktv.com/home/headlines/One-Man-Hospialized-After-Officer-Involved-Shooting-285508201.html" TargetMode="External"/><Relationship Id="rId1220" Type="http://schemas.openxmlformats.org/officeDocument/2006/relationships/hyperlink" Target="http://www.wral.com/police-wake-forest-man-charged-officers-with-knife-before-being-shot/14847812/" TargetMode="External"/><Relationship Id="rId1221" Type="http://schemas.openxmlformats.org/officeDocument/2006/relationships/hyperlink" Target="http://www.baltimoresun.com/news/maryland/bs-md-police-shooting-north-east-20150822-story.html" TargetMode="External"/><Relationship Id="rId1222" Type="http://schemas.openxmlformats.org/officeDocument/2006/relationships/hyperlink" Target="http://www.ifiberone.com/news/masoncounty/man-fatally-shot-by-mason-county-sheriff-s-deputy/article_3efae09e-4db8-11e5-a8f9-ff9b94dd2298.html" TargetMode="External"/><Relationship Id="rId1223" Type="http://schemas.openxmlformats.org/officeDocument/2006/relationships/hyperlink" Target="http://www.al.com/news/birmingham/index.ssf/2015/08/man_fatally_shot_by_tuscaloosa.html" TargetMode="External"/><Relationship Id="rId1224" Type="http://schemas.openxmlformats.org/officeDocument/2006/relationships/hyperlink" Target="http://www.dailybulletin.com/general-news/20150821/ontario-police-identify-teen-killed-in-officer-involved-shooting" TargetMode="External"/><Relationship Id="rId1225" Type="http://schemas.openxmlformats.org/officeDocument/2006/relationships/hyperlink" Target="http://www.thenewscenter.tv/home/headlines/new-details.html" TargetMode="External"/><Relationship Id="rId1226" Type="http://schemas.openxmlformats.org/officeDocument/2006/relationships/hyperlink" Target="http://www.freep.com/story/news/local/michigan/oakland/2015/08/20/police-chase-troy-bloomfield-hills-warren-absconder-shooting/32056645/" TargetMode="External"/><Relationship Id="rId1227" Type="http://schemas.openxmlformats.org/officeDocument/2006/relationships/hyperlink" Target="http://www.latimes.com/local/crime/la-me-san-jose-police-20150822-story.html" TargetMode="External"/><Relationship Id="rId1228" Type="http://schemas.openxmlformats.org/officeDocument/2006/relationships/hyperlink" Target="http://www.wusa9.com/story/news/local/maryland/2015/08/15/suspect-shot-police-after-struggle-over-officers-gun/31772861/" TargetMode="External"/><Relationship Id="rId1229" Type="http://schemas.openxmlformats.org/officeDocument/2006/relationships/hyperlink" Target="http://www.sfgate.com/bayarea/article/Calls-for-justice-at-vigil-for-man-killed-by-6445927.php" TargetMode="External"/><Relationship Id="rId220" Type="http://schemas.openxmlformats.org/officeDocument/2006/relationships/hyperlink" Target="http://www.wftv.com/news/news/local/trooper-teens-idd-brevard-county-shooting/nmdGr/" TargetMode="External"/><Relationship Id="rId221" Type="http://schemas.openxmlformats.org/officeDocument/2006/relationships/hyperlink" Target="http://whns.images.worldnow.com/images/8077680_G.jpg" TargetMode="External"/><Relationship Id="rId222" Type="http://schemas.openxmlformats.org/officeDocument/2006/relationships/hyperlink" Target="http://www.greenvilleonline.com/story/news/local/2015/06/14/moped-driver-killed-crash-greenville-county-deputy/71207792/" TargetMode="External"/><Relationship Id="rId223"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224" Type="http://schemas.openxmlformats.org/officeDocument/2006/relationships/hyperlink" Target="http://www.washingtonpost.com/news/morning-mix/wp/2015/06/14/new-video-shows-kentucky-police-officer-killing-flagpole-wielding-man/" TargetMode="External"/><Relationship Id="rId225" Type="http://schemas.openxmlformats.org/officeDocument/2006/relationships/hyperlink" Target="https://5f0ad1906cfcc43aa1e6-196c176a9165c4fb91294bcccfeafde1.ssl.cf1.rackcdn.com/b383b173-9988-4244-8538-f5128397eb44_profile.jpg" TargetMode="External"/><Relationship Id="rId226" Type="http://schemas.openxmlformats.org/officeDocument/2006/relationships/hyperlink" Target="http://www.wrdw.com/home/headlines/Shooting-on-Coulter-Drive-in-North-Augusta-307293011.html" TargetMode="External"/><Relationship Id="rId227" Type="http://schemas.openxmlformats.org/officeDocument/2006/relationships/hyperlink" Target="http://media.cmgdigital.com/shared/img/photos/2015/07/01/63/fb/jimmy_payne_alteredREV2.jpg" TargetMode="External"/><Relationship Id="rId228" Type="http://schemas.openxmlformats.org/officeDocument/2006/relationships/hyperlink" Target="http://www.whio.com/news/news/officer-on-leave-during-crash-investigation/nmjmX/" TargetMode="External"/><Relationship Id="rId229" Type="http://schemas.openxmlformats.org/officeDocument/2006/relationships/hyperlink" Target="http://www.dallasnews.com/incoming/20150613-james-lance-boulware-1-.jpg.ece/BINARY/James-Lance-Boulware+%281%29.jpg" TargetMode="External"/><Relationship Id="rId870" Type="http://schemas.openxmlformats.org/officeDocument/2006/relationships/hyperlink" Target="http://www.killedbypolice.net/victims/150944.jpg" TargetMode="External"/><Relationship Id="rId871" Type="http://schemas.openxmlformats.org/officeDocument/2006/relationships/hyperlink" Target="http://www.killedbypolice.net/victims/150943.jpg" TargetMode="External"/><Relationship Id="rId872" Type="http://schemas.openxmlformats.org/officeDocument/2006/relationships/hyperlink" Target="http://www.ajc.com/news/news/crime-law/gbi-murder-suspect-believed-killed-by-hall-county-/nn5PY/" TargetMode="External"/><Relationship Id="rId873" Type="http://schemas.openxmlformats.org/officeDocument/2006/relationships/hyperlink" Target="http://www.rgj.com/story/news/crime/2015/10/17/police-gardnerville-man-killed-mother-dies-hospital/74121444/" TargetMode="External"/><Relationship Id="rId874" Type="http://schemas.openxmlformats.org/officeDocument/2006/relationships/hyperlink" Target="http://www.houstonchronicle.com/news/houston-texas/houston/article/Police-fatally-shoot-man-barricaded-in-house-6575018.php" TargetMode="External"/><Relationship Id="rId875" Type="http://schemas.openxmlformats.org/officeDocument/2006/relationships/hyperlink" Target="http://www.killedbypolice.net/victims/150938.jpg" TargetMode="External"/><Relationship Id="rId876" Type="http://schemas.openxmlformats.org/officeDocument/2006/relationships/hyperlink" Target="http://ktla.com/2015/10/16/1-dead-3-injured-in-deputy-involved-crash-in-west-hollywood/" TargetMode="External"/><Relationship Id="rId877" Type="http://schemas.openxmlformats.org/officeDocument/2006/relationships/hyperlink" Target="http://www.killedbypolice.net/victims/150937.jpg" TargetMode="External"/><Relationship Id="rId878" Type="http://schemas.openxmlformats.org/officeDocument/2006/relationships/hyperlink" Target="http://www.killedbypolice.net/victims/150935.jpg" TargetMode="External"/><Relationship Id="rId879" Type="http://schemas.openxmlformats.org/officeDocument/2006/relationships/hyperlink" Target="http://www.davisenterprise.com/?p=602436&amp;preview_id=602436" TargetMode="External"/><Relationship Id="rId550" Type="http://schemas.openxmlformats.org/officeDocument/2006/relationships/hyperlink" Target="http://wvtm.membercenter.worldnow.com/story/27598792/1-dead-in-sanford-officer-involved-shooting" TargetMode="External"/><Relationship Id="rId551" Type="http://schemas.openxmlformats.org/officeDocument/2006/relationships/hyperlink" Target="http://abc7chicago.com/news/armed-man-84-fatally-shot-by-police-in-lake-station-ind/428887/" TargetMode="External"/><Relationship Id="rId552" Type="http://schemas.openxmlformats.org/officeDocument/2006/relationships/hyperlink" Target="http://www.lansingstatejournal.com/story/news/local/2014/12/08/shooting-lansing-township/20101031/" TargetMode="External"/><Relationship Id="rId553" Type="http://schemas.openxmlformats.org/officeDocument/2006/relationships/hyperlink" Target="http://www.mynews3.com/content/specials/crimetracker/story/One-dead-in-shooting-inside-Rio-casino-early-today/cN46O5Q68ky6b5gwzcAquQ.cspx" TargetMode="External"/><Relationship Id="rId554" Type="http://schemas.openxmlformats.org/officeDocument/2006/relationships/hyperlink" Target="http://ktla.com/2014/12/05/armed-man-shot-by-officers-near-hollywood-and-highland-lapd/" TargetMode="External"/><Relationship Id="rId555" Type="http://schemas.openxmlformats.org/officeDocument/2006/relationships/hyperlink" Target="http://wistv.images.worldnow.com/images/6145354_G.jpg" TargetMode="External"/><Relationship Id="rId556" Type="http://schemas.openxmlformats.org/officeDocument/2006/relationships/hyperlink" Target="http://www.wltx.com/story/news/local/2014/12/05/sled-investigating-officer-involved-shooting/19980013/" TargetMode="External"/><Relationship Id="rId557" Type="http://schemas.openxmlformats.org/officeDocument/2006/relationships/hyperlink" Target="http://www.thenewsstar.com/story/news/local/2014/12/23/officer-involved-shooting-named-separate-case/20814039/" TargetMode="External"/><Relationship Id="rId558" Type="http://schemas.openxmlformats.org/officeDocument/2006/relationships/hyperlink" Target="http://www.star-telegram.com/2014/12/03/6335890/fort-worth-police-fatally-shoot.html?rh=1" TargetMode="External"/><Relationship Id="rId559" Type="http://schemas.openxmlformats.org/officeDocument/2006/relationships/hyperlink" Target="https://encrypted-tbn1.gstatic.com/images?q=tbn:ANd9GcReseSA89ykdECqZfgRZGCtXTy03nbwQN7mgVVimHD6HxveTuXMkCVC4Q" TargetMode="External"/><Relationship Id="rId1230" Type="http://schemas.openxmlformats.org/officeDocument/2006/relationships/hyperlink" Target="http://www.cleveland19.com/story/29210147/cleveland-fugitive-reginald-marshall-killed-in-toledo-standoff" TargetMode="External"/><Relationship Id="rId1231" Type="http://schemas.openxmlformats.org/officeDocument/2006/relationships/hyperlink" Target="http://www.chicagotribune.com/news/local/breaking/ct-chicago-police-involved-shooting-20150829-story.html" TargetMode="External"/><Relationship Id="rId1232" Type="http://schemas.openxmlformats.org/officeDocument/2006/relationships/hyperlink" Target="http://www.kansascity.com/news/local/crime/article34741230.html" TargetMode="External"/><Relationship Id="rId1233" Type="http://schemas.openxmlformats.org/officeDocument/2006/relationships/hyperlink" Target="http://www.latimes.com/local/lanow/la-me-ln-san-diego-police-fatal-shooting-20150928-story.html" TargetMode="External"/><Relationship Id="rId1234" Type="http://schemas.openxmlformats.org/officeDocument/2006/relationships/hyperlink" Target="http://www.miamiherald.com/news/local/crime/article36802032.html" TargetMode="External"/><Relationship Id="rId1235" Type="http://schemas.openxmlformats.org/officeDocument/2006/relationships/hyperlink" Target="http://www.wrcbtv.com/story/30127734/suspect-dead-in-officer-involved-shooting-in-walker-county" TargetMode="External"/><Relationship Id="rId1236" Type="http://schemas.openxmlformats.org/officeDocument/2006/relationships/hyperlink" Target="http://abc7.com/news/woman-fatally-shot-by-lapd-in-south-los-angeles-identified/1006621/" TargetMode="External"/><Relationship Id="rId1237" Type="http://schemas.openxmlformats.org/officeDocument/2006/relationships/hyperlink" Target="http://www.dentonrc.com/local-news/local-news-headlines/20150928-ponder-officer-kills-man.ece" TargetMode="External"/><Relationship Id="rId1238" Type="http://schemas.openxmlformats.org/officeDocument/2006/relationships/hyperlink" Target="http://www.kob.com/article/stories/s3923423.shtml" TargetMode="External"/><Relationship Id="rId1239" Type="http://schemas.openxmlformats.org/officeDocument/2006/relationships/hyperlink" Target="http://theadvocate.com/news/acadiana/13551773-123/east-baton-rouge-deputies-investigating" TargetMode="External"/><Relationship Id="rId230" Type="http://schemas.openxmlformats.org/officeDocument/2006/relationships/hyperlink" Target="http://www.dallasnews.com/news/local-news/20150613-report-of-shots-fired-near-dallas-police-headquarters-prompts-chase.ece" TargetMode="External"/><Relationship Id="rId231" Type="http://schemas.openxmlformats.org/officeDocument/2006/relationships/hyperlink" Target="http://assets.mediaspanonline.com/prod/11889528/7206529_h400.jpg" TargetMode="External"/><Relationship Id="rId232" Type="http://schemas.openxmlformats.org/officeDocument/2006/relationships/hyperlink" Target="http://wane.com/2015/06/15/coroner-releases-identity-of-man-shot-by-officer/" TargetMode="External"/><Relationship Id="rId233" Type="http://schemas.openxmlformats.org/officeDocument/2006/relationships/hyperlink" Target="http://bloximages.chicago2.vip.townnews.com/kokomotribune.com/content/tncms/assets/v3/editorial/7/fc/7fcd4704-6af4-59a9-8f7e-42671ea7d7cd/557df996651c8.image.jpg?resize=300%2C400" TargetMode="External"/><Relationship Id="rId234" Type="http://schemas.openxmlformats.org/officeDocument/2006/relationships/hyperlink" Target="http://www.kokomotribune.com/news/update-name-of-officer-involved-in-shooting-released/article_fac3c076-121b-11e5-91a2-63f77d795bb0.html" TargetMode="External"/><Relationship Id="rId235" Type="http://schemas.openxmlformats.org/officeDocument/2006/relationships/hyperlink" Target="http://wvns.images.worldnow.com/images/8063652_G.jpg" TargetMode="External"/><Relationship Id="rId236" Type="http://schemas.openxmlformats.org/officeDocument/2006/relationships/hyperlink" Target="http://www.wowktv.com/story/29310449/inmate-death-reported-at-mount-olive-prison-in-fayette-county" TargetMode="External"/><Relationship Id="rId237" Type="http://schemas.openxmlformats.org/officeDocument/2006/relationships/hyperlink" Target="http://www.trbimg.com/img-557a9e9e/turbine/fl-pompano-beach-fatal-shoot-bso-20150611-003/550/550x309" TargetMode="External"/><Relationship Id="rId238" Type="http://schemas.openxmlformats.org/officeDocument/2006/relationships/hyperlink" Target="http://www.local10.com/news/bso-investigates-deputyinvolved-shooting-in-pompano-beach/33522974" TargetMode="External"/><Relationship Id="rId239" Type="http://schemas.openxmlformats.org/officeDocument/2006/relationships/hyperlink" Target="http://i.dailymail.co.uk/i/pix/2015/06/12/08/298F3F8200000578-3120464-image-m-3_1434095771297.jpg" TargetMode="External"/><Relationship Id="rId880" Type="http://schemas.openxmlformats.org/officeDocument/2006/relationships/hyperlink" Target="http://www.killedbypolice.net/victims/150934.jpg" TargetMode="External"/><Relationship Id="rId881" Type="http://schemas.openxmlformats.org/officeDocument/2006/relationships/hyperlink" Target="http://www.killedbypolice.net/victims/150932.jpg" TargetMode="External"/><Relationship Id="rId882" Type="http://schemas.openxmlformats.org/officeDocument/2006/relationships/hyperlink" Target="http://www.killedbypolice.net/victims/150930.jpg" TargetMode="External"/><Relationship Id="rId883" Type="http://schemas.openxmlformats.org/officeDocument/2006/relationships/hyperlink" Target="http://www.killedbypolice.net/victims/150929.jpg" TargetMode="External"/><Relationship Id="rId884" Type="http://schemas.openxmlformats.org/officeDocument/2006/relationships/hyperlink" Target="http://www.killedbypolice.net/victims/150923.jpg" TargetMode="External"/><Relationship Id="rId885" Type="http://schemas.openxmlformats.org/officeDocument/2006/relationships/hyperlink" Target="http://www.killedbypolice.net/victims/150922.jpg" TargetMode="External"/><Relationship Id="rId886" Type="http://schemas.openxmlformats.org/officeDocument/2006/relationships/hyperlink" Target="http://www.killedbypolice.net/victims/2797.jpg" TargetMode="External"/><Relationship Id="rId887" Type="http://schemas.openxmlformats.org/officeDocument/2006/relationships/hyperlink" Target="http://www.necn.com/news/new-england/Man-Dies-Following-Struggle-With-Police-332162782.html" TargetMode="External"/><Relationship Id="rId888" Type="http://schemas.openxmlformats.org/officeDocument/2006/relationships/hyperlink" Target="http://www.killedbypolice.net/victims/150916.jpg" TargetMode="External"/><Relationship Id="rId889" Type="http://schemas.openxmlformats.org/officeDocument/2006/relationships/hyperlink" Target="http://www.killedbypolice.net/victims/150915.jpg" TargetMode="External"/><Relationship Id="rId560" Type="http://schemas.openxmlformats.org/officeDocument/2006/relationships/hyperlink" Target="http://newsok.com/officer-involved-shooting-reported-in-northwest-oklahoma-city/article/5372084" TargetMode="External"/><Relationship Id="rId561" Type="http://schemas.openxmlformats.org/officeDocument/2006/relationships/hyperlink" Target="http://www.chron.com/news/houston-texas/article/1-dead-in-officer-involved-shooting-in-NW-Harris-5928188.php" TargetMode="External"/><Relationship Id="rId562" Type="http://schemas.openxmlformats.org/officeDocument/2006/relationships/hyperlink" Target="http://crimeblog.dallasnews.com/2014/11/balch-springs-police-say-man-died-in-custody-tuesday-after-he-fought-arresting-officers.html/" TargetMode="External"/><Relationship Id="rId563" Type="http://schemas.openxmlformats.org/officeDocument/2006/relationships/hyperlink" Target="http://www.firstcoastnews.com/story/news/local/2014/11/24/jso-involved-incident-gate-gas-station/70068030/" TargetMode="External"/><Relationship Id="rId564" Type="http://schemas.openxmlformats.org/officeDocument/2006/relationships/hyperlink" Target="http://www.kutv.com/news/features/top-stories/stories/South-Jordan-police-give-more-details-in-shooting-death-of-1-man-59617.shtml" TargetMode="External"/><Relationship Id="rId565" Type="http://schemas.openxmlformats.org/officeDocument/2006/relationships/hyperlink" Target="http://sacramento.cbslocal.com/2014/11/23/suspect-dead-after-shootout-in-downtown-sonora-officer-bystander-hurt/" TargetMode="External"/><Relationship Id="rId566" Type="http://schemas.openxmlformats.org/officeDocument/2006/relationships/hyperlink" Target="http://www.wral.com/family-man-who-shot-fayetteville-officer-suffered-from-mental-illness/14200793/" TargetMode="External"/><Relationship Id="rId567" Type="http://schemas.openxmlformats.org/officeDocument/2006/relationships/hyperlink" Target="http://www.revelsfh.com/obituaries/uploads/OI1223286732_FullSizeRender.jpg" TargetMode="External"/><Relationship Id="rId568" Type="http://schemas.openxmlformats.org/officeDocument/2006/relationships/hyperlink" Target="http://www.mcall.com/news/breaking/mc-d-phillipsburg-officer-involved-shooting-suspect-dies-20141118-story.html" TargetMode="External"/><Relationship Id="rId569" Type="http://schemas.openxmlformats.org/officeDocument/2006/relationships/hyperlink" Target="http://www.weau.com/home/headlines/Female-suspect-killed-in-Boyceville-officer-involved-shooting-282832071.html" TargetMode="External"/><Relationship Id="rId1240" Type="http://schemas.openxmlformats.org/officeDocument/2006/relationships/hyperlink" Target="http://wgntv.com/2015/09/26/man-killed-in-officer-involved-shooting-on-west-side/" TargetMode="External"/><Relationship Id="rId1241" Type="http://schemas.openxmlformats.org/officeDocument/2006/relationships/hyperlink" Target="http://www.wkyc.com/story/news/local/akron/2015/09/25/akron-police-shoot-kill-robbery-suspect/72829710/" TargetMode="External"/><Relationship Id="rId1242" Type="http://schemas.openxmlformats.org/officeDocument/2006/relationships/hyperlink" Target="http://www.wbir.com/story/news/2015/09/12/armed-suspect-shot-and-killed--kcso-swat-team/72174344/" TargetMode="External"/><Relationship Id="rId1243" Type="http://schemas.openxmlformats.org/officeDocument/2006/relationships/hyperlink" Target="http://www.denverpost.com/news/ci_28818708/robbery-suspect-shot-friday-by-broomfield-pd-died" TargetMode="External"/><Relationship Id="rId1244" Type="http://schemas.openxmlformats.org/officeDocument/2006/relationships/hyperlink" Target="http://www.recordnet.com/article/20150910/NEWS/150919974" TargetMode="External"/><Relationship Id="rId1245" Type="http://schemas.openxmlformats.org/officeDocument/2006/relationships/hyperlink" Target="http://fox59.com/2015/09/10/officer-shot-in-hand-on-northwest-side/" TargetMode="External"/><Relationship Id="rId1246" Type="http://schemas.openxmlformats.org/officeDocument/2006/relationships/hyperlink" Target="http://ktla.com/2015/09/11/suspected-carjacker-fatally-shot-by-deputies-after-taking-hostages-at-downey-restaurant-authorities/" TargetMode="External"/><Relationship Id="rId1247" Type="http://schemas.openxmlformats.org/officeDocument/2006/relationships/hyperlink" Target="http://www.syracuse.com/state/index.ssf/2015/09/police_id_clarkson_students_who_died_in_stabbing_officer-involved_shooting.html?hootPostID=0d0dfea04a7259e481e5dcbb19168d52" TargetMode="External"/><Relationship Id="rId1248" Type="http://schemas.openxmlformats.org/officeDocument/2006/relationships/hyperlink" Target="http://fox11online.com/news/local/green-bay/ashwaubenon-police-release-identity-of-armed-robbery-suspect" TargetMode="External"/><Relationship Id="rId1249" Type="http://schemas.openxmlformats.org/officeDocument/2006/relationships/hyperlink" Target="http://www.adn.com/article/20150910/troopers-identify-man-killed-shootout-police-fairbanks" TargetMode="External"/><Relationship Id="rId240" Type="http://schemas.openxmlformats.org/officeDocument/2006/relationships/hyperlink" Target="http://miami.cbslocal.com/2015/06/11/witnesses-police-officer-shoots-homeless-man-five-times-in-miami/" TargetMode="External"/><Relationship Id="rId241" Type="http://schemas.openxmlformats.org/officeDocument/2006/relationships/hyperlink" Target="http://victimsofpolice.com/2015/images/Mark-Flores-Jr.jpg" TargetMode="External"/><Relationship Id="rId242" Type="http://schemas.openxmlformats.org/officeDocument/2006/relationships/hyperlink" Target="http://www.ksat.com/news/father-says-mental-issues-triggered-gun-fight-with-son" TargetMode="External"/><Relationship Id="rId243" Type="http://schemas.openxmlformats.org/officeDocument/2006/relationships/hyperlink" Target="http://www.northjersey.com/polopoly_fs/1.1355145.1434164980!/fileImage/httpImage/image.jpg_gen/derivatives/landscape_300/hackensackshooting.jpg" TargetMode="External"/><Relationship Id="rId244" Type="http://schemas.openxmlformats.org/officeDocument/2006/relationships/hyperlink" Target="http://www.northjersey.com/news/hackensack-man-killed-in-police-involved-shooting-had-knife-officials-say-1.1354435" TargetMode="External"/><Relationship Id="rId245" Type="http://schemas.openxmlformats.org/officeDocument/2006/relationships/hyperlink" Target="http://www.wsmv.com/story/29298752/officer-involved-fatal-shooting-reported-in-columbia" TargetMode="External"/><Relationship Id="rId246" Type="http://schemas.openxmlformats.org/officeDocument/2006/relationships/hyperlink" Target="http://assets.dnainfo.com/generated/photo/2015/06/hampton-isaiah-13a2575-11-1433968556.jpg/extralarge.jpg" TargetMode="External"/><Relationship Id="rId247" Type="http://schemas.openxmlformats.org/officeDocument/2006/relationships/hyperlink" Target="http://www.nydailynews.com/new-york/bronx/bronx-man-shot-police-responding-domestic-dispute-article-1.2253127" TargetMode="External"/><Relationship Id="rId248" Type="http://schemas.openxmlformats.org/officeDocument/2006/relationships/hyperlink" Target="http://www.killedbypolice.net/victims/150504.jpg" TargetMode="External"/><Relationship Id="rId249" Type="http://schemas.openxmlformats.org/officeDocument/2006/relationships/hyperlink" Target="http://media2.wcpo.com/photo/2015/06/10/16x9/Cincinnati_fatal_officer_involved_shooti_3047750000_19584286_ver1.0_640_480.jpg" TargetMode="External"/><Relationship Id="rId890" Type="http://schemas.openxmlformats.org/officeDocument/2006/relationships/hyperlink" Target="http://www.killedbypolice.net/victims/150914.jpg" TargetMode="External"/><Relationship Id="rId891" Type="http://schemas.openxmlformats.org/officeDocument/2006/relationships/hyperlink" Target="http://www.killedbypolice.net/victims/150913.jpg" TargetMode="External"/><Relationship Id="rId892" Type="http://schemas.openxmlformats.org/officeDocument/2006/relationships/hyperlink" Target="http://www.killedbypolice.net/victims/150908.jpg" TargetMode="External"/><Relationship Id="rId893" Type="http://schemas.openxmlformats.org/officeDocument/2006/relationships/hyperlink" Target="http://amarillo.com/news/latest-news/2015-10-02/home-invasion-leads-officer-involved-shooting" TargetMode="External"/><Relationship Id="rId894" Type="http://schemas.openxmlformats.org/officeDocument/2006/relationships/hyperlink" Target="http://www.killedbypolice.net/victims/150994.jpg" TargetMode="External"/><Relationship Id="rId895" Type="http://schemas.openxmlformats.org/officeDocument/2006/relationships/hyperlink" Target="http://www.killedbypolice.net/victims/150920.jpg" TargetMode="External"/><Relationship Id="rId896" Type="http://schemas.openxmlformats.org/officeDocument/2006/relationships/hyperlink" Target="http://www.killedbypolice.net/victims/150931.jpg" TargetMode="External"/><Relationship Id="rId897" Type="http://schemas.openxmlformats.org/officeDocument/2006/relationships/hyperlink" Target="http://www.newsnet5.com/news/local-news/oh-cuyahoga/witnesspolice-cruiser-hit-kills-man" TargetMode="External"/><Relationship Id="rId898" Type="http://schemas.openxmlformats.org/officeDocument/2006/relationships/hyperlink" Target="http://www.sun-sentinel.com/local/broward/fl-pedestrian-fatal-20151031-story.html" TargetMode="External"/><Relationship Id="rId899" Type="http://schemas.openxmlformats.org/officeDocument/2006/relationships/hyperlink" Target="http://www.news4jax.com/news/policeinvolved-shooting-in-east-arlington/36098444" TargetMode="External"/><Relationship Id="rId570" Type="http://schemas.openxmlformats.org/officeDocument/2006/relationships/hyperlink" Target="http://www.local8now.com/home/headlines/Shooting-investigation-in-South-Knox-County-282637501.html" TargetMode="External"/><Relationship Id="rId571" Type="http://schemas.openxmlformats.org/officeDocument/2006/relationships/hyperlink" Target="http://www.news-record.com/news/guilford-county-sheriff-s-deputies-involved-in-chase-that-ends/article_79451250-6a25-11e4-bb91-87f8f4995f40.html" TargetMode="External"/><Relationship Id="rId572" Type="http://schemas.openxmlformats.org/officeDocument/2006/relationships/hyperlink" Target="http://imgick.nj.com/home/njo-media/width620/img/middlesex_impact/photo/16419415-mmmain.png" TargetMode="External"/><Relationship Id="rId573" Type="http://schemas.openxmlformats.org/officeDocument/2006/relationships/hyperlink" Target="http://www.nj.com/middlesex/index.ssf/2014/11/middlesex_county_death_jail_inmate_family_wait_for_answers.html" TargetMode="External"/><Relationship Id="rId574" Type="http://schemas.openxmlformats.org/officeDocument/2006/relationships/hyperlink" Target="http://www.jacksonsun.com/story/news/local/2014/11/11/parents-man-shot-officer-speak-tbi-investigate/18836355/" TargetMode="External"/><Relationship Id="rId575" Type="http://schemas.openxmlformats.org/officeDocument/2006/relationships/hyperlink" Target="http://magicvalley.com/news/local/crime-and-courts/update-man-fatally-shot-by-jerome-county-deputies-identified/article_4355b3bd-44b7-5e74-8937-16ad1d7d96cc.html" TargetMode="External"/><Relationship Id="rId576" Type="http://schemas.openxmlformats.org/officeDocument/2006/relationships/hyperlink" Target="http://www.rgj.com/story/news/crime/2014/11/05/police-officer-involved-shooting-near-unr/18563353/" TargetMode="External"/><Relationship Id="rId577" Type="http://schemas.openxmlformats.org/officeDocument/2006/relationships/hyperlink" Target="https://www.facebook.com/groups/387178151407408/" TargetMode="External"/><Relationship Id="rId578" Type="http://schemas.openxmlformats.org/officeDocument/2006/relationships/hyperlink" Target="http://www.yakimaherald.com/news/latestlocalnews/2632541-8/man-fatally-shot-by-yakima-county-deputy" TargetMode="External"/><Relationship Id="rId579" Type="http://schemas.openxmlformats.org/officeDocument/2006/relationships/hyperlink" Target="http://www.wsaz.com/home/headlines/Officers-Shoot-and-Kill-Suspect-During-Drug-Raid-in-Lawrence-County-Ohiog---281476761.html" TargetMode="External"/><Relationship Id="rId1250" Type="http://schemas.openxmlformats.org/officeDocument/2006/relationships/hyperlink" Target="http://www.sgvtribune.com/general-news/20150910/second-victim-in-el-monte-attack-dies-after-being-set-on-fire" TargetMode="External"/><Relationship Id="rId1251" Type="http://schemas.openxmlformats.org/officeDocument/2006/relationships/hyperlink" Target="http://www.ohio.com/news/break-news/springfield-township-man-dies-after-confrontation-with-police-involving-taser-1.624097" TargetMode="External"/><Relationship Id="rId1252" Type="http://schemas.openxmlformats.org/officeDocument/2006/relationships/hyperlink" Target="http://www.ktuu.com/news/news/troopers-named-in-fairbanks-shooting-of-man-driving-stolen-vehicle/35223554" TargetMode="External"/><Relationship Id="rId1253" Type="http://schemas.openxmlformats.org/officeDocument/2006/relationships/hyperlink" Target="http://www.fresnobee.com/news/local/crime/article34390473.html" TargetMode="External"/><Relationship Id="rId1254" Type="http://schemas.openxmlformats.org/officeDocument/2006/relationships/hyperlink" Target="http://www.wxyz.com/news/region/detroit/lathrup-village-police-officer-allegedly-kills-man-during-fight-on-detroits-west-side" TargetMode="External"/><Relationship Id="rId1255" Type="http://schemas.openxmlformats.org/officeDocument/2006/relationships/hyperlink" Target="http://archive.currentargus.com/carlsbad-news/ci_28783767/man-shot-and-killed-by-hobbs-police-was" TargetMode="External"/><Relationship Id="rId1256" Type="http://schemas.openxmlformats.org/officeDocument/2006/relationships/hyperlink" Target="http://www.local10.com/news/man-shot-and-killed-by-miami-police-after-domestic-violence-incident/35139464" TargetMode="External"/><Relationship Id="rId1257" Type="http://schemas.openxmlformats.org/officeDocument/2006/relationships/hyperlink" Target="http://www.ktbs.com/story/29975939/update-police-pursuit-ends-in-death-of-mentally-ill-suspect" TargetMode="External"/><Relationship Id="rId1258" Type="http://schemas.openxmlformats.org/officeDocument/2006/relationships/hyperlink" Target="http://www.providencejournal.com/article/20150907/NEWS/150909454" TargetMode="External"/><Relationship Id="rId1259" Type="http://schemas.openxmlformats.org/officeDocument/2006/relationships/hyperlink" Target="https://www.washingtonpost.com/local/with-6-month-old-baby-in-car-both-parents-killed-by-virginia-beach-police/2015/09/08/2e64a83c-565a-11e5-8bb1-b488d231bba2_story.html" TargetMode="External"/><Relationship Id="rId250" Type="http://schemas.openxmlformats.org/officeDocument/2006/relationships/hyperlink" Target="http://www.cincinnati.com/story/news/crime/2015/06/09/officer-involved-shooting-northside/28778129/" TargetMode="External"/><Relationship Id="rId251" Type="http://schemas.openxmlformats.org/officeDocument/2006/relationships/hyperlink" Target="http://www.dallasnews.com/news/metro/20150609-man-who-died-after-police-used-stun-gun-identified.ece" TargetMode="External"/><Relationship Id="rId252" Type="http://schemas.openxmlformats.org/officeDocument/2006/relationships/hyperlink" Target="http://www.yourhoustonnews.com/courier/news/one-dead-after-officer-involved-shooting/article_1cfb859f-d481-5895-abe3-9f10b2b50423.html" TargetMode="External"/><Relationship Id="rId253" Type="http://schemas.openxmlformats.org/officeDocument/2006/relationships/hyperlink" Target="http://www.killedbypolice.net/victims/150505.jpg" TargetMode="External"/><Relationship Id="rId254" Type="http://schemas.openxmlformats.org/officeDocument/2006/relationships/hyperlink" Target="http://www.desmoinesregister.com/story/news/crime-and-courts/2015/06/10/fatal-shooting-officer-involved-merle-hay-urbandale/28779873/" TargetMode="External"/><Relationship Id="rId255" Type="http://schemas.openxmlformats.org/officeDocument/2006/relationships/hyperlink" Target="http://www.killedbypolice.net/victims/150501.jpg" TargetMode="External"/><Relationship Id="rId256" Type="http://schemas.openxmlformats.org/officeDocument/2006/relationships/hyperlink" Target="https://www.toledoblade.com/Police-Fire/2015/06/09/Findlay-officer-involved-in-shooting.html" TargetMode="External"/><Relationship Id="rId257" Type="http://schemas.openxmlformats.org/officeDocument/2006/relationships/hyperlink" Target="http://www.killedbypolice.net/victims/150496.jpg" TargetMode="External"/><Relationship Id="rId258" Type="http://schemas.openxmlformats.org/officeDocument/2006/relationships/hyperlink" Target="http://www.wftv.com/news/news/local/police-person-interest-killed-melbourne-officer-in/nmX7b/" TargetMode="External"/><Relationship Id="rId259" Type="http://schemas.openxmlformats.org/officeDocument/2006/relationships/hyperlink" Target="http://www.killedbypolice.net/victims/150498.jpg" TargetMode="External"/><Relationship Id="rId700" Type="http://schemas.openxmlformats.org/officeDocument/2006/relationships/hyperlink" Target="http://www.click2houston.com/news/man-killed-after-pulling-gun-on-deputies-serving-warrant/25349872" TargetMode="External"/><Relationship Id="rId701" Type="http://schemas.openxmlformats.org/officeDocument/2006/relationships/hyperlink" Target="http://www.washingtonpost.com/local/crime/man-killed-in-police-shooting-in-prince-georges-county/2014/04/05/114eb076-bcc3-11e3-b195-dd0c1174052c_allComments.html?ctab=all" TargetMode="External"/><Relationship Id="rId702" Type="http://schemas.openxmlformats.org/officeDocument/2006/relationships/hyperlink" Target="http://whnt.com/2014/04/04/breaking-huntsville-police-confirm-officer-shot-residents-being-evacuated/" TargetMode="External"/><Relationship Id="rId703" Type="http://schemas.openxmlformats.org/officeDocument/2006/relationships/hyperlink" Target="http://www.wsbtv.com/news/news/local/officer-injured-suspect-killed-lawrenceville-apart/nfQTQ/" TargetMode="External"/><Relationship Id="rId704" Type="http://schemas.openxmlformats.org/officeDocument/2006/relationships/hyperlink" Target="http://www.washingtonpost.com/national/police-officer-fatally-shot-in-upstate-new-york/2014/03/31/ad349cc6-b8f4-11e3-80de-2ff8801f27af_story.html" TargetMode="External"/><Relationship Id="rId705" Type="http://schemas.openxmlformats.org/officeDocument/2006/relationships/hyperlink" Target="http://www.nydailynews.com/news/crime/campus-cops-fatally-shoot-man-georgia-university-article-1.1740351" TargetMode="External"/><Relationship Id="rId706" Type="http://schemas.openxmlformats.org/officeDocument/2006/relationships/hyperlink" Target="http://www.myfoxchicago.com/story/25108986/raason-shaw-man-shot-to-death-by-police-in-woodlawn" TargetMode="External"/><Relationship Id="rId707" Type="http://schemas.openxmlformats.org/officeDocument/2006/relationships/hyperlink" Target="http://www.wcti12.com/news/city-official-two-officers-injured-one-suspect-dead-in-shooting/25226556" TargetMode="External"/><Relationship Id="rId708" Type="http://schemas.openxmlformats.org/officeDocument/2006/relationships/hyperlink" Target="http://fox13now.com/2014/03/28/2-police-officers-hurt-1-man-dead-after-salt-lake-city-shooting/" TargetMode="External"/><Relationship Id="rId709"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10" Type="http://schemas.openxmlformats.org/officeDocument/2006/relationships/hyperlink" Target="http://www.killedbypolice.net/victims/150901.jpg" TargetMode="External"/><Relationship Id="rId11" Type="http://schemas.openxmlformats.org/officeDocument/2006/relationships/hyperlink" Target="http://www.killedbypolice.net/victims/150897.jpg" TargetMode="External"/><Relationship Id="rId12" Type="http://schemas.openxmlformats.org/officeDocument/2006/relationships/hyperlink" Target="http://www.killedbypolice.net/victims/150895.jpg" TargetMode="External"/><Relationship Id="rId13" Type="http://schemas.openxmlformats.org/officeDocument/2006/relationships/hyperlink" Target="http://www.pe.com/articles/camacho-780442-anda-police.html" TargetMode="External"/><Relationship Id="rId14" Type="http://schemas.openxmlformats.org/officeDocument/2006/relationships/hyperlink" Target="http://www.local10.com/news/man-killed-in-policeinvolved-shooting-in-sw-miamidade/35298042" TargetMode="External"/><Relationship Id="rId15" Type="http://schemas.openxmlformats.org/officeDocument/2006/relationships/hyperlink" Target="http://www.vvng.com/barstow-man-killed-in-officer-involved-shooting/" TargetMode="External"/><Relationship Id="rId16" Type="http://schemas.openxmlformats.org/officeDocument/2006/relationships/hyperlink" Target="http://abc7.com/news/suspect-killed-in-panorama-city-officer-involved-shooting/986303/" TargetMode="External"/><Relationship Id="rId17" Type="http://schemas.openxmlformats.org/officeDocument/2006/relationships/hyperlink" Target="http://ksn.com/2015/09/14/inmate-death-reported-at-hutchinson-correctional-facility/" TargetMode="External"/><Relationship Id="rId18" Type="http://schemas.openxmlformats.org/officeDocument/2006/relationships/hyperlink" Target="http://wncn.com/2015/09/14/man-dies-while-in-custody-of-raleigh-police-investigation-underway/" TargetMode="External"/><Relationship Id="rId19" Type="http://schemas.openxmlformats.org/officeDocument/2006/relationships/hyperlink" Target="http://www.kwwl.com/story/30019391/2015/09/13/officer-involved-shooting-near-wellman-leaves-one-person-dead" TargetMode="External"/><Relationship Id="rId1" Type="http://schemas.openxmlformats.org/officeDocument/2006/relationships/hyperlink" Target="http://www.killedbypolice.net/victims/150917.jpg" TargetMode="External"/><Relationship Id="rId2" Type="http://schemas.openxmlformats.org/officeDocument/2006/relationships/hyperlink" Target="http://www.killedbypolice.net/victims/150912.jpg" TargetMode="External"/><Relationship Id="rId3" Type="http://schemas.openxmlformats.org/officeDocument/2006/relationships/hyperlink" Target="http://www.killedbypolice.net/victims/150910.jpg" TargetMode="External"/><Relationship Id="rId4" Type="http://schemas.openxmlformats.org/officeDocument/2006/relationships/hyperlink" Target="http://www.killedbypolice.net/victims/150911.jpg" TargetMode="External"/><Relationship Id="rId5" Type="http://schemas.openxmlformats.org/officeDocument/2006/relationships/hyperlink" Target="http://www.killedbypolice.net/victims/150907.jpg" TargetMode="External"/><Relationship Id="rId6" Type="http://schemas.openxmlformats.org/officeDocument/2006/relationships/hyperlink" Target="http://www.killedbypolice.net/victims/150904.jpg" TargetMode="External"/><Relationship Id="rId7" Type="http://schemas.openxmlformats.org/officeDocument/2006/relationships/hyperlink" Target="http://www.killedbypolice.net/victims/150905.jpg" TargetMode="External"/><Relationship Id="rId8" Type="http://schemas.openxmlformats.org/officeDocument/2006/relationships/hyperlink" Target="http://www.killedbypolice.net/victims/150902.jpg" TargetMode="External"/><Relationship Id="rId9" Type="http://schemas.openxmlformats.org/officeDocument/2006/relationships/hyperlink" Target="http://www.pe.com/articles/officers-782334-domestic-involved.html" TargetMode="External"/><Relationship Id="rId580" Type="http://schemas.openxmlformats.org/officeDocument/2006/relationships/hyperlink" Target="http://www.thenewscenter.tv/home/headlines/One-Person-Dead-in-Marietta-Crash-281400271.html" TargetMode="External"/><Relationship Id="rId581" Type="http://schemas.openxmlformats.org/officeDocument/2006/relationships/hyperlink" Target="http://www.kshb.com/news/crime/deputy-fatally-shot-in-cedar-county" TargetMode="External"/><Relationship Id="rId582" Type="http://schemas.openxmlformats.org/officeDocument/2006/relationships/hyperlink" Target="http://www.tucsonnewsnow.com/story/27187359/bicyclist-fatally-struck-by-police-officer-in-unmarked-vehicle" TargetMode="External"/><Relationship Id="rId583" Type="http://schemas.openxmlformats.org/officeDocument/2006/relationships/hyperlink" Target="http://www.wdbj7.com/news/local/lynchburg-bedford/deputy-involved-in-bedford-county-shooting/29390802" TargetMode="External"/><Relationship Id="rId584" Type="http://schemas.openxmlformats.org/officeDocument/2006/relationships/hyperlink" Target="http://www.wsvn.com/story/27025232/1-dead-in-hialeah-police-involved-shooting" TargetMode="External"/><Relationship Id="rId585" Type="http://schemas.openxmlformats.org/officeDocument/2006/relationships/hyperlink" Target="http://www.fayobserver.com/news/local/man-shot-killed-when-cumberland-county-deputies-try-to-serve/article_f253b5ae-7298-5362-8caf-84520ea48f26.html" TargetMode="External"/><Relationship Id="rId586" Type="http://schemas.openxmlformats.org/officeDocument/2006/relationships/hyperlink" Target="http://www.tucsonsentinel.com/local/report/102914_bp_shooting/update-man-fatally-shot-by-border-patrol-identified/" TargetMode="External"/><Relationship Id="rId587" Type="http://schemas.openxmlformats.org/officeDocument/2006/relationships/hyperlink" Target="http://www.nydailynews.com/new-york/nyc-crime/police-shoots-kills-man-ax-queens-article-1.1984914" TargetMode="External"/><Relationship Id="rId588" Type="http://schemas.openxmlformats.org/officeDocument/2006/relationships/hyperlink" Target="http://www.al.com/news/huntsville/index.ssf/2014/10/officer-involved_shooting_at_m.html" TargetMode="External"/><Relationship Id="rId589" Type="http://schemas.openxmlformats.org/officeDocument/2006/relationships/hyperlink" Target="http://bloximages.chicago2.vip.townnews.com/wacotrib.com/content/tncms/assets/v3/editorial/d/8f/d8f5c52a-c474-5323-bbcf-9da3b5d574a5/543498624ad06.image.jpg" TargetMode="External"/><Relationship Id="rId1260" Type="http://schemas.openxmlformats.org/officeDocument/2006/relationships/hyperlink" Target="https://www.washingtonpost.com/local/with-6-month-old-baby-in-car-both-parents-killed-by-virginia-beach-police/2015/09/08/2e64a83c-565a-11e5-8bb1-b488d231bba2_story.html" TargetMode="External"/><Relationship Id="rId1261" Type="http://schemas.openxmlformats.org/officeDocument/2006/relationships/hyperlink" Target="http://abc11.com/news/armed-man-killed-after-police-standoff-in-durham/971330/" TargetMode="External"/><Relationship Id="rId1262" Type="http://schemas.openxmlformats.org/officeDocument/2006/relationships/hyperlink" Target="http://www.latimes.com/local/lanow/la-me-ln-in-custody-death-long-beach-20150906-story.html" TargetMode="External"/><Relationship Id="rId260" Type="http://schemas.openxmlformats.org/officeDocument/2006/relationships/hyperlink" Target="http://www.ocregister.com/articles/shooting-665164-personnel-dispatchers.html" TargetMode="External"/><Relationship Id="rId261" Type="http://schemas.openxmlformats.org/officeDocument/2006/relationships/hyperlink" Target="http://www.indystar.com/story/news/crime/2015/06/08/police-shooting-suspect-dead-beech-grove/28700455/" TargetMode="External"/><Relationship Id="rId262" Type="http://schemas.openxmlformats.org/officeDocument/2006/relationships/hyperlink" Target="http://www.azfamily.com/story/29270558/deputy-involved-shooting-in-sun-city" TargetMode="External"/><Relationship Id="rId263" Type="http://schemas.openxmlformats.org/officeDocument/2006/relationships/hyperlink" Target="http://www.killedbypolice.net/victims/150499.jpg" TargetMode="External"/><Relationship Id="rId264" Type="http://schemas.openxmlformats.org/officeDocument/2006/relationships/hyperlink" Target="http://www.nydailynews.com/new-york/bronx/bronx-man-shocked-taser-cops-dies-sources-article-1.2250703" TargetMode="External"/><Relationship Id="rId265" Type="http://schemas.openxmlformats.org/officeDocument/2006/relationships/hyperlink" Target="http://www.wfla.com/story/29258795/suspect-dead-after-deputy-involved-shooting-in-sarasota" TargetMode="External"/><Relationship Id="rId266" Type="http://schemas.openxmlformats.org/officeDocument/2006/relationships/hyperlink" Target="http://www.komonews.com/news/local/Police-officer-in-Woodland-shoots-kills-58-year-old-man-306422811.html" TargetMode="External"/><Relationship Id="rId267" Type="http://schemas.openxmlformats.org/officeDocument/2006/relationships/hyperlink" Target="http://www.killedbypolice.net/victims/150490.jpg" TargetMode="External"/><Relationship Id="rId268" Type="http://schemas.openxmlformats.org/officeDocument/2006/relationships/hyperlink" Target="http://www.sfgate.com/crime/article/Oakland-police-shoot-suspect-near-Lake-Merritt-6311221.php" TargetMode="External"/><Relationship Id="rId269" Type="http://schemas.openxmlformats.org/officeDocument/2006/relationships/hyperlink" Target="http://www.killedbypolice.net/victims/150489.jpg" TargetMode="External"/><Relationship Id="rId1263" Type="http://schemas.openxmlformats.org/officeDocument/2006/relationships/hyperlink" Target="http://www.mitchellrepublic.com/news/local/3832217-authorities-mitchell-man-fatally-shot-own-gun-police-officer" TargetMode="External"/><Relationship Id="rId1264" Type="http://schemas.openxmlformats.org/officeDocument/2006/relationships/hyperlink" Target="http://timesleader.com/news/local/380612/schuylkill-county-man-dies-after-being-tased-by-police" TargetMode="External"/><Relationship Id="rId1265" Type="http://schemas.openxmlformats.org/officeDocument/2006/relationships/hyperlink" Target="http://www.wlky.com/news/1-dead-after-officer-involvedshooting-in-french-lick/35109748" TargetMode="External"/><Relationship Id="rId1266" Type="http://schemas.openxmlformats.org/officeDocument/2006/relationships/hyperlink" Target="http://lostcoastoutpost.com/2015/sep/5/man-shot-killed-near-weitchpec-shootout-hoopa-trib/" TargetMode="External"/><Relationship Id="rId1267" Type="http://schemas.openxmlformats.org/officeDocument/2006/relationships/hyperlink" Target="http://www.wfaa.com/story/news/crime/2015/09/05/parker-county-shooting-suspect-springtown/71796330/" TargetMode="External"/><Relationship Id="rId1268" Type="http://schemas.openxmlformats.org/officeDocument/2006/relationships/hyperlink" Target="http://dcourier.com/main.asp?SectionID=1&amp;subsectionID=1086&amp;articleID=149431" TargetMode="External"/><Relationship Id="rId1269" Type="http://schemas.openxmlformats.org/officeDocument/2006/relationships/hyperlink" Target="http://www.nh1.com/news/nh-ag-merrimack-man-shot-by-police-has-died-of-gunshot-wounds/" TargetMode="External"/><Relationship Id="rId710" Type="http://schemas.openxmlformats.org/officeDocument/2006/relationships/hyperlink" Target="http://www.tennessean.com/story/news/crime/2014/03/21/dozens-officers-scene-elliston-place-shooting/6716709/" TargetMode="External"/><Relationship Id="rId711" Type="http://schemas.openxmlformats.org/officeDocument/2006/relationships/hyperlink" Target="http://blogs.ocweekly.com/navelgazing/2014/03/police_shooting_in_anaheim_lea.php?page=2" TargetMode="External"/><Relationship Id="rId712" Type="http://schemas.openxmlformats.org/officeDocument/2006/relationships/hyperlink" Target="http://www.ketv.com/news/police-id-man-killed-in-officer-involved-shooting/25060968" TargetMode="External"/><Relationship Id="rId713" Type="http://schemas.openxmlformats.org/officeDocument/2006/relationships/hyperlink" Target="http://www.washingtonpost.com/local/crime/police-involved-in-shooting-person-in-nw/2014/03/18/7f80b924-ae8e-11e3-96dc-d6ea14c099f9_story.html" TargetMode="External"/><Relationship Id="rId714" Type="http://schemas.openxmlformats.org/officeDocument/2006/relationships/hyperlink" Target="http://www.peacefulalternatives.com/fh/obituaries/obituary.cfm?o_id=2458194&amp;fh_id=14153" TargetMode="External"/><Relationship Id="rId715" Type="http://schemas.openxmlformats.org/officeDocument/2006/relationships/hyperlink" Target="http://www.ajc.com/news/news/local/man-shot-and-killed-by-forsyth-county-deputies/nfFC8/" TargetMode="External"/><Relationship Id="rId716" Type="http://schemas.openxmlformats.org/officeDocument/2006/relationships/hyperlink" Target="http://www.firstcoastnews.com/story/news/crime/2014/03/15/lake-city-killed-police/6457449/" TargetMode="External"/><Relationship Id="rId717" Type="http://schemas.openxmlformats.org/officeDocument/2006/relationships/hyperlink" Target="http://www.reviewjournal.com/news/las-vegas/north-las-vegas-police-face-lawsuit-deadly-shooting-homeless-man" TargetMode="External"/><Relationship Id="rId718" Type="http://schemas.openxmlformats.org/officeDocument/2006/relationships/hyperlink" Target="http://doj.nh.gov/media-center/press-releases/2014/documents/20140723-rochester-officer-involved-report.pdf" TargetMode="External"/><Relationship Id="rId719" Type="http://schemas.openxmlformats.org/officeDocument/2006/relationships/hyperlink" Target="http://www.newssun.com/news/article_513fe971-a208-543b-8a5c-71ff2376804d.html" TargetMode="External"/><Relationship Id="rId20" Type="http://schemas.openxmlformats.org/officeDocument/2006/relationships/hyperlink" Target="http://www.courier-journal.com/story/news/local/2015/09/14/ky-trooper-shot-western-kentucky-after-chase/72241764/" TargetMode="External"/><Relationship Id="rId21" Type="http://schemas.openxmlformats.org/officeDocument/2006/relationships/hyperlink" Target="http://www.tylerpaper.com/TP-Breaking+Silent/224089/jeffrey-brooks-fugitive-shot-and-killed-by-law-enforcement-officers-near-clute" TargetMode="External"/><Relationship Id="rId22" Type="http://schemas.openxmlformats.org/officeDocument/2006/relationships/hyperlink" Target="http://wreg.com/2015/09/24/paris-police-officer-charged-for-murdering-his-own-son/" TargetMode="External"/><Relationship Id="rId23" Type="http://schemas.openxmlformats.org/officeDocument/2006/relationships/hyperlink" Target="http://www.omaha.com/news/metro/man-who-had-trouble-breathing-while-being-arrested-has-died/article_6868fb7c-54f8-11e5-bf00-0f25174cd9cb.html" TargetMode="External"/><Relationship Id="rId24" Type="http://schemas.openxmlformats.org/officeDocument/2006/relationships/hyperlink" Target="http://www.kltv.com/story/29931923/man-shot-by-longview-officer-dies" TargetMode="External"/><Relationship Id="rId25" Type="http://schemas.openxmlformats.org/officeDocument/2006/relationships/hyperlink" Target="http://www.killedbypolice.net/victims/150680.jpg" TargetMode="External"/><Relationship Id="rId26" Type="http://schemas.openxmlformats.org/officeDocument/2006/relationships/hyperlink" Target="http://www.koat.com/news/police-ask-residents-to-avoid-garfield-at-edith/34474822" TargetMode="External"/><Relationship Id="rId27" Type="http://schemas.openxmlformats.org/officeDocument/2006/relationships/hyperlink" Target="http://www.star-telegram.com/news/local/community/fort-worth/rat54p/picture29706625/ALTERNATES/FREE_640/Flip%20Vallejo" TargetMode="External"/><Relationship Id="rId28" Type="http://schemas.openxmlformats.org/officeDocument/2006/relationships/hyperlink" Target="http://fox13now.com/2015/07/07/carjacking-suspect-in-custody-after-assaulting-woman-being-tased-having-heart-attack/" TargetMode="External"/><Relationship Id="rId29" Type="http://schemas.openxmlformats.org/officeDocument/2006/relationships/hyperlink" Target="http://www.kob.com/article/stories/s3867548.shtml" TargetMode="External"/><Relationship Id="rId590" Type="http://schemas.openxmlformats.org/officeDocument/2006/relationships/hyperlink" Target="http://www.wacotrib.com/news/courts_and_trials/woman-dies-in-mclennan-county-jail/article_295a2448-47f5-565b-b08b-7d0104877301.html" TargetMode="External"/><Relationship Id="rId591" Type="http://schemas.openxmlformats.org/officeDocument/2006/relationships/hyperlink" Target="http://www.miamiherald.com/news/state/florida/mqonpy/picture2628797/ALTERNATES/FREE_960/latandraellington" TargetMode="External"/><Relationship Id="rId592" Type="http://schemas.openxmlformats.org/officeDocument/2006/relationships/hyperlink" Target="http://www.miamiherald.com/news/state/florida/article2564576.html" TargetMode="External"/><Relationship Id="rId593" Type="http://schemas.openxmlformats.org/officeDocument/2006/relationships/hyperlink" Target="http://www.jrn.com/ktnv/news/Family-speaks-out-after-man-killed-by-police-in-shootout-278597311.html" TargetMode="External"/><Relationship Id="rId594" Type="http://schemas.openxmlformats.org/officeDocument/2006/relationships/hyperlink" Target="http://www.washingtonpost.com/local/man-shot-and-killed-by-officers-trying-to-serve-a-warrant-in-southeast-dc/2014/10/05/b755dfea-4c9b-11e4-aa5e-7153e466a02d_story.html" TargetMode="External"/><Relationship Id="rId595" Type="http://schemas.openxmlformats.org/officeDocument/2006/relationships/hyperlink" Target="http://www.gannett-cdn.com/-mm-/90407faa708f948b3bc41ed885ae0b6dbee7db9f/c=0-743-2448-2587&amp;r=x383&amp;c=540x380/local/-/media/WXIA/None/2014/10/03/1412363614000-photo-2-.JPG" TargetMode="External"/><Relationship Id="rId596" Type="http://schemas.openxmlformats.org/officeDocument/2006/relationships/hyperlink" Target="http://www.wlky.com/news/woman-shot-by-lmpd-officers-in-swat-situation-dies/28371462" TargetMode="External"/><Relationship Id="rId597" Type="http://schemas.openxmlformats.org/officeDocument/2006/relationships/hyperlink" Target="http://www.houstontx.gov/police/nr/2014/oct/nr141001-3.htm" TargetMode="External"/><Relationship Id="rId598" Type="http://schemas.openxmlformats.org/officeDocument/2006/relationships/hyperlink" Target="http://www.wfaa.com/story/news/crime/2014/09/23/man-death-police-custody-pepper-spray-dallas-university-park-police/16100715/" TargetMode="External"/><Relationship Id="rId599" Type="http://schemas.openxmlformats.org/officeDocument/2006/relationships/hyperlink" Target="http://www.elkharttruth.com/news/crime-fire-courts/2014/09/29/Joseph-Adam-Lee-died-from-multiple-gunshot-wounds-shooting-investigation-continues.html" TargetMode="External"/><Relationship Id="rId1270" Type="http://schemas.openxmlformats.org/officeDocument/2006/relationships/hyperlink" Target="http://www.wvva.com/story/29931732/2015/09/01/police-engage-active-shooter-in-bluefield" TargetMode="External"/><Relationship Id="rId1271" Type="http://schemas.openxmlformats.org/officeDocument/2006/relationships/hyperlink" Target="http://www.newsnet5.com/news/local-news/oh-cuyahoga/3-people-shot-in-twinsburg-kent-state-regional-academic-center-in-lockdown-officials-confirm" TargetMode="External"/><Relationship Id="rId1272" Type="http://schemas.openxmlformats.org/officeDocument/2006/relationships/hyperlink" Target="http://krqe.com/2015/09/01/artesia-man-killed-after-shootout-with-police/" TargetMode="External"/><Relationship Id="rId1273" Type="http://schemas.openxmlformats.org/officeDocument/2006/relationships/hyperlink" Target="http://www.nj.com/essex/index.ssf/2015/09/carjacking_leads_to_death_of_juvenile_suspect_poli.html" TargetMode="External"/><Relationship Id="rId1274" Type="http://schemas.openxmlformats.org/officeDocument/2006/relationships/hyperlink" Target="http://www.azfamily.com/story/30135717/ycso-identifies-deputies-who-shot-killed-armed-suspect" TargetMode="External"/><Relationship Id="rId1275" Type="http://schemas.openxmlformats.org/officeDocument/2006/relationships/hyperlink" Target="http://wishtv.com/2015/09/25/police-possibly-impaired-officer-hits-kills-pedestrian/" TargetMode="External"/><Relationship Id="rId1276" Type="http://schemas.openxmlformats.org/officeDocument/2006/relationships/hyperlink" Target="http://www.wowktv.com/story/30144266/wv-turnpike-shut-down-following-shots-fired-near-north-beckley" TargetMode="External"/><Relationship Id="rId1277" Type="http://schemas.openxmlformats.org/officeDocument/2006/relationships/hyperlink" Target="http://www.keloland.com/newsdetail.cfm/fatal-officer-involved-shooting/?id=185571" TargetMode="External"/><Relationship Id="rId1278" Type="http://schemas.openxmlformats.org/officeDocument/2006/relationships/hyperlink" Target="http://www.startribune.com/sheriff-deputy-fatally-shoots-man-attacking-him-in-mora/330238731/" TargetMode="External"/><Relationship Id="rId1279" Type="http://schemas.openxmlformats.org/officeDocument/2006/relationships/hyperlink" Target="http://www.al.com/news/index.ssf/2015/10/georgia_state_trooper_fired_fo.html" TargetMode="External"/><Relationship Id="rId270" Type="http://schemas.openxmlformats.org/officeDocument/2006/relationships/hyperlink" Target="http://www.denverpost.com/news/ci_28264788/man-was-fatally-shot-following-high-speed-chase" TargetMode="External"/><Relationship Id="rId271" Type="http://schemas.openxmlformats.org/officeDocument/2006/relationships/hyperlink" Target="http://www.killedbypolice.net/victims/150491.jpg" TargetMode="External"/><Relationship Id="rId272" Type="http://schemas.openxmlformats.org/officeDocument/2006/relationships/hyperlink" Target="http://www.kionrightnow.com/news/local-news/officer-involvedshooting-in-watsonville-saturday-night-police-said/33444158" TargetMode="External"/><Relationship Id="rId273" Type="http://schemas.openxmlformats.org/officeDocument/2006/relationships/hyperlink" Target="http://www.mrt.com/news/crime/article_eccc8aa0-0ccd-11e5-92a5-e30a35ff1af1.html" TargetMode="External"/><Relationship Id="rId274" Type="http://schemas.openxmlformats.org/officeDocument/2006/relationships/hyperlink" Target="http://www.wboy.com/story/29256189/monongalia-county-deputies-shoot-suspect-after-vehicle-pursuit" TargetMode="External"/><Relationship Id="rId275" Type="http://schemas.openxmlformats.org/officeDocument/2006/relationships/hyperlink" Target="http://www.nbcphiladelphia.com/news/breaking/Rising-Sun-Pizza-Robbery-Shooting-306241121.html" TargetMode="External"/><Relationship Id="rId276" Type="http://schemas.openxmlformats.org/officeDocument/2006/relationships/hyperlink" Target="http://www.keyt.com/news/officer-involved-shooting-in-santa-maria-following-domestic-abuse-call/33434948" TargetMode="External"/><Relationship Id="rId277" Type="http://schemas.openxmlformats.org/officeDocument/2006/relationships/hyperlink" Target="http://www.killedbypolice.net/victims/150488.jpg" TargetMode="External"/><Relationship Id="rId278" Type="http://schemas.openxmlformats.org/officeDocument/2006/relationships/hyperlink" Target="http://sanfrancisco.cbslocal.com/2015/06/05/bicyclist-fatally-struck-san-francisco-police-car-mclaren-park/" TargetMode="External"/><Relationship Id="rId279" Type="http://schemas.openxmlformats.org/officeDocument/2006/relationships/hyperlink" Target="http://www.killedbypolice.net/victims/150483.jpg" TargetMode="External"/><Relationship Id="rId720" Type="http://schemas.openxmlformats.org/officeDocument/2006/relationships/hyperlink" Target="http://collegian.csufresno.edu/2014/03/07/woman-shot-twice-killed-by-fresno-police-officer-in-apartment-complex-west-of-campus/" TargetMode="External"/><Relationship Id="rId721" Type="http://schemas.openxmlformats.org/officeDocument/2006/relationships/hyperlink" Target="http://www.indystar.com/story/news/crime/2014/03/05/4-indianapolis-swat-officers-shot-suspect-is-killed/6097619/" TargetMode="External"/><Relationship Id="rId722" Type="http://schemas.openxmlformats.org/officeDocument/2006/relationships/hyperlink" Target="http://www.utsandiego.com/news/2014/feb/26/suicidal-man-rifle-downtown-san-diego/" TargetMode="External"/><Relationship Id="rId723" Type="http://schemas.openxmlformats.org/officeDocument/2006/relationships/hyperlink" Target="http://www.news-gazette.com/news/local/2014-02-26/state-police-investigate-fatal-shooting-after-chase-danville.html" TargetMode="External"/><Relationship Id="rId724" Type="http://schemas.openxmlformats.org/officeDocument/2006/relationships/hyperlink" Target="http://thenewsherald.com/articles/2014/02/28/news/doc5310a54ba9b5b176742526.txt" TargetMode="External"/><Relationship Id="rId725" Type="http://schemas.openxmlformats.org/officeDocument/2006/relationships/hyperlink" Target="http://rollingout.com/wp-content/uploads/2014/02/Kenneth-Lucas-and-Family.jpg?f66a58" TargetMode="External"/><Relationship Id="rId726" Type="http://schemas.openxmlformats.org/officeDocument/2006/relationships/hyperlink" Target="http://rollingout.com/news/why-did-kenneth-lucas-jailed-in-texas-die-after-guards-left-cell/" TargetMode="External"/><Relationship Id="rId727" Type="http://schemas.openxmlformats.org/officeDocument/2006/relationships/hyperlink" Target="http://www.abc15.com/dpp/news/region_phoenix_metro/central_phoenix/phoenix-police-investigating-officer-involved-shooting-near-19th-avenue-and-culver-street" TargetMode="External"/><Relationship Id="rId728" Type="http://schemas.openxmlformats.org/officeDocument/2006/relationships/hyperlink" Target="http://www.chronline.com/article_b54aecd0-94b9-11e3-8b34-001a4bcf887a.html" TargetMode="External"/><Relationship Id="rId729" Type="http://schemas.openxmlformats.org/officeDocument/2006/relationships/hyperlink" Target="http://chippewa.com/dunnconnect/news/local/suspect-shot-during-search-warrant-in-town-of-red-cedar/article_c7a4ae88-2f57-59fd-a566-2ee0bef8573b.html" TargetMode="External"/><Relationship Id="rId1400" Type="http://schemas.openxmlformats.org/officeDocument/2006/relationships/hyperlink" Target="http://www.walb.com/story/28916690/sylvester-man-run-over-by-patrol-car" TargetMode="External"/><Relationship Id="rId1401" Type="http://schemas.openxmlformats.org/officeDocument/2006/relationships/hyperlink" Target="http://media.philly.com/images/PERMINT_PHOTOSHOP.gif" TargetMode="External"/><Relationship Id="rId1402" Type="http://schemas.openxmlformats.org/officeDocument/2006/relationships/hyperlink" Target="http://www.wboc.com/story/28290659/harbeson-man-dies-in-fatal-cra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467"/>
  <sheetViews>
    <sheetView tabSelected="1" workbookViewId="0">
      <pane xSplit="1" ySplit="1" topLeftCell="B2" activePane="bottomRight" state="frozen"/>
      <selection pane="topRight" activeCell="B1" sqref="B1"/>
      <selection pane="bottomLeft" activeCell="A2" sqref="A2"/>
      <selection pane="bottomRight" activeCell="A40" sqref="A40"/>
    </sheetView>
  </sheetViews>
  <sheetFormatPr baseColWidth="10" defaultColWidth="17.33203125" defaultRowHeight="15" customHeight="1" x14ac:dyDescent="0"/>
  <cols>
    <col min="1" max="1" width="25.1640625" style="8" customWidth="1"/>
    <col min="2" max="2" width="5.33203125" style="16" customWidth="1"/>
    <col min="3" max="3" width="8.83203125" style="8" customWidth="1"/>
    <col min="4" max="4" width="12.83203125" style="8" customWidth="1"/>
    <col min="5" max="5" width="19.5" style="8" customWidth="1"/>
    <col min="6" max="6" width="11.6640625" style="17" customWidth="1"/>
    <col min="7" max="7" width="24.5" style="8" customWidth="1"/>
    <col min="8" max="8" width="17.1640625" style="8" customWidth="1"/>
    <col min="9" max="9" width="10.33203125" style="8" customWidth="1"/>
    <col min="10" max="10" width="23.1640625" style="16" customWidth="1"/>
    <col min="11" max="11" width="27.83203125" style="2" customWidth="1"/>
    <col min="12" max="12" width="53.6640625" style="8" customWidth="1"/>
    <col min="13" max="13" width="14.5" style="8" customWidth="1"/>
    <col min="14" max="15" width="26" style="8" customWidth="1"/>
    <col min="16" max="16" width="17.1640625" style="8" customWidth="1"/>
    <col min="17" max="17" width="26.83203125" style="12" customWidth="1"/>
    <col min="18" max="18" width="26" style="8" customWidth="1"/>
    <col min="19" max="19" width="17.1640625" style="2" customWidth="1"/>
    <col min="20" max="21" width="17.33203125" style="2" customWidth="1"/>
    <col min="22" max="16384" width="17.33203125" style="2"/>
  </cols>
  <sheetData>
    <row r="1" spans="1:21" s="18" customFormat="1" ht="13.5" customHeight="1">
      <c r="A1" s="4" t="s">
        <v>0</v>
      </c>
      <c r="B1" s="19" t="s">
        <v>1</v>
      </c>
      <c r="C1" s="4" t="s">
        <v>2</v>
      </c>
      <c r="D1" s="4" t="s">
        <v>3</v>
      </c>
      <c r="E1" s="4" t="s">
        <v>4</v>
      </c>
      <c r="F1" s="15" t="s">
        <v>5</v>
      </c>
      <c r="G1" s="4" t="s">
        <v>6</v>
      </c>
      <c r="H1" s="4" t="s">
        <v>7</v>
      </c>
      <c r="I1" s="4" t="s">
        <v>8</v>
      </c>
      <c r="J1" s="19" t="s">
        <v>9</v>
      </c>
      <c r="K1" s="18" t="s">
        <v>10</v>
      </c>
      <c r="L1" s="4" t="s">
        <v>11</v>
      </c>
      <c r="M1" s="4" t="s">
        <v>12</v>
      </c>
      <c r="N1" s="4" t="s">
        <v>13</v>
      </c>
      <c r="O1" s="4" t="s">
        <v>14</v>
      </c>
      <c r="P1" s="4" t="s">
        <v>15</v>
      </c>
      <c r="Q1" s="4" t="s">
        <v>16</v>
      </c>
      <c r="R1" s="4" t="s">
        <v>17</v>
      </c>
      <c r="S1" s="5" t="s">
        <v>18</v>
      </c>
      <c r="T1" s="14"/>
      <c r="U1" s="4"/>
    </row>
    <row r="2" spans="1:21" s="42" customFormat="1" ht="12">
      <c r="A2" s="42" t="s">
        <v>21203</v>
      </c>
      <c r="B2" s="46">
        <v>51</v>
      </c>
      <c r="C2" s="42" t="s">
        <v>20</v>
      </c>
      <c r="D2" s="42" t="s">
        <v>85</v>
      </c>
      <c r="E2" s="42" t="s">
        <v>21202</v>
      </c>
      <c r="F2" s="43">
        <v>42353</v>
      </c>
      <c r="G2" s="42" t="s">
        <v>21206</v>
      </c>
      <c r="H2" s="42" t="s">
        <v>288</v>
      </c>
      <c r="I2" s="42" t="s">
        <v>73</v>
      </c>
      <c r="L2" s="42" t="s">
        <v>289</v>
      </c>
      <c r="M2" s="42" t="s">
        <v>27</v>
      </c>
      <c r="N2" s="42" t="s">
        <v>21205</v>
      </c>
      <c r="P2" s="29" t="s">
        <v>405</v>
      </c>
      <c r="Q2" s="42" t="s">
        <v>21204</v>
      </c>
      <c r="S2" s="8" t="s">
        <v>35</v>
      </c>
      <c r="T2" s="8"/>
    </row>
    <row r="3" spans="1:21" s="42" customFormat="1" ht="12">
      <c r="A3" s="42" t="s">
        <v>21209</v>
      </c>
      <c r="B3" s="46">
        <v>64</v>
      </c>
      <c r="C3" s="42" t="s">
        <v>20</v>
      </c>
      <c r="D3" s="42" t="s">
        <v>21</v>
      </c>
      <c r="E3" s="42" t="s">
        <v>21210</v>
      </c>
      <c r="F3" s="43">
        <v>42353</v>
      </c>
      <c r="G3" s="42" t="s">
        <v>21211</v>
      </c>
      <c r="H3" s="42" t="s">
        <v>1220</v>
      </c>
      <c r="I3" s="42" t="s">
        <v>306</v>
      </c>
      <c r="K3" s="42" t="s">
        <v>1221</v>
      </c>
      <c r="L3" s="42" t="s">
        <v>1222</v>
      </c>
      <c r="M3" s="42" t="s">
        <v>2312</v>
      </c>
      <c r="N3" s="42" t="s">
        <v>21207</v>
      </c>
      <c r="P3" s="29" t="s">
        <v>405</v>
      </c>
      <c r="Q3" s="42" t="s">
        <v>21208</v>
      </c>
      <c r="S3" s="8" t="s">
        <v>18</v>
      </c>
      <c r="T3" s="8"/>
    </row>
    <row r="4" spans="1:21" s="42" customFormat="1" ht="12">
      <c r="A4" s="42" t="s">
        <v>21142</v>
      </c>
      <c r="B4" s="46">
        <v>48</v>
      </c>
      <c r="C4" s="42" t="s">
        <v>115</v>
      </c>
      <c r="D4" s="42" t="s">
        <v>30</v>
      </c>
      <c r="F4" s="43">
        <v>42352</v>
      </c>
      <c r="G4" s="42" t="s">
        <v>21135</v>
      </c>
      <c r="H4" s="42" t="s">
        <v>661</v>
      </c>
      <c r="I4" s="42" t="s">
        <v>272</v>
      </c>
      <c r="K4" s="42" t="s">
        <v>574</v>
      </c>
      <c r="L4" s="42" t="s">
        <v>575</v>
      </c>
      <c r="M4" s="42" t="s">
        <v>27</v>
      </c>
      <c r="N4" s="42" t="s">
        <v>21136</v>
      </c>
      <c r="P4" s="29" t="s">
        <v>405</v>
      </c>
      <c r="Q4" s="42" t="s">
        <v>21137</v>
      </c>
      <c r="R4" s="42" t="s">
        <v>559</v>
      </c>
      <c r="S4" s="8" t="s">
        <v>28</v>
      </c>
      <c r="T4" s="8"/>
    </row>
    <row r="5" spans="1:21" s="42" customFormat="1" ht="12">
      <c r="A5" s="42" t="s">
        <v>21170</v>
      </c>
      <c r="B5" s="46">
        <v>32</v>
      </c>
      <c r="C5" s="42" t="s">
        <v>20</v>
      </c>
      <c r="D5" s="42" t="s">
        <v>48</v>
      </c>
      <c r="F5" s="43">
        <v>42352</v>
      </c>
      <c r="G5" s="42" t="s">
        <v>21171</v>
      </c>
      <c r="H5" s="42" t="s">
        <v>1311</v>
      </c>
      <c r="I5" s="42" t="s">
        <v>212</v>
      </c>
      <c r="L5" s="42" t="s">
        <v>21172</v>
      </c>
      <c r="M5" s="42" t="s">
        <v>27</v>
      </c>
      <c r="P5" s="29" t="s">
        <v>405</v>
      </c>
      <c r="Q5" s="42" t="s">
        <v>21173</v>
      </c>
      <c r="S5" s="8" t="s">
        <v>28</v>
      </c>
      <c r="T5" s="8"/>
    </row>
    <row r="6" spans="1:21" s="42" customFormat="1" ht="12">
      <c r="A6" s="42" t="s">
        <v>21184</v>
      </c>
      <c r="B6" s="46">
        <v>19</v>
      </c>
      <c r="C6" s="42" t="s">
        <v>20</v>
      </c>
      <c r="D6" s="42" t="s">
        <v>48</v>
      </c>
      <c r="E6" s="42" t="s">
        <v>21185</v>
      </c>
      <c r="F6" s="43">
        <v>42352</v>
      </c>
      <c r="G6" s="42" t="s">
        <v>21180</v>
      </c>
      <c r="H6" s="42" t="s">
        <v>21181</v>
      </c>
      <c r="I6" s="42" t="s">
        <v>45</v>
      </c>
      <c r="L6" s="42" t="s">
        <v>21182</v>
      </c>
      <c r="M6" s="42" t="s">
        <v>27</v>
      </c>
      <c r="P6" s="29" t="s">
        <v>405</v>
      </c>
      <c r="Q6" s="42" t="s">
        <v>21183</v>
      </c>
      <c r="S6" s="8" t="s">
        <v>35</v>
      </c>
      <c r="T6" s="8"/>
    </row>
    <row r="7" spans="1:21" s="42" customFormat="1" ht="12">
      <c r="A7" s="42" t="s">
        <v>21187</v>
      </c>
      <c r="B7" s="46">
        <v>52</v>
      </c>
      <c r="C7" s="42" t="s">
        <v>20</v>
      </c>
      <c r="D7" s="42" t="s">
        <v>30</v>
      </c>
      <c r="F7" s="43">
        <v>42352</v>
      </c>
      <c r="G7" s="42" t="s">
        <v>21190</v>
      </c>
      <c r="H7" s="42" t="s">
        <v>21191</v>
      </c>
      <c r="I7" s="42" t="s">
        <v>52</v>
      </c>
      <c r="L7" s="42" t="s">
        <v>234</v>
      </c>
      <c r="M7" s="42" t="s">
        <v>27</v>
      </c>
      <c r="P7" s="29" t="s">
        <v>405</v>
      </c>
      <c r="Q7" s="42" t="s">
        <v>21193</v>
      </c>
      <c r="S7" s="8" t="s">
        <v>28</v>
      </c>
      <c r="T7" s="8"/>
    </row>
    <row r="8" spans="1:21" s="42" customFormat="1" ht="12">
      <c r="A8" s="42" t="s">
        <v>21174</v>
      </c>
      <c r="B8" s="46">
        <v>33</v>
      </c>
      <c r="C8" s="42" t="s">
        <v>20</v>
      </c>
      <c r="D8" s="42" t="s">
        <v>37</v>
      </c>
      <c r="E8" s="42" t="s">
        <v>21179</v>
      </c>
      <c r="F8" s="43">
        <v>42352</v>
      </c>
      <c r="G8" s="42" t="s">
        <v>21175</v>
      </c>
      <c r="H8" s="42" t="s">
        <v>21176</v>
      </c>
      <c r="I8" s="42" t="s">
        <v>152</v>
      </c>
      <c r="L8" s="42" t="s">
        <v>21177</v>
      </c>
      <c r="M8" s="42" t="s">
        <v>27</v>
      </c>
      <c r="P8" s="29" t="s">
        <v>405</v>
      </c>
      <c r="Q8" s="42" t="s">
        <v>21178</v>
      </c>
      <c r="S8" s="8" t="s">
        <v>28</v>
      </c>
      <c r="T8" s="8"/>
    </row>
    <row r="9" spans="1:21" s="42" customFormat="1" ht="12">
      <c r="A9" s="42" t="s">
        <v>21186</v>
      </c>
      <c r="B9" s="46">
        <v>56</v>
      </c>
      <c r="C9" s="42" t="s">
        <v>20</v>
      </c>
      <c r="D9" s="42" t="s">
        <v>37</v>
      </c>
      <c r="E9" s="42" t="s">
        <v>21195</v>
      </c>
      <c r="F9" s="43">
        <v>42352</v>
      </c>
      <c r="G9" s="42" t="s">
        <v>21188</v>
      </c>
      <c r="H9" s="42" t="s">
        <v>21189</v>
      </c>
      <c r="I9" s="42" t="s">
        <v>323</v>
      </c>
      <c r="L9" s="42" t="s">
        <v>21192</v>
      </c>
      <c r="M9" s="42" t="s">
        <v>27</v>
      </c>
      <c r="P9" s="29" t="s">
        <v>405</v>
      </c>
      <c r="Q9" s="42" t="s">
        <v>21194</v>
      </c>
      <c r="S9" s="8" t="s">
        <v>35</v>
      </c>
      <c r="T9" s="8"/>
    </row>
    <row r="10" spans="1:21" s="42" customFormat="1" ht="12">
      <c r="A10" s="42" t="s">
        <v>21141</v>
      </c>
      <c r="B10" s="46">
        <v>45</v>
      </c>
      <c r="C10" s="42" t="s">
        <v>20</v>
      </c>
      <c r="D10" s="42" t="s">
        <v>48</v>
      </c>
      <c r="E10" s="42" t="s">
        <v>21140</v>
      </c>
      <c r="F10" s="43">
        <v>42352</v>
      </c>
      <c r="G10" s="42" t="s">
        <v>21132</v>
      </c>
      <c r="H10" s="42" t="s">
        <v>661</v>
      </c>
      <c r="I10" s="42" t="s">
        <v>272</v>
      </c>
      <c r="K10" s="42" t="s">
        <v>574</v>
      </c>
      <c r="L10" s="42" t="s">
        <v>575</v>
      </c>
      <c r="M10" s="42" t="s">
        <v>27</v>
      </c>
      <c r="N10" s="42" t="s">
        <v>21133</v>
      </c>
      <c r="P10" s="29" t="s">
        <v>405</v>
      </c>
      <c r="Q10" s="42" t="s">
        <v>21134</v>
      </c>
      <c r="S10" s="8" t="s">
        <v>28</v>
      </c>
      <c r="T10" s="8"/>
    </row>
    <row r="11" spans="1:21" s="42" customFormat="1" ht="12">
      <c r="A11" s="42" t="s">
        <v>19347</v>
      </c>
      <c r="B11" s="46" t="s">
        <v>29</v>
      </c>
      <c r="C11" s="42" t="s">
        <v>20</v>
      </c>
      <c r="D11" s="42" t="s">
        <v>30</v>
      </c>
      <c r="F11" s="43">
        <v>42352</v>
      </c>
      <c r="G11" s="42" t="s">
        <v>21129</v>
      </c>
      <c r="H11" s="42" t="s">
        <v>493</v>
      </c>
      <c r="I11" s="42" t="s">
        <v>45</v>
      </c>
      <c r="L11" s="42" t="s">
        <v>494</v>
      </c>
      <c r="M11" s="42" t="s">
        <v>27</v>
      </c>
      <c r="N11" s="42" t="s">
        <v>21130</v>
      </c>
      <c r="P11" s="29" t="s">
        <v>405</v>
      </c>
      <c r="Q11" s="42" t="s">
        <v>21131</v>
      </c>
      <c r="S11" s="8" t="s">
        <v>28</v>
      </c>
      <c r="T11" s="8"/>
    </row>
    <row r="12" spans="1:21" s="42" customFormat="1" ht="12">
      <c r="A12" s="42" t="s">
        <v>21163</v>
      </c>
      <c r="B12" s="46">
        <v>30</v>
      </c>
      <c r="C12" s="42" t="s">
        <v>20</v>
      </c>
      <c r="D12" s="42" t="s">
        <v>950</v>
      </c>
      <c r="E12" s="42" t="s">
        <v>21162</v>
      </c>
      <c r="F12" s="43">
        <v>42351</v>
      </c>
      <c r="G12" s="42" t="s">
        <v>21159</v>
      </c>
      <c r="H12" s="42" t="s">
        <v>21160</v>
      </c>
      <c r="I12" s="42" t="s">
        <v>306</v>
      </c>
      <c r="L12" s="42" t="s">
        <v>21161</v>
      </c>
      <c r="M12" s="42" t="s">
        <v>27</v>
      </c>
      <c r="P12" s="29" t="s">
        <v>405</v>
      </c>
      <c r="Q12" s="42" t="s">
        <v>21164</v>
      </c>
      <c r="S12" s="8" t="s">
        <v>28</v>
      </c>
      <c r="T12" s="8"/>
    </row>
    <row r="13" spans="1:21" s="42" customFormat="1" ht="12">
      <c r="A13" s="42" t="s">
        <v>21165</v>
      </c>
      <c r="B13" s="46">
        <v>21</v>
      </c>
      <c r="C13" s="42" t="s">
        <v>20</v>
      </c>
      <c r="D13" s="42" t="s">
        <v>37</v>
      </c>
      <c r="E13" s="42" t="s">
        <v>21169</v>
      </c>
      <c r="F13" s="43">
        <v>42351</v>
      </c>
      <c r="G13" s="42" t="s">
        <v>21166</v>
      </c>
      <c r="H13" s="42" t="s">
        <v>168</v>
      </c>
      <c r="I13" s="42" t="s">
        <v>73</v>
      </c>
      <c r="L13" s="42" t="s">
        <v>21167</v>
      </c>
      <c r="M13" s="42" t="s">
        <v>27</v>
      </c>
      <c r="P13" s="29" t="s">
        <v>405</v>
      </c>
      <c r="Q13" s="42" t="s">
        <v>21168</v>
      </c>
      <c r="S13" s="8" t="s">
        <v>28</v>
      </c>
      <c r="T13" s="8"/>
    </row>
    <row r="14" spans="1:21" s="42" customFormat="1" ht="12">
      <c r="A14" s="42" t="s">
        <v>21196</v>
      </c>
      <c r="B14" s="46">
        <v>20</v>
      </c>
      <c r="C14" s="42" t="s">
        <v>20</v>
      </c>
      <c r="D14" s="42" t="s">
        <v>30</v>
      </c>
      <c r="F14" s="43">
        <v>42350</v>
      </c>
      <c r="G14" s="42" t="s">
        <v>21201</v>
      </c>
      <c r="H14" s="42" t="s">
        <v>21200</v>
      </c>
      <c r="I14" s="42" t="s">
        <v>408</v>
      </c>
      <c r="L14" s="42" t="s">
        <v>21198</v>
      </c>
      <c r="M14" s="42" t="s">
        <v>27</v>
      </c>
      <c r="N14" s="42" t="s">
        <v>21199</v>
      </c>
      <c r="P14" s="29" t="s">
        <v>405</v>
      </c>
      <c r="Q14" s="42" t="s">
        <v>21197</v>
      </c>
      <c r="S14" s="8" t="s">
        <v>28</v>
      </c>
      <c r="T14" s="8"/>
    </row>
    <row r="15" spans="1:21" s="42" customFormat="1" ht="12">
      <c r="A15" s="42" t="s">
        <v>21139</v>
      </c>
      <c r="B15" s="46">
        <v>33</v>
      </c>
      <c r="C15" s="42" t="s">
        <v>20</v>
      </c>
      <c r="D15" s="42" t="s">
        <v>85</v>
      </c>
      <c r="F15" s="43">
        <v>42350</v>
      </c>
      <c r="G15" s="42" t="s">
        <v>21102</v>
      </c>
      <c r="H15" s="42" t="s">
        <v>1048</v>
      </c>
      <c r="I15" s="42" t="s">
        <v>25</v>
      </c>
      <c r="L15" s="42" t="s">
        <v>1050</v>
      </c>
      <c r="M15" s="42" t="s">
        <v>27</v>
      </c>
      <c r="P15" s="29" t="s">
        <v>405</v>
      </c>
      <c r="Q15" s="42" t="s">
        <v>21103</v>
      </c>
      <c r="S15" s="8" t="s">
        <v>28</v>
      </c>
      <c r="T15" s="8"/>
    </row>
    <row r="16" spans="1:21" s="42" customFormat="1" ht="12">
      <c r="A16" s="42" t="s">
        <v>21118</v>
      </c>
      <c r="B16" s="46">
        <v>25</v>
      </c>
      <c r="C16" s="42" t="s">
        <v>20</v>
      </c>
      <c r="D16" s="42" t="s">
        <v>85</v>
      </c>
      <c r="E16" s="42" t="s">
        <v>21119</v>
      </c>
      <c r="F16" s="43">
        <v>42350</v>
      </c>
      <c r="G16" s="42" t="s">
        <v>21120</v>
      </c>
      <c r="H16" s="42" t="s">
        <v>219</v>
      </c>
      <c r="I16" s="42" t="s">
        <v>220</v>
      </c>
      <c r="L16" s="42" t="s">
        <v>221</v>
      </c>
      <c r="M16" s="42" t="s">
        <v>27</v>
      </c>
      <c r="N16" s="42" t="s">
        <v>21121</v>
      </c>
      <c r="P16" s="29" t="s">
        <v>405</v>
      </c>
      <c r="Q16" s="42" t="s">
        <v>21122</v>
      </c>
      <c r="S16" s="8" t="s">
        <v>28</v>
      </c>
      <c r="T16" s="8"/>
    </row>
    <row r="17" spans="1:20" s="42" customFormat="1" ht="12">
      <c r="A17" s="42" t="s">
        <v>21108</v>
      </c>
      <c r="B17" s="46">
        <v>24</v>
      </c>
      <c r="C17" s="42" t="s">
        <v>20</v>
      </c>
      <c r="D17" s="42" t="s">
        <v>85</v>
      </c>
      <c r="E17" s="42" t="s">
        <v>21109</v>
      </c>
      <c r="F17" s="43">
        <v>42350</v>
      </c>
      <c r="G17" s="42" t="s">
        <v>21110</v>
      </c>
      <c r="H17" s="42" t="s">
        <v>1226</v>
      </c>
      <c r="I17" s="42" t="s">
        <v>323</v>
      </c>
      <c r="L17" s="42" t="s">
        <v>1227</v>
      </c>
      <c r="M17" s="42" t="s">
        <v>27</v>
      </c>
      <c r="N17" s="42" t="s">
        <v>21111</v>
      </c>
      <c r="P17" s="29" t="s">
        <v>405</v>
      </c>
      <c r="Q17" s="42" t="s">
        <v>21112</v>
      </c>
      <c r="R17" s="42" t="s">
        <v>559</v>
      </c>
      <c r="S17" s="8" t="s">
        <v>28</v>
      </c>
      <c r="T17" s="8"/>
    </row>
    <row r="18" spans="1:20" s="42" customFormat="1" ht="12">
      <c r="A18" s="42" t="s">
        <v>21113</v>
      </c>
      <c r="B18" s="46">
        <v>28</v>
      </c>
      <c r="C18" s="42" t="s">
        <v>20</v>
      </c>
      <c r="D18" s="42" t="s">
        <v>85</v>
      </c>
      <c r="E18" s="42" t="s">
        <v>21114</v>
      </c>
      <c r="F18" s="43">
        <v>42350</v>
      </c>
      <c r="G18" s="42" t="s">
        <v>21115</v>
      </c>
      <c r="H18" s="42" t="s">
        <v>7641</v>
      </c>
      <c r="I18" s="42" t="s">
        <v>45</v>
      </c>
      <c r="K18" s="42" t="s">
        <v>98</v>
      </c>
      <c r="L18" s="42" t="s">
        <v>418</v>
      </c>
      <c r="M18" s="42" t="s">
        <v>27</v>
      </c>
      <c r="N18" s="42" t="s">
        <v>21116</v>
      </c>
      <c r="P18" s="29" t="s">
        <v>405</v>
      </c>
      <c r="Q18" s="42" t="s">
        <v>21117</v>
      </c>
      <c r="S18" s="8" t="s">
        <v>28</v>
      </c>
      <c r="T18" s="8"/>
    </row>
    <row r="19" spans="1:20" s="42" customFormat="1" ht="12">
      <c r="A19" s="42" t="s">
        <v>21104</v>
      </c>
      <c r="B19" s="46">
        <v>51</v>
      </c>
      <c r="C19" s="42" t="s">
        <v>115</v>
      </c>
      <c r="D19" s="42" t="s">
        <v>37</v>
      </c>
      <c r="E19" s="42" t="s">
        <v>21138</v>
      </c>
      <c r="F19" s="43">
        <v>42350</v>
      </c>
      <c r="G19" s="42" t="s">
        <v>21105</v>
      </c>
      <c r="H19" s="42" t="s">
        <v>851</v>
      </c>
      <c r="I19" s="42" t="s">
        <v>73</v>
      </c>
      <c r="L19" s="42" t="s">
        <v>852</v>
      </c>
      <c r="M19" s="42" t="s">
        <v>27</v>
      </c>
      <c r="N19" s="42" t="s">
        <v>21106</v>
      </c>
      <c r="P19" s="29" t="s">
        <v>405</v>
      </c>
      <c r="Q19" s="42" t="s">
        <v>21107</v>
      </c>
      <c r="R19" s="42" t="s">
        <v>559</v>
      </c>
      <c r="S19" s="8" t="s">
        <v>28</v>
      </c>
      <c r="T19" s="8"/>
    </row>
    <row r="20" spans="1:20" s="42" customFormat="1" ht="12">
      <c r="A20" s="42" t="s">
        <v>19347</v>
      </c>
      <c r="B20" s="46" t="s">
        <v>29</v>
      </c>
      <c r="C20" s="42" t="s">
        <v>20</v>
      </c>
      <c r="D20" s="42" t="s">
        <v>30</v>
      </c>
      <c r="F20" s="43">
        <v>42350</v>
      </c>
      <c r="G20" s="42" t="s">
        <v>21151</v>
      </c>
      <c r="H20" s="42" t="s">
        <v>3871</v>
      </c>
      <c r="I20" s="42" t="s">
        <v>212</v>
      </c>
      <c r="L20" s="42" t="s">
        <v>3874</v>
      </c>
      <c r="M20" s="42" t="s">
        <v>27</v>
      </c>
      <c r="P20" s="29" t="s">
        <v>405</v>
      </c>
      <c r="Q20" s="42" t="s">
        <v>21153</v>
      </c>
      <c r="S20" s="8" t="s">
        <v>28</v>
      </c>
      <c r="T20" s="8"/>
    </row>
    <row r="21" spans="1:20" s="42" customFormat="1" ht="12">
      <c r="A21" s="42" t="s">
        <v>19347</v>
      </c>
      <c r="B21" s="46">
        <v>49</v>
      </c>
      <c r="C21" s="42" t="s">
        <v>20</v>
      </c>
      <c r="D21" s="42" t="s">
        <v>30</v>
      </c>
      <c r="F21" s="43">
        <v>42350</v>
      </c>
      <c r="G21" s="42" t="s">
        <v>21152</v>
      </c>
      <c r="H21" s="42" t="s">
        <v>313</v>
      </c>
      <c r="I21" s="42" t="s">
        <v>45</v>
      </c>
      <c r="L21" s="42" t="s">
        <v>4373</v>
      </c>
      <c r="M21" s="42" t="s">
        <v>27</v>
      </c>
      <c r="P21" s="29" t="s">
        <v>405</v>
      </c>
      <c r="Q21" s="42" t="s">
        <v>21154</v>
      </c>
      <c r="S21" s="8" t="s">
        <v>28</v>
      </c>
      <c r="T21" s="8"/>
    </row>
    <row r="22" spans="1:20" s="42" customFormat="1" ht="12">
      <c r="A22" s="42" t="s">
        <v>21157</v>
      </c>
      <c r="B22" s="46">
        <v>36</v>
      </c>
      <c r="C22" s="42" t="s">
        <v>20</v>
      </c>
      <c r="D22" s="42" t="s">
        <v>37</v>
      </c>
      <c r="E22" s="42" t="s">
        <v>21158</v>
      </c>
      <c r="F22" s="43">
        <v>42349</v>
      </c>
      <c r="G22" s="42" t="s">
        <v>21155</v>
      </c>
      <c r="H22" s="42" t="s">
        <v>565</v>
      </c>
      <c r="I22" s="42" t="s">
        <v>124</v>
      </c>
      <c r="L22" s="42" t="s">
        <v>12910</v>
      </c>
      <c r="M22" s="42" t="s">
        <v>27</v>
      </c>
      <c r="P22" s="29" t="s">
        <v>405</v>
      </c>
      <c r="Q22" s="42" t="s">
        <v>21156</v>
      </c>
      <c r="S22" s="8" t="s">
        <v>28</v>
      </c>
      <c r="T22" s="8"/>
    </row>
    <row r="23" spans="1:20" s="42" customFormat="1" ht="12">
      <c r="A23" s="42" t="s">
        <v>21019</v>
      </c>
      <c r="B23" s="46">
        <v>55</v>
      </c>
      <c r="C23" s="42" t="s">
        <v>20</v>
      </c>
      <c r="D23" s="42" t="s">
        <v>85</v>
      </c>
      <c r="E23" s="42" t="s">
        <v>21020</v>
      </c>
      <c r="F23" s="43">
        <v>42348</v>
      </c>
      <c r="G23" s="42" t="s">
        <v>21021</v>
      </c>
      <c r="H23" s="42" t="s">
        <v>21022</v>
      </c>
      <c r="I23" s="42" t="s">
        <v>32</v>
      </c>
      <c r="L23" s="42" t="s">
        <v>34</v>
      </c>
      <c r="M23" s="42" t="s">
        <v>27</v>
      </c>
      <c r="P23" s="29" t="s">
        <v>405</v>
      </c>
      <c r="Q23" s="42" t="s">
        <v>21023</v>
      </c>
      <c r="S23" s="8" t="s">
        <v>28</v>
      </c>
      <c r="T23" s="8"/>
    </row>
    <row r="24" spans="1:20" s="42" customFormat="1" ht="12">
      <c r="A24" s="42" t="s">
        <v>21123</v>
      </c>
      <c r="B24" s="46">
        <v>30</v>
      </c>
      <c r="C24" s="42" t="s">
        <v>20</v>
      </c>
      <c r="D24" s="42" t="s">
        <v>37</v>
      </c>
      <c r="E24" s="42" t="s">
        <v>21124</v>
      </c>
      <c r="F24" s="43">
        <v>42348</v>
      </c>
      <c r="G24" s="42" t="s">
        <v>21125</v>
      </c>
      <c r="H24" s="42" t="s">
        <v>219</v>
      </c>
      <c r="I24" s="42" t="s">
        <v>220</v>
      </c>
      <c r="L24" s="42" t="s">
        <v>221</v>
      </c>
      <c r="M24" s="42" t="s">
        <v>27</v>
      </c>
      <c r="N24" s="42" t="s">
        <v>21126</v>
      </c>
      <c r="P24" s="29" t="s">
        <v>405</v>
      </c>
      <c r="Q24" s="42" t="s">
        <v>21127</v>
      </c>
      <c r="S24" s="8" t="s">
        <v>28</v>
      </c>
      <c r="T24" s="8"/>
    </row>
    <row r="25" spans="1:20" s="42" customFormat="1" ht="12">
      <c r="A25" s="42" t="s">
        <v>21143</v>
      </c>
      <c r="B25" s="46">
        <v>54</v>
      </c>
      <c r="C25" s="42" t="s">
        <v>20</v>
      </c>
      <c r="D25" s="42" t="s">
        <v>30</v>
      </c>
      <c r="F25" s="43">
        <v>42348</v>
      </c>
      <c r="G25" s="42" t="s">
        <v>21144</v>
      </c>
      <c r="H25" s="42" t="s">
        <v>21145</v>
      </c>
      <c r="I25" s="42" t="s">
        <v>45</v>
      </c>
      <c r="L25" s="42" t="s">
        <v>21147</v>
      </c>
      <c r="M25" s="42" t="s">
        <v>27</v>
      </c>
      <c r="P25" s="29" t="s">
        <v>405</v>
      </c>
      <c r="Q25" s="42" t="s">
        <v>21149</v>
      </c>
      <c r="S25" s="8" t="s">
        <v>28</v>
      </c>
      <c r="T25" s="8"/>
    </row>
    <row r="26" spans="1:20" s="42" customFormat="1" ht="12">
      <c r="A26" s="42" t="s">
        <v>19347</v>
      </c>
      <c r="B26" s="46" t="s">
        <v>29</v>
      </c>
      <c r="C26" s="42" t="s">
        <v>20</v>
      </c>
      <c r="D26" s="42" t="s">
        <v>30</v>
      </c>
      <c r="F26" s="43">
        <v>42348</v>
      </c>
      <c r="G26" s="42" t="s">
        <v>21146</v>
      </c>
      <c r="H26" s="42" t="s">
        <v>790</v>
      </c>
      <c r="I26" s="42" t="s">
        <v>45</v>
      </c>
      <c r="L26" s="42" t="s">
        <v>21148</v>
      </c>
      <c r="M26" s="42" t="s">
        <v>27</v>
      </c>
      <c r="P26" s="29" t="s">
        <v>405</v>
      </c>
      <c r="Q26" s="42" t="s">
        <v>21150</v>
      </c>
      <c r="S26" s="8" t="s">
        <v>28</v>
      </c>
      <c r="T26" s="8"/>
    </row>
    <row r="27" spans="1:20" s="42" customFormat="1" ht="12">
      <c r="A27" s="42" t="s">
        <v>21027</v>
      </c>
      <c r="B27" s="46">
        <v>66</v>
      </c>
      <c r="C27" s="42" t="s">
        <v>20</v>
      </c>
      <c r="D27" s="42" t="s">
        <v>37</v>
      </c>
      <c r="E27" s="42" t="s">
        <v>21025</v>
      </c>
      <c r="F27" s="43">
        <v>42347</v>
      </c>
      <c r="G27" s="42" t="s">
        <v>21051</v>
      </c>
      <c r="H27" s="42" t="s">
        <v>21050</v>
      </c>
      <c r="I27" s="42" t="s">
        <v>319</v>
      </c>
      <c r="L27" s="42" t="s">
        <v>20717</v>
      </c>
      <c r="M27" s="42" t="s">
        <v>27</v>
      </c>
      <c r="N27" s="42" t="s">
        <v>21052</v>
      </c>
      <c r="P27" s="29" t="s">
        <v>405</v>
      </c>
      <c r="Q27" s="42" t="s">
        <v>21029</v>
      </c>
      <c r="S27" s="8" t="s">
        <v>28</v>
      </c>
    </row>
    <row r="28" spans="1:20" s="42" customFormat="1" ht="12">
      <c r="A28" s="42" t="s">
        <v>21030</v>
      </c>
      <c r="B28" s="46">
        <v>33</v>
      </c>
      <c r="C28" s="42" t="s">
        <v>20</v>
      </c>
      <c r="D28" s="42" t="s">
        <v>85</v>
      </c>
      <c r="E28" s="42" t="s">
        <v>21028</v>
      </c>
      <c r="F28" s="43">
        <v>42347</v>
      </c>
      <c r="G28" s="42" t="s">
        <v>21064</v>
      </c>
      <c r="H28" s="42" t="s">
        <v>992</v>
      </c>
      <c r="I28" s="42" t="s">
        <v>69</v>
      </c>
      <c r="L28" s="42" t="s">
        <v>21065</v>
      </c>
      <c r="M28" s="42" t="s">
        <v>27</v>
      </c>
      <c r="N28" s="42" t="s">
        <v>21053</v>
      </c>
      <c r="P28" s="29" t="s">
        <v>405</v>
      </c>
      <c r="Q28" s="42" t="s">
        <v>21032</v>
      </c>
      <c r="S28" s="8" t="s">
        <v>28</v>
      </c>
    </row>
    <row r="29" spans="1:20" s="42" customFormat="1" ht="12">
      <c r="A29" s="42" t="s">
        <v>21010</v>
      </c>
      <c r="B29" s="46">
        <v>32</v>
      </c>
      <c r="C29" s="42" t="s">
        <v>20</v>
      </c>
      <c r="D29" s="42" t="s">
        <v>85</v>
      </c>
      <c r="E29" s="42" t="s">
        <v>21006</v>
      </c>
      <c r="F29" s="43">
        <v>42347</v>
      </c>
      <c r="G29" s="42" t="s">
        <v>21012</v>
      </c>
      <c r="H29" s="42" t="s">
        <v>3541</v>
      </c>
      <c r="I29" s="42" t="s">
        <v>62</v>
      </c>
      <c r="L29" s="42" t="s">
        <v>3544</v>
      </c>
      <c r="M29" s="42" t="s">
        <v>27</v>
      </c>
      <c r="P29" s="29" t="s">
        <v>405</v>
      </c>
      <c r="Q29" s="42" t="s">
        <v>21013</v>
      </c>
      <c r="S29" s="8" t="s">
        <v>28</v>
      </c>
    </row>
    <row r="30" spans="1:20" s="42" customFormat="1" ht="12">
      <c r="A30" s="42" t="s">
        <v>21014</v>
      </c>
      <c r="B30" s="46">
        <v>51</v>
      </c>
      <c r="C30" s="42" t="s">
        <v>20</v>
      </c>
      <c r="D30" s="42" t="s">
        <v>30</v>
      </c>
      <c r="E30" s="42" t="s">
        <v>21011</v>
      </c>
      <c r="F30" s="43">
        <v>42347</v>
      </c>
      <c r="G30" s="42" t="s">
        <v>21015</v>
      </c>
      <c r="H30" s="42" t="s">
        <v>21016</v>
      </c>
      <c r="I30" s="42" t="s">
        <v>399</v>
      </c>
      <c r="L30" s="42" t="s">
        <v>21017</v>
      </c>
      <c r="M30" s="42" t="s">
        <v>27</v>
      </c>
      <c r="P30" s="29" t="s">
        <v>405</v>
      </c>
      <c r="Q30" s="42" t="s">
        <v>21018</v>
      </c>
      <c r="S30" s="8" t="s">
        <v>28</v>
      </c>
    </row>
    <row r="31" spans="1:20" s="42" customFormat="1" ht="12">
      <c r="A31" s="42" t="s">
        <v>21024</v>
      </c>
      <c r="B31" s="46">
        <v>31</v>
      </c>
      <c r="C31" s="42" t="s">
        <v>20</v>
      </c>
      <c r="D31" s="42" t="s">
        <v>85</v>
      </c>
      <c r="E31" s="42" t="s">
        <v>21020</v>
      </c>
      <c r="F31" s="43">
        <v>42347</v>
      </c>
      <c r="G31" s="42" t="s">
        <v>21048</v>
      </c>
      <c r="H31" s="42" t="s">
        <v>21049</v>
      </c>
      <c r="I31" s="42" t="s">
        <v>370</v>
      </c>
      <c r="L31" s="42" t="s">
        <v>21046</v>
      </c>
      <c r="M31" s="42" t="s">
        <v>5698</v>
      </c>
      <c r="N31" s="36" t="s">
        <v>21047</v>
      </c>
      <c r="P31" s="29" t="s">
        <v>405</v>
      </c>
      <c r="Q31" s="42" t="s">
        <v>21026</v>
      </c>
      <c r="S31" s="8" t="s">
        <v>28</v>
      </c>
    </row>
    <row r="32" spans="1:20" s="42" customFormat="1" ht="12">
      <c r="A32" s="42" t="s">
        <v>21001</v>
      </c>
      <c r="B32" s="46">
        <v>36</v>
      </c>
      <c r="C32" s="42" t="s">
        <v>20</v>
      </c>
      <c r="D32" s="42" t="s">
        <v>85</v>
      </c>
      <c r="E32" s="42" t="s">
        <v>20997</v>
      </c>
      <c r="F32" s="43">
        <v>42346</v>
      </c>
      <c r="G32" s="42" t="s">
        <v>21003</v>
      </c>
      <c r="H32" s="42" t="s">
        <v>9346</v>
      </c>
      <c r="I32" s="42" t="s">
        <v>427</v>
      </c>
      <c r="L32" s="42" t="s">
        <v>586</v>
      </c>
      <c r="M32" s="42" t="s">
        <v>27</v>
      </c>
      <c r="P32" s="29" t="s">
        <v>405</v>
      </c>
      <c r="Q32" s="42" t="s">
        <v>21004</v>
      </c>
      <c r="S32" s="42" t="s">
        <v>18</v>
      </c>
    </row>
    <row r="33" spans="1:19" s="42" customFormat="1" ht="12">
      <c r="A33" s="42" t="s">
        <v>21005</v>
      </c>
      <c r="B33" s="46">
        <v>27</v>
      </c>
      <c r="C33" s="42" t="s">
        <v>20</v>
      </c>
      <c r="D33" s="42" t="s">
        <v>37</v>
      </c>
      <c r="E33" s="42" t="s">
        <v>21002</v>
      </c>
      <c r="F33" s="43">
        <v>42346</v>
      </c>
      <c r="G33" s="42" t="s">
        <v>21007</v>
      </c>
      <c r="H33" s="42" t="s">
        <v>20287</v>
      </c>
      <c r="I33" s="42" t="s">
        <v>435</v>
      </c>
      <c r="L33" s="42" t="s">
        <v>21008</v>
      </c>
      <c r="M33" s="8" t="s">
        <v>2312</v>
      </c>
      <c r="P33" s="29" t="s">
        <v>405</v>
      </c>
      <c r="Q33" s="42" t="s">
        <v>21009</v>
      </c>
      <c r="S33" s="42" t="s">
        <v>18</v>
      </c>
    </row>
    <row r="34" spans="1:19" s="42" customFormat="1" ht="12">
      <c r="A34" s="42" t="s">
        <v>21033</v>
      </c>
      <c r="B34" s="46">
        <v>30</v>
      </c>
      <c r="C34" s="42" t="s">
        <v>20</v>
      </c>
      <c r="D34" s="42" t="s">
        <v>85</v>
      </c>
      <c r="E34" s="42" t="s">
        <v>21031</v>
      </c>
      <c r="F34" s="43">
        <v>42345</v>
      </c>
      <c r="G34" s="42" t="s">
        <v>21063</v>
      </c>
      <c r="H34" s="42" t="s">
        <v>762</v>
      </c>
      <c r="I34" s="42" t="s">
        <v>427</v>
      </c>
      <c r="L34" s="42" t="s">
        <v>586</v>
      </c>
      <c r="M34" s="42" t="s">
        <v>27</v>
      </c>
      <c r="N34" s="42" t="s">
        <v>21054</v>
      </c>
      <c r="P34" s="29" t="s">
        <v>405</v>
      </c>
      <c r="Q34" s="42" t="s">
        <v>21034</v>
      </c>
      <c r="S34" s="8" t="s">
        <v>28</v>
      </c>
    </row>
    <row r="35" spans="1:19" s="42" customFormat="1" ht="12">
      <c r="A35" s="42" t="s">
        <v>21035</v>
      </c>
      <c r="B35" s="46">
        <v>46</v>
      </c>
      <c r="C35" s="42" t="s">
        <v>20</v>
      </c>
      <c r="D35" s="42" t="s">
        <v>85</v>
      </c>
      <c r="F35" s="43">
        <v>42344</v>
      </c>
      <c r="G35" s="42" t="s">
        <v>21057</v>
      </c>
      <c r="H35" s="42" t="s">
        <v>21058</v>
      </c>
      <c r="I35" s="42" t="s">
        <v>69</v>
      </c>
      <c r="L35" s="42" t="s">
        <v>21059</v>
      </c>
      <c r="M35" s="42" t="s">
        <v>27</v>
      </c>
      <c r="N35" s="42" t="s">
        <v>21060</v>
      </c>
      <c r="P35" s="29" t="s">
        <v>405</v>
      </c>
      <c r="Q35" s="42" t="s">
        <v>21037</v>
      </c>
      <c r="S35" s="8" t="s">
        <v>28</v>
      </c>
    </row>
    <row r="36" spans="1:19" s="42" customFormat="1" ht="12">
      <c r="A36" s="42" t="s">
        <v>20996</v>
      </c>
      <c r="B36" s="46">
        <v>48</v>
      </c>
      <c r="C36" s="42" t="s">
        <v>20</v>
      </c>
      <c r="D36" s="42" t="s">
        <v>37</v>
      </c>
      <c r="E36" s="42" t="s">
        <v>20993</v>
      </c>
      <c r="F36" s="43">
        <v>42344</v>
      </c>
      <c r="G36" s="42" t="s">
        <v>20998</v>
      </c>
      <c r="H36" s="42" t="s">
        <v>1247</v>
      </c>
      <c r="I36" s="42" t="s">
        <v>1092</v>
      </c>
      <c r="L36" s="42" t="s">
        <v>20999</v>
      </c>
      <c r="M36" s="42" t="s">
        <v>27</v>
      </c>
      <c r="P36" s="29" t="s">
        <v>405</v>
      </c>
      <c r="Q36" s="42" t="s">
        <v>21000</v>
      </c>
      <c r="S36" s="8" t="s">
        <v>28</v>
      </c>
    </row>
    <row r="37" spans="1:19" s="42" customFormat="1" ht="12">
      <c r="A37" s="42" t="s">
        <v>20992</v>
      </c>
      <c r="B37" s="46">
        <v>35</v>
      </c>
      <c r="C37" s="42" t="s">
        <v>20</v>
      </c>
      <c r="D37" s="42" t="s">
        <v>37</v>
      </c>
      <c r="F37" s="43">
        <v>42344</v>
      </c>
      <c r="G37" s="42" t="s">
        <v>20994</v>
      </c>
      <c r="H37" s="42" t="s">
        <v>1220</v>
      </c>
      <c r="I37" s="42" t="s">
        <v>306</v>
      </c>
      <c r="L37" s="42" t="s">
        <v>1222</v>
      </c>
      <c r="M37" s="42" t="s">
        <v>27</v>
      </c>
      <c r="P37" s="29" t="s">
        <v>405</v>
      </c>
      <c r="Q37" s="42" t="s">
        <v>20995</v>
      </c>
      <c r="S37" s="8" t="s">
        <v>28</v>
      </c>
    </row>
    <row r="38" spans="1:19" s="42" customFormat="1" ht="12">
      <c r="A38" s="42" t="s">
        <v>19347</v>
      </c>
      <c r="B38" s="46" t="s">
        <v>21038</v>
      </c>
      <c r="C38" s="42" t="s">
        <v>20</v>
      </c>
      <c r="D38" s="42" t="s">
        <v>37</v>
      </c>
      <c r="E38" s="42" t="s">
        <v>21036</v>
      </c>
      <c r="F38" s="43">
        <v>42344</v>
      </c>
      <c r="G38" s="42" t="s">
        <v>21039</v>
      </c>
      <c r="H38" s="42" t="s">
        <v>158</v>
      </c>
      <c r="I38" s="42" t="s">
        <v>45</v>
      </c>
      <c r="L38" s="42" t="s">
        <v>159</v>
      </c>
      <c r="M38" s="42" t="s">
        <v>2312</v>
      </c>
      <c r="P38" s="29" t="s">
        <v>405</v>
      </c>
      <c r="Q38" s="42" t="s">
        <v>21040</v>
      </c>
      <c r="S38" s="42" t="s">
        <v>18</v>
      </c>
    </row>
    <row r="39" spans="1:19" s="42" customFormat="1" ht="12">
      <c r="A39" s="42" t="s">
        <v>20979</v>
      </c>
      <c r="B39" s="46">
        <v>24</v>
      </c>
      <c r="C39" s="42" t="s">
        <v>20</v>
      </c>
      <c r="D39" s="42" t="s">
        <v>37</v>
      </c>
      <c r="F39" s="43">
        <v>42343</v>
      </c>
      <c r="G39" s="42" t="s">
        <v>20981</v>
      </c>
      <c r="H39" s="42" t="s">
        <v>6209</v>
      </c>
      <c r="I39" s="42" t="s">
        <v>73</v>
      </c>
      <c r="L39" s="42" t="s">
        <v>6211</v>
      </c>
      <c r="M39" s="42" t="s">
        <v>27</v>
      </c>
      <c r="P39" s="29" t="s">
        <v>405</v>
      </c>
      <c r="Q39" s="42" t="s">
        <v>20982</v>
      </c>
      <c r="S39" s="8" t="s">
        <v>28</v>
      </c>
    </row>
    <row r="40" spans="1:19" s="42" customFormat="1" ht="12">
      <c r="A40" s="42" t="s">
        <v>20970</v>
      </c>
      <c r="B40" s="46">
        <v>52</v>
      </c>
      <c r="C40" s="42" t="s">
        <v>20</v>
      </c>
      <c r="D40" s="42" t="s">
        <v>37</v>
      </c>
      <c r="E40" s="42" t="s">
        <v>20965</v>
      </c>
      <c r="F40" s="43">
        <v>42343</v>
      </c>
      <c r="G40" s="42" t="s">
        <v>20972</v>
      </c>
      <c r="H40" s="42" t="s">
        <v>1536</v>
      </c>
      <c r="I40" s="42" t="s">
        <v>62</v>
      </c>
      <c r="L40" s="42" t="s">
        <v>1537</v>
      </c>
      <c r="M40" s="42" t="s">
        <v>27</v>
      </c>
      <c r="P40" s="29" t="s">
        <v>405</v>
      </c>
      <c r="Q40" s="42" t="s">
        <v>20973</v>
      </c>
      <c r="S40" s="8" t="s">
        <v>28</v>
      </c>
    </row>
    <row r="41" spans="1:19" s="42" customFormat="1" ht="12">
      <c r="A41" s="42" t="s">
        <v>20989</v>
      </c>
      <c r="B41" s="46">
        <v>38</v>
      </c>
      <c r="C41" s="42" t="s">
        <v>20</v>
      </c>
      <c r="D41" s="42" t="s">
        <v>48</v>
      </c>
      <c r="E41" s="42" t="s">
        <v>20984</v>
      </c>
      <c r="F41" s="43">
        <v>42343</v>
      </c>
      <c r="G41" s="42" t="s">
        <v>20990</v>
      </c>
      <c r="H41" s="42" t="s">
        <v>6381</v>
      </c>
      <c r="I41" s="42" t="s">
        <v>45</v>
      </c>
      <c r="L41" s="42" t="s">
        <v>6383</v>
      </c>
      <c r="M41" s="42" t="s">
        <v>27</v>
      </c>
      <c r="P41" s="29" t="s">
        <v>405</v>
      </c>
      <c r="Q41" s="42" t="s">
        <v>20991</v>
      </c>
      <c r="S41" s="8" t="s">
        <v>28</v>
      </c>
    </row>
    <row r="42" spans="1:19" s="42" customFormat="1" ht="12">
      <c r="A42" s="42" t="s">
        <v>20983</v>
      </c>
      <c r="B42" s="46">
        <v>60</v>
      </c>
      <c r="C42" s="42" t="s">
        <v>20</v>
      </c>
      <c r="D42" s="42" t="s">
        <v>37</v>
      </c>
      <c r="E42" s="42" t="s">
        <v>20980</v>
      </c>
      <c r="F42" s="43">
        <v>42343</v>
      </c>
      <c r="G42" s="42" t="s">
        <v>20985</v>
      </c>
      <c r="H42" s="42" t="s">
        <v>20986</v>
      </c>
      <c r="I42" s="42" t="s">
        <v>442</v>
      </c>
      <c r="L42" s="42" t="s">
        <v>20987</v>
      </c>
      <c r="M42" s="42" t="s">
        <v>27</v>
      </c>
      <c r="P42" s="29" t="s">
        <v>405</v>
      </c>
      <c r="Q42" s="42" t="s">
        <v>20988</v>
      </c>
      <c r="S42" s="8" t="s">
        <v>28</v>
      </c>
    </row>
    <row r="43" spans="1:19" s="42" customFormat="1" ht="12">
      <c r="A43" s="42" t="s">
        <v>20974</v>
      </c>
      <c r="B43" s="46">
        <v>61</v>
      </c>
      <c r="C43" s="42" t="s">
        <v>115</v>
      </c>
      <c r="D43" s="42" t="s">
        <v>30</v>
      </c>
      <c r="E43" s="42" t="s">
        <v>20971</v>
      </c>
      <c r="F43" s="43">
        <v>42343</v>
      </c>
      <c r="G43" s="42" t="s">
        <v>20975</v>
      </c>
      <c r="H43" s="42" t="s">
        <v>20976</v>
      </c>
      <c r="I43" s="42" t="s">
        <v>435</v>
      </c>
      <c r="L43" s="42" t="s">
        <v>20977</v>
      </c>
      <c r="M43" s="42" t="s">
        <v>27</v>
      </c>
      <c r="P43" s="29" t="s">
        <v>405</v>
      </c>
      <c r="Q43" s="42" t="s">
        <v>20978</v>
      </c>
      <c r="S43" s="8" t="s">
        <v>28</v>
      </c>
    </row>
    <row r="44" spans="1:19" s="42" customFormat="1" ht="12">
      <c r="A44" s="42" t="s">
        <v>21043</v>
      </c>
      <c r="B44" s="46">
        <v>40</v>
      </c>
      <c r="C44" s="42" t="s">
        <v>20</v>
      </c>
      <c r="D44" s="42" t="s">
        <v>37</v>
      </c>
      <c r="E44" s="42" t="s">
        <v>21100</v>
      </c>
      <c r="F44" s="43">
        <v>42342</v>
      </c>
      <c r="G44" s="42" t="s">
        <v>21044</v>
      </c>
      <c r="H44" s="42" t="s">
        <v>21045</v>
      </c>
      <c r="I44" s="42" t="s">
        <v>69</v>
      </c>
      <c r="L44" s="42" t="s">
        <v>3260</v>
      </c>
      <c r="M44" s="42" t="s">
        <v>27</v>
      </c>
      <c r="N44" s="42" t="s">
        <v>21056</v>
      </c>
      <c r="P44" s="8" t="s">
        <v>1171</v>
      </c>
      <c r="Q44" s="42" t="s">
        <v>21055</v>
      </c>
      <c r="R44" s="8" t="s">
        <v>100</v>
      </c>
      <c r="S44" s="42" t="s">
        <v>18</v>
      </c>
    </row>
    <row r="45" spans="1:19" s="42" customFormat="1" ht="12">
      <c r="A45" s="42" t="s">
        <v>21041</v>
      </c>
      <c r="B45" s="46">
        <v>21</v>
      </c>
      <c r="C45" s="42" t="s">
        <v>20</v>
      </c>
      <c r="D45" s="42" t="s">
        <v>85</v>
      </c>
      <c r="F45" s="43">
        <v>42342</v>
      </c>
      <c r="G45" s="42" t="s">
        <v>21061</v>
      </c>
      <c r="H45" s="42" t="s">
        <v>14494</v>
      </c>
      <c r="I45" s="42" t="s">
        <v>408</v>
      </c>
      <c r="L45" s="42" t="s">
        <v>14495</v>
      </c>
      <c r="M45" s="42" t="s">
        <v>27</v>
      </c>
      <c r="N45" s="42" t="s">
        <v>21062</v>
      </c>
      <c r="P45" s="29" t="s">
        <v>405</v>
      </c>
      <c r="Q45" s="42" t="s">
        <v>21042</v>
      </c>
      <c r="S45" s="8" t="s">
        <v>28</v>
      </c>
    </row>
    <row r="46" spans="1:19" s="42" customFormat="1" ht="12">
      <c r="A46" s="42" t="s">
        <v>20960</v>
      </c>
      <c r="B46" s="46">
        <v>47</v>
      </c>
      <c r="C46" s="42" t="s">
        <v>20</v>
      </c>
      <c r="D46" s="42" t="s">
        <v>37</v>
      </c>
      <c r="F46" s="43">
        <v>42341</v>
      </c>
      <c r="G46" s="42" t="s">
        <v>20962</v>
      </c>
      <c r="H46" s="42" t="s">
        <v>1442</v>
      </c>
      <c r="I46" s="42" t="s">
        <v>124</v>
      </c>
      <c r="L46" s="42" t="s">
        <v>1443</v>
      </c>
      <c r="M46" s="42" t="s">
        <v>27</v>
      </c>
      <c r="P46" s="29" t="s">
        <v>405</v>
      </c>
      <c r="Q46" s="42" t="s">
        <v>20963</v>
      </c>
      <c r="S46" s="8" t="s">
        <v>28</v>
      </c>
    </row>
    <row r="47" spans="1:19" s="42" customFormat="1" ht="12">
      <c r="A47" s="42" t="s">
        <v>20964</v>
      </c>
      <c r="B47" s="46">
        <v>66</v>
      </c>
      <c r="C47" s="42" t="s">
        <v>20</v>
      </c>
      <c r="D47" s="42" t="s">
        <v>37</v>
      </c>
      <c r="E47" s="42" t="s">
        <v>20961</v>
      </c>
      <c r="F47" s="43">
        <v>42341</v>
      </c>
      <c r="G47" s="42" t="s">
        <v>20966</v>
      </c>
      <c r="H47" s="42" t="s">
        <v>20967</v>
      </c>
      <c r="I47" s="42" t="s">
        <v>467</v>
      </c>
      <c r="L47" s="42" t="s">
        <v>20968</v>
      </c>
      <c r="M47" s="42" t="s">
        <v>27</v>
      </c>
      <c r="P47" s="29" t="s">
        <v>405</v>
      </c>
      <c r="Q47" s="42" t="s">
        <v>20969</v>
      </c>
      <c r="S47" s="8" t="s">
        <v>35</v>
      </c>
    </row>
    <row r="48" spans="1:19" s="42" customFormat="1" ht="12">
      <c r="A48" s="42" t="s">
        <v>20952</v>
      </c>
      <c r="B48" s="46">
        <v>32</v>
      </c>
      <c r="C48" s="42" t="s">
        <v>20</v>
      </c>
      <c r="D48" s="42" t="s">
        <v>48</v>
      </c>
      <c r="E48" s="42" t="s">
        <v>20949</v>
      </c>
      <c r="F48" s="43">
        <v>42340</v>
      </c>
      <c r="G48" s="42" t="s">
        <v>20954</v>
      </c>
      <c r="H48" s="42" t="s">
        <v>579</v>
      </c>
      <c r="I48" s="42" t="s">
        <v>73</v>
      </c>
      <c r="L48" s="42" t="s">
        <v>284</v>
      </c>
      <c r="M48" s="42" t="s">
        <v>27</v>
      </c>
      <c r="P48" s="29" t="s">
        <v>405</v>
      </c>
      <c r="Q48" s="42" t="s">
        <v>20955</v>
      </c>
      <c r="S48" t="s">
        <v>18</v>
      </c>
    </row>
    <row r="49" spans="1:49" s="42" customFormat="1" ht="12">
      <c r="A49" s="42" t="s">
        <v>20956</v>
      </c>
      <c r="B49" s="46">
        <v>36</v>
      </c>
      <c r="C49" s="42" t="s">
        <v>20</v>
      </c>
      <c r="D49" s="42" t="s">
        <v>48</v>
      </c>
      <c r="E49" s="42" t="s">
        <v>20953</v>
      </c>
      <c r="F49" s="43">
        <v>42340</v>
      </c>
      <c r="G49" s="42" t="s">
        <v>20957</v>
      </c>
      <c r="H49" s="42" t="s">
        <v>6044</v>
      </c>
      <c r="I49" s="42" t="s">
        <v>198</v>
      </c>
      <c r="L49" s="42" t="s">
        <v>20958</v>
      </c>
      <c r="M49" s="42" t="s">
        <v>27</v>
      </c>
      <c r="P49" s="29" t="s">
        <v>405</v>
      </c>
      <c r="Q49" s="42" t="s">
        <v>20959</v>
      </c>
      <c r="S49" s="8" t="s">
        <v>28</v>
      </c>
    </row>
    <row r="50" spans="1:49" s="42" customFormat="1" ht="12">
      <c r="A50" s="8" t="s">
        <v>20916</v>
      </c>
      <c r="B50" s="16">
        <v>26</v>
      </c>
      <c r="C50" s="8" t="s">
        <v>20</v>
      </c>
      <c r="D50" s="8" t="s">
        <v>85</v>
      </c>
      <c r="E50" s="8" t="s">
        <v>20917</v>
      </c>
      <c r="F50" s="17">
        <v>42340</v>
      </c>
      <c r="G50" s="8" t="s">
        <v>20918</v>
      </c>
      <c r="H50" s="8" t="s">
        <v>953</v>
      </c>
      <c r="I50" s="8" t="s">
        <v>45</v>
      </c>
      <c r="J50" s="16">
        <v>94124</v>
      </c>
      <c r="K50" s="37" t="s">
        <v>953</v>
      </c>
      <c r="L50" s="36" t="s">
        <v>954</v>
      </c>
      <c r="M50" s="36" t="s">
        <v>27</v>
      </c>
      <c r="N50" s="36" t="s">
        <v>20920</v>
      </c>
      <c r="O50" s="8"/>
      <c r="P50" s="29" t="s">
        <v>405</v>
      </c>
      <c r="Q50" s="36" t="s">
        <v>20919</v>
      </c>
      <c r="R50" s="38" t="s">
        <v>972</v>
      </c>
      <c r="S50" s="36" t="s">
        <v>35</v>
      </c>
      <c r="T50" s="36"/>
      <c r="U50" s="36"/>
      <c r="V50" s="36"/>
      <c r="W50" s="36"/>
      <c r="X50" s="36"/>
      <c r="Y50" s="36"/>
      <c r="Z50" s="36"/>
      <c r="AA50" s="36"/>
      <c r="AB50" s="36"/>
      <c r="AC50" s="36"/>
      <c r="AD50" s="36"/>
      <c r="AE50" s="36"/>
      <c r="AF50" s="36"/>
      <c r="AG50" s="38"/>
      <c r="AH50" s="38"/>
      <c r="AI50" s="38"/>
      <c r="AJ50" s="38"/>
      <c r="AK50" s="38"/>
      <c r="AL50" s="38"/>
      <c r="AM50" s="38"/>
      <c r="AN50" s="38"/>
      <c r="AO50" s="38"/>
      <c r="AP50" s="38"/>
      <c r="AQ50" s="38"/>
      <c r="AR50" s="38"/>
      <c r="AS50" s="38"/>
      <c r="AT50" s="38"/>
    </row>
    <row r="51" spans="1:49" s="42" customFormat="1" ht="12">
      <c r="A51" s="42" t="s">
        <v>20948</v>
      </c>
      <c r="B51" s="46">
        <v>35</v>
      </c>
      <c r="C51" s="42" t="s">
        <v>20</v>
      </c>
      <c r="D51" s="42" t="s">
        <v>48</v>
      </c>
      <c r="E51" s="42" t="s">
        <v>20947</v>
      </c>
      <c r="F51" s="43">
        <v>42340</v>
      </c>
      <c r="G51" s="42" t="s">
        <v>20950</v>
      </c>
      <c r="H51" s="42" t="s">
        <v>1311</v>
      </c>
      <c r="I51" s="42" t="s">
        <v>212</v>
      </c>
      <c r="L51" s="42" t="s">
        <v>1312</v>
      </c>
      <c r="M51" s="42" t="s">
        <v>27</v>
      </c>
      <c r="P51" s="29" t="s">
        <v>405</v>
      </c>
      <c r="Q51" s="42" t="s">
        <v>20951</v>
      </c>
      <c r="S51" s="8" t="s">
        <v>35</v>
      </c>
    </row>
    <row r="52" spans="1:49" s="42" customFormat="1" ht="12">
      <c r="A52" s="42" t="s">
        <v>20940</v>
      </c>
      <c r="B52" s="46">
        <v>28</v>
      </c>
      <c r="C52" s="42" t="s">
        <v>20</v>
      </c>
      <c r="D52" s="42" t="s">
        <v>21</v>
      </c>
      <c r="E52" s="42" t="s">
        <v>20941</v>
      </c>
      <c r="F52" s="43">
        <v>42340</v>
      </c>
      <c r="G52" s="42" t="s">
        <v>20942</v>
      </c>
      <c r="H52" s="42" t="s">
        <v>20943</v>
      </c>
      <c r="I52" s="42" t="s">
        <v>45</v>
      </c>
      <c r="L52" s="42" t="s">
        <v>29</v>
      </c>
      <c r="M52" s="42" t="s">
        <v>27</v>
      </c>
      <c r="P52" s="29" t="s">
        <v>405</v>
      </c>
      <c r="Q52" s="42" t="s">
        <v>20944</v>
      </c>
      <c r="S52" s="8" t="s">
        <v>28</v>
      </c>
    </row>
    <row r="53" spans="1:49" s="42" customFormat="1" ht="12">
      <c r="A53" s="42" t="s">
        <v>20945</v>
      </c>
      <c r="B53" s="46">
        <v>27</v>
      </c>
      <c r="C53" s="42" t="s">
        <v>115</v>
      </c>
      <c r="D53" s="42" t="s">
        <v>21</v>
      </c>
      <c r="E53" s="42" t="s">
        <v>20946</v>
      </c>
      <c r="F53" s="43">
        <v>42340</v>
      </c>
      <c r="G53" s="42" t="s">
        <v>20942</v>
      </c>
      <c r="H53" s="42" t="s">
        <v>20943</v>
      </c>
      <c r="I53" s="42" t="s">
        <v>45</v>
      </c>
      <c r="L53" s="42" t="s">
        <v>29</v>
      </c>
      <c r="M53" s="42" t="s">
        <v>27</v>
      </c>
      <c r="P53" s="29" t="s">
        <v>405</v>
      </c>
      <c r="Q53" s="42" t="s">
        <v>20944</v>
      </c>
      <c r="S53" s="8" t="s">
        <v>28</v>
      </c>
    </row>
    <row r="54" spans="1:49" s="42" customFormat="1" ht="12">
      <c r="A54" s="42" t="s">
        <v>20937</v>
      </c>
      <c r="B54" s="46">
        <v>18</v>
      </c>
      <c r="C54" s="42" t="s">
        <v>20</v>
      </c>
      <c r="D54" s="42" t="s">
        <v>48</v>
      </c>
      <c r="F54" s="43">
        <v>42339</v>
      </c>
      <c r="G54" s="42" t="s">
        <v>20938</v>
      </c>
      <c r="H54" s="42" t="s">
        <v>11552</v>
      </c>
      <c r="I54" s="42" t="s">
        <v>45</v>
      </c>
      <c r="L54" s="42" t="s">
        <v>418</v>
      </c>
      <c r="M54" s="42" t="s">
        <v>27</v>
      </c>
      <c r="P54" s="29" t="s">
        <v>405</v>
      </c>
      <c r="Q54" s="42" t="s">
        <v>20939</v>
      </c>
      <c r="S54" s="8" t="s">
        <v>28</v>
      </c>
    </row>
    <row r="55" spans="1:49" s="42" customFormat="1" ht="12">
      <c r="A55" s="42" t="s">
        <v>20931</v>
      </c>
      <c r="B55" s="46">
        <v>23</v>
      </c>
      <c r="C55" s="42" t="s">
        <v>20</v>
      </c>
      <c r="D55" s="42" t="s">
        <v>37</v>
      </c>
      <c r="E55" s="42" t="s">
        <v>20932</v>
      </c>
      <c r="F55" s="43">
        <v>42339</v>
      </c>
      <c r="G55" s="42" t="s">
        <v>20933</v>
      </c>
      <c r="H55" s="42" t="s">
        <v>20934</v>
      </c>
      <c r="I55" s="42" t="s">
        <v>4424</v>
      </c>
      <c r="L55" s="42" t="s">
        <v>20935</v>
      </c>
      <c r="M55" s="42" t="s">
        <v>27</v>
      </c>
      <c r="P55" s="29" t="s">
        <v>405</v>
      </c>
      <c r="Q55" s="42" t="s">
        <v>20936</v>
      </c>
      <c r="S55" s="8" t="s">
        <v>35</v>
      </c>
      <c r="AU55" s="8"/>
      <c r="AV55" s="8"/>
      <c r="AW55" s="8"/>
    </row>
    <row r="56" spans="1:49" s="42" customFormat="1" ht="12">
      <c r="A56" s="8" t="s">
        <v>19667</v>
      </c>
      <c r="B56" s="16">
        <v>18</v>
      </c>
      <c r="C56" s="8" t="s">
        <v>20</v>
      </c>
      <c r="D56" s="8" t="s">
        <v>85</v>
      </c>
      <c r="E56" s="8" t="s">
        <v>19939</v>
      </c>
      <c r="F56" s="17">
        <v>42338</v>
      </c>
      <c r="G56" s="8" t="s">
        <v>19668</v>
      </c>
      <c r="H56" s="8" t="s">
        <v>1933</v>
      </c>
      <c r="I56" s="8" t="s">
        <v>175</v>
      </c>
      <c r="J56" s="16"/>
      <c r="K56" s="2"/>
      <c r="L56" s="8" t="s">
        <v>2566</v>
      </c>
      <c r="M56" s="8" t="s">
        <v>27</v>
      </c>
      <c r="N56" s="8"/>
      <c r="O56" s="8" t="s">
        <v>404</v>
      </c>
      <c r="P56" s="8" t="s">
        <v>405</v>
      </c>
      <c r="Q56" s="12" t="s">
        <v>19669</v>
      </c>
      <c r="R56" s="8"/>
      <c r="S56" s="8" t="s">
        <v>28</v>
      </c>
      <c r="T56" s="8"/>
      <c r="U56" s="8"/>
      <c r="V56" s="8"/>
      <c r="W56" s="8"/>
      <c r="X56" s="8"/>
      <c r="Y56" s="2"/>
      <c r="Z56" s="2"/>
      <c r="AA56" s="2"/>
      <c r="AB56" s="2"/>
      <c r="AC56" s="2"/>
      <c r="AD56" s="2"/>
      <c r="AE56" s="2"/>
      <c r="AF56" s="2"/>
      <c r="AG56" s="2"/>
      <c r="AH56" s="2"/>
      <c r="AI56" s="8"/>
      <c r="AJ56" s="8"/>
      <c r="AK56" s="8"/>
      <c r="AL56" s="8"/>
      <c r="AM56" s="8"/>
      <c r="AN56" s="2"/>
      <c r="AO56" s="2"/>
      <c r="AP56" s="2"/>
      <c r="AQ56" s="2"/>
      <c r="AR56" s="2"/>
      <c r="AS56" s="2"/>
      <c r="AT56" s="2"/>
      <c r="AU56" s="8"/>
      <c r="AV56" s="8"/>
      <c r="AW56" s="8"/>
    </row>
    <row r="57" spans="1:49" s="42" customFormat="1" ht="12">
      <c r="A57" s="8" t="s">
        <v>19664</v>
      </c>
      <c r="B57" s="16" t="s">
        <v>29</v>
      </c>
      <c r="C57" s="8" t="s">
        <v>29</v>
      </c>
      <c r="D57" s="8" t="s">
        <v>21</v>
      </c>
      <c r="E57" s="8"/>
      <c r="F57" s="17">
        <v>42338</v>
      </c>
      <c r="G57" s="8" t="s">
        <v>19665</v>
      </c>
      <c r="H57" s="8" t="s">
        <v>3871</v>
      </c>
      <c r="I57" s="8" t="s">
        <v>212</v>
      </c>
      <c r="J57" s="16"/>
      <c r="K57" s="2"/>
      <c r="L57" s="8" t="s">
        <v>3874</v>
      </c>
      <c r="M57" s="8" t="s">
        <v>27</v>
      </c>
      <c r="N57" s="8"/>
      <c r="O57" s="8"/>
      <c r="P57" s="8" t="s">
        <v>405</v>
      </c>
      <c r="Q57" s="12" t="s">
        <v>19666</v>
      </c>
      <c r="R57" s="8"/>
      <c r="S57" s="8" t="s">
        <v>35</v>
      </c>
      <c r="T57" s="8"/>
      <c r="U57" s="8"/>
      <c r="V57" s="2"/>
      <c r="W57" s="2"/>
      <c r="X57" s="2"/>
      <c r="Y57" s="2"/>
      <c r="Z57" s="2"/>
      <c r="AA57" s="2"/>
      <c r="AB57" s="2"/>
      <c r="AC57" s="2"/>
      <c r="AD57" s="2"/>
      <c r="AE57" s="2"/>
      <c r="AF57" s="2"/>
      <c r="AG57" s="2"/>
      <c r="AH57" s="2"/>
      <c r="AI57" s="26"/>
      <c r="AJ57" s="26"/>
      <c r="AK57" s="26"/>
      <c r="AL57" s="26"/>
      <c r="AM57" s="26"/>
      <c r="AN57" s="2"/>
      <c r="AO57" s="2"/>
      <c r="AP57" s="2"/>
      <c r="AQ57" s="2"/>
      <c r="AR57" s="2"/>
      <c r="AS57" s="2"/>
      <c r="AT57" s="2"/>
      <c r="AU57" s="8"/>
      <c r="AV57" s="8"/>
      <c r="AW57" s="8"/>
    </row>
    <row r="58" spans="1:49" s="8" customFormat="1" ht="12">
      <c r="A58" s="8" t="s">
        <v>19673</v>
      </c>
      <c r="B58" s="16">
        <v>23</v>
      </c>
      <c r="C58" s="8" t="s">
        <v>20</v>
      </c>
      <c r="D58" s="8" t="s">
        <v>48</v>
      </c>
      <c r="E58" s="8" t="s">
        <v>19938</v>
      </c>
      <c r="F58" s="17">
        <v>42337</v>
      </c>
      <c r="G58" s="8" t="s">
        <v>19674</v>
      </c>
      <c r="H58" s="8" t="s">
        <v>686</v>
      </c>
      <c r="I58" s="8" t="s">
        <v>45</v>
      </c>
      <c r="J58" s="16"/>
      <c r="K58" s="2"/>
      <c r="L58" s="8" t="s">
        <v>688</v>
      </c>
      <c r="M58" s="8" t="s">
        <v>27</v>
      </c>
      <c r="P58" s="8" t="s">
        <v>405</v>
      </c>
      <c r="Q58" s="12" t="s">
        <v>19675</v>
      </c>
      <c r="S58" s="8" t="s">
        <v>28</v>
      </c>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spans="1:49" s="8" customFormat="1" ht="12">
      <c r="A59" s="8" t="s">
        <v>19684</v>
      </c>
      <c r="B59" s="16">
        <v>22</v>
      </c>
      <c r="C59" s="8" t="s">
        <v>20</v>
      </c>
      <c r="D59" s="8" t="s">
        <v>37</v>
      </c>
      <c r="E59" s="8" t="s">
        <v>19935</v>
      </c>
      <c r="F59" s="17">
        <v>42337</v>
      </c>
      <c r="G59" s="8" t="s">
        <v>19685</v>
      </c>
      <c r="H59" s="8" t="s">
        <v>19686</v>
      </c>
      <c r="I59" s="8" t="s">
        <v>69</v>
      </c>
      <c r="L59" s="8" t="s">
        <v>19687</v>
      </c>
      <c r="M59" s="8" t="s">
        <v>27</v>
      </c>
      <c r="P59" s="8" t="s">
        <v>405</v>
      </c>
      <c r="Q59" s="8" t="s">
        <v>19688</v>
      </c>
      <c r="S59" s="8" t="s">
        <v>28</v>
      </c>
    </row>
    <row r="60" spans="1:49" s="8" customFormat="1" ht="12">
      <c r="A60" s="8" t="s">
        <v>19676</v>
      </c>
      <c r="B60" s="16">
        <v>53</v>
      </c>
      <c r="C60" s="8" t="s">
        <v>20</v>
      </c>
      <c r="D60" s="8" t="s">
        <v>37</v>
      </c>
      <c r="E60" s="8" t="s">
        <v>19937</v>
      </c>
      <c r="F60" s="17">
        <v>42337</v>
      </c>
      <c r="G60" s="8" t="s">
        <v>19677</v>
      </c>
      <c r="H60" s="8" t="s">
        <v>19678</v>
      </c>
      <c r="I60" s="8" t="s">
        <v>435</v>
      </c>
      <c r="L60" s="8" t="s">
        <v>19679</v>
      </c>
      <c r="M60" s="8" t="s">
        <v>27</v>
      </c>
      <c r="P60" s="8" t="s">
        <v>405</v>
      </c>
      <c r="Q60" s="8" t="s">
        <v>19680</v>
      </c>
      <c r="S60" s="8" t="s">
        <v>28</v>
      </c>
      <c r="AU60" s="26"/>
      <c r="AV60" s="26"/>
      <c r="AW60" s="26"/>
    </row>
    <row r="61" spans="1:49" s="8" customFormat="1" ht="12">
      <c r="A61" s="8" t="s">
        <v>19670</v>
      </c>
      <c r="B61" s="16">
        <v>69</v>
      </c>
      <c r="C61" s="8" t="s">
        <v>20</v>
      </c>
      <c r="D61" s="8" t="s">
        <v>48</v>
      </c>
      <c r="F61" s="17">
        <v>42337</v>
      </c>
      <c r="G61" s="8" t="s">
        <v>19671</v>
      </c>
      <c r="H61" s="8" t="s">
        <v>1908</v>
      </c>
      <c r="I61" s="8" t="s">
        <v>124</v>
      </c>
      <c r="J61" s="16"/>
      <c r="K61" s="2"/>
      <c r="L61" s="8" t="s">
        <v>1910</v>
      </c>
      <c r="M61" s="8" t="s">
        <v>27</v>
      </c>
      <c r="P61" s="8" t="s">
        <v>405</v>
      </c>
      <c r="Q61" s="12" t="s">
        <v>19672</v>
      </c>
      <c r="S61" s="8" t="s">
        <v>28</v>
      </c>
      <c r="Y61" s="2"/>
      <c r="Z61" s="2"/>
      <c r="AA61" s="2"/>
      <c r="AB61" s="2"/>
      <c r="AC61" s="2"/>
      <c r="AD61" s="2"/>
      <c r="AE61" s="2"/>
      <c r="AF61" s="2"/>
      <c r="AG61" s="2"/>
      <c r="AH61" s="2"/>
      <c r="AI61" s="2"/>
      <c r="AJ61" s="2"/>
      <c r="AK61" s="2"/>
      <c r="AL61" s="2"/>
      <c r="AM61" s="2"/>
      <c r="AN61" s="2"/>
      <c r="AO61" s="2"/>
      <c r="AP61" s="2"/>
      <c r="AQ61" s="2"/>
      <c r="AR61" s="2"/>
      <c r="AS61" s="2"/>
      <c r="AT61" s="2"/>
    </row>
    <row r="62" spans="1:49" s="8" customFormat="1" ht="12">
      <c r="A62" s="8" t="s">
        <v>19681</v>
      </c>
      <c r="B62" s="16">
        <v>29</v>
      </c>
      <c r="C62" s="8" t="s">
        <v>20</v>
      </c>
      <c r="D62" s="8" t="s">
        <v>37</v>
      </c>
      <c r="E62" s="8" t="s">
        <v>19936</v>
      </c>
      <c r="F62" s="17">
        <v>42337</v>
      </c>
      <c r="G62" s="8" t="s">
        <v>19682</v>
      </c>
      <c r="H62" s="8" t="s">
        <v>2339</v>
      </c>
      <c r="I62" s="8" t="s">
        <v>467</v>
      </c>
      <c r="L62" s="8" t="s">
        <v>10401</v>
      </c>
      <c r="M62" s="8" t="s">
        <v>27</v>
      </c>
      <c r="P62" s="8" t="s">
        <v>405</v>
      </c>
      <c r="Q62" s="8" t="s">
        <v>19683</v>
      </c>
      <c r="S62" s="8" t="s">
        <v>28</v>
      </c>
      <c r="AU62" s="2"/>
      <c r="AV62" s="2"/>
      <c r="AW62" s="2"/>
    </row>
    <row r="63" spans="1:49" s="8" customFormat="1" ht="12">
      <c r="A63" s="8" t="s">
        <v>19347</v>
      </c>
      <c r="B63" s="16">
        <v>50</v>
      </c>
      <c r="C63" s="8" t="s">
        <v>20</v>
      </c>
      <c r="D63" s="8" t="s">
        <v>30</v>
      </c>
      <c r="F63" s="17">
        <v>42336</v>
      </c>
      <c r="G63" s="8" t="s">
        <v>19689</v>
      </c>
      <c r="H63" s="8" t="s">
        <v>19690</v>
      </c>
      <c r="I63" s="8" t="s">
        <v>73</v>
      </c>
      <c r="J63" s="16"/>
      <c r="K63" s="2"/>
      <c r="L63" s="8" t="s">
        <v>19691</v>
      </c>
      <c r="M63" s="8" t="s">
        <v>27</v>
      </c>
      <c r="P63" s="8" t="s">
        <v>405</v>
      </c>
      <c r="Q63" s="12" t="s">
        <v>19692</v>
      </c>
      <c r="S63" s="8" t="s">
        <v>28</v>
      </c>
      <c r="Y63" s="2"/>
      <c r="Z63" s="2"/>
      <c r="AA63" s="2"/>
      <c r="AB63" s="2"/>
      <c r="AC63" s="2"/>
      <c r="AD63" s="2"/>
      <c r="AE63" s="2"/>
      <c r="AF63" s="2"/>
      <c r="AG63" s="2"/>
      <c r="AH63" s="2"/>
      <c r="AI63" s="2"/>
      <c r="AJ63" s="2"/>
      <c r="AK63" s="2"/>
      <c r="AL63" s="2"/>
      <c r="AM63" s="2"/>
      <c r="AN63" s="2"/>
      <c r="AO63" s="2"/>
      <c r="AP63" s="2"/>
      <c r="AQ63" s="2"/>
      <c r="AR63" s="2"/>
      <c r="AS63" s="2"/>
      <c r="AT63" s="2"/>
      <c r="AU63" s="2"/>
      <c r="AV63" s="2"/>
      <c r="AW63" s="2"/>
    </row>
    <row r="64" spans="1:49" s="26" customFormat="1" ht="12">
      <c r="A64" s="8" t="s">
        <v>19693</v>
      </c>
      <c r="B64" s="16">
        <v>58</v>
      </c>
      <c r="C64" s="8" t="s">
        <v>20</v>
      </c>
      <c r="D64" s="8" t="s">
        <v>37</v>
      </c>
      <c r="E64" s="8"/>
      <c r="F64" s="17">
        <v>42335</v>
      </c>
      <c r="G64" s="8" t="s">
        <v>19694</v>
      </c>
      <c r="H64" s="8" t="s">
        <v>19695</v>
      </c>
      <c r="I64" s="8" t="s">
        <v>435</v>
      </c>
      <c r="J64" s="8"/>
      <c r="K64" s="8"/>
      <c r="L64" s="8" t="s">
        <v>10568</v>
      </c>
      <c r="M64" s="8" t="s">
        <v>27</v>
      </c>
      <c r="N64" s="8"/>
      <c r="O64" s="8"/>
      <c r="P64" s="8" t="s">
        <v>405</v>
      </c>
      <c r="Q64" s="8" t="s">
        <v>19696</v>
      </c>
      <c r="R64" s="8"/>
      <c r="S64" s="8" t="s">
        <v>28</v>
      </c>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2"/>
      <c r="AV64" s="2"/>
      <c r="AW64" s="2"/>
    </row>
    <row r="65" spans="1:49" ht="12">
      <c r="A65" s="8" t="s">
        <v>19704</v>
      </c>
      <c r="B65" s="16">
        <v>52</v>
      </c>
      <c r="C65" s="8" t="s">
        <v>20</v>
      </c>
      <c r="D65" s="8" t="s">
        <v>37</v>
      </c>
      <c r="F65" s="17">
        <v>42333</v>
      </c>
      <c r="G65" s="8" t="s">
        <v>19705</v>
      </c>
      <c r="H65" s="8" t="s">
        <v>2188</v>
      </c>
      <c r="I65" s="8" t="s">
        <v>124</v>
      </c>
      <c r="J65" s="8"/>
      <c r="K65" s="8"/>
      <c r="L65" s="8" t="s">
        <v>19706</v>
      </c>
      <c r="M65" s="8" t="s">
        <v>27</v>
      </c>
      <c r="P65" s="8" t="s">
        <v>405</v>
      </c>
      <c r="Q65" s="8" t="s">
        <v>19707</v>
      </c>
      <c r="S65" s="8" t="s">
        <v>35</v>
      </c>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row>
    <row r="66" spans="1:49" ht="12" customHeight="1">
      <c r="A66" s="8" t="s">
        <v>19701</v>
      </c>
      <c r="B66" s="16">
        <v>23</v>
      </c>
      <c r="C66" s="8" t="s">
        <v>20</v>
      </c>
      <c r="D66" s="8" t="s">
        <v>37</v>
      </c>
      <c r="E66" s="8" t="s">
        <v>19913</v>
      </c>
      <c r="F66" s="17">
        <v>42333</v>
      </c>
      <c r="G66" s="8" t="s">
        <v>19702</v>
      </c>
      <c r="H66" s="8" t="s">
        <v>4234</v>
      </c>
      <c r="I66" s="8" t="s">
        <v>435</v>
      </c>
      <c r="J66" s="8"/>
      <c r="K66" s="8"/>
      <c r="L66" s="8" t="s">
        <v>4237</v>
      </c>
      <c r="M66" s="8" t="s">
        <v>27</v>
      </c>
      <c r="P66" s="8" t="s">
        <v>405</v>
      </c>
      <c r="Q66" s="8" t="s">
        <v>19703</v>
      </c>
      <c r="S66" s="8" t="s">
        <v>28</v>
      </c>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row>
    <row r="67" spans="1:49" ht="12" customHeight="1">
      <c r="A67" s="8" t="s">
        <v>19697</v>
      </c>
      <c r="B67" s="16">
        <v>37</v>
      </c>
      <c r="C67" s="8" t="s">
        <v>115</v>
      </c>
      <c r="D67" s="8" t="s">
        <v>37</v>
      </c>
      <c r="E67" s="8" t="s">
        <v>19934</v>
      </c>
      <c r="F67" s="17">
        <v>42333</v>
      </c>
      <c r="G67" s="8" t="s">
        <v>19698</v>
      </c>
      <c r="H67" s="8" t="s">
        <v>13905</v>
      </c>
      <c r="I67" s="8" t="s">
        <v>435</v>
      </c>
      <c r="L67" s="8" t="s">
        <v>19699</v>
      </c>
      <c r="M67" s="8" t="s">
        <v>27</v>
      </c>
      <c r="P67" s="8" t="s">
        <v>405</v>
      </c>
      <c r="Q67" s="12" t="s">
        <v>19700</v>
      </c>
      <c r="S67" s="8" t="s">
        <v>28</v>
      </c>
      <c r="T67" s="8"/>
      <c r="U67" s="8"/>
      <c r="V67" s="8"/>
      <c r="W67" s="8"/>
      <c r="X67" s="8"/>
      <c r="Y67" s="8"/>
      <c r="Z67" s="8"/>
      <c r="AA67" s="8"/>
      <c r="AB67" s="8"/>
      <c r="AC67" s="8"/>
      <c r="AD67" s="8"/>
      <c r="AE67" s="8"/>
      <c r="AF67" s="8"/>
      <c r="AG67" s="8"/>
      <c r="AH67" s="8"/>
      <c r="AN67" s="26"/>
      <c r="AO67" s="26"/>
      <c r="AP67" s="26"/>
      <c r="AQ67" s="26"/>
      <c r="AR67" s="26"/>
      <c r="AS67" s="26"/>
      <c r="AT67" s="26"/>
    </row>
    <row r="68" spans="1:49" ht="12">
      <c r="A68" s="8" t="s">
        <v>19708</v>
      </c>
      <c r="B68" s="16">
        <v>24</v>
      </c>
      <c r="C68" s="8" t="s">
        <v>20</v>
      </c>
      <c r="D68" s="8" t="s">
        <v>85</v>
      </c>
      <c r="E68" s="8" t="s">
        <v>19933</v>
      </c>
      <c r="F68" s="17">
        <v>42332</v>
      </c>
      <c r="G68" s="8" t="s">
        <v>19709</v>
      </c>
      <c r="H68" s="8" t="s">
        <v>1520</v>
      </c>
      <c r="I68" s="8" t="s">
        <v>81</v>
      </c>
      <c r="L68" s="8" t="s">
        <v>1521</v>
      </c>
      <c r="M68" s="8" t="s">
        <v>27</v>
      </c>
      <c r="O68" s="8" t="s">
        <v>404</v>
      </c>
      <c r="P68" s="8" t="s">
        <v>405</v>
      </c>
      <c r="Q68" s="12" t="s">
        <v>19710</v>
      </c>
      <c r="S68" s="8" t="s">
        <v>28</v>
      </c>
      <c r="T68" s="8"/>
      <c r="U68" s="8"/>
      <c r="V68" s="8"/>
      <c r="W68" s="8"/>
      <c r="X68" s="8"/>
      <c r="AI68" s="8"/>
      <c r="AJ68" s="8"/>
      <c r="AK68" s="8"/>
      <c r="AL68" s="8"/>
      <c r="AM68" s="8"/>
    </row>
    <row r="69" spans="1:49" ht="12">
      <c r="A69" s="8" t="s">
        <v>19714</v>
      </c>
      <c r="B69" s="16">
        <v>45</v>
      </c>
      <c r="C69" s="8" t="s">
        <v>20</v>
      </c>
      <c r="D69" s="8" t="s">
        <v>37</v>
      </c>
      <c r="E69" s="8" t="s">
        <v>19901</v>
      </c>
      <c r="F69" s="17">
        <v>42332</v>
      </c>
      <c r="G69" s="8" t="s">
        <v>19715</v>
      </c>
      <c r="H69" s="8" t="s">
        <v>19716</v>
      </c>
      <c r="I69" s="8" t="s">
        <v>135</v>
      </c>
      <c r="L69" s="8" t="s">
        <v>19717</v>
      </c>
      <c r="M69" s="8" t="s">
        <v>27</v>
      </c>
      <c r="P69" s="8" t="s">
        <v>405</v>
      </c>
      <c r="Q69" s="12" t="s">
        <v>19718</v>
      </c>
      <c r="S69" s="8" t="s">
        <v>35</v>
      </c>
      <c r="T69" s="8"/>
      <c r="U69" s="8"/>
      <c r="V69" s="8"/>
      <c r="W69" s="8"/>
      <c r="X69" s="8"/>
    </row>
    <row r="70" spans="1:49" ht="12">
      <c r="A70" s="8" t="s">
        <v>19711</v>
      </c>
      <c r="B70" s="16">
        <v>32</v>
      </c>
      <c r="C70" s="8" t="s">
        <v>20</v>
      </c>
      <c r="D70" s="8" t="s">
        <v>37</v>
      </c>
      <c r="E70" s="8" t="s">
        <v>19932</v>
      </c>
      <c r="F70" s="17">
        <v>42332</v>
      </c>
      <c r="G70" s="8" t="s">
        <v>19712</v>
      </c>
      <c r="H70" s="8" t="s">
        <v>661</v>
      </c>
      <c r="I70" s="8" t="s">
        <v>272</v>
      </c>
      <c r="L70" s="8" t="s">
        <v>575</v>
      </c>
      <c r="M70" s="8" t="s">
        <v>27</v>
      </c>
      <c r="P70" s="8" t="s">
        <v>405</v>
      </c>
      <c r="Q70" s="12" t="s">
        <v>19713</v>
      </c>
      <c r="S70" s="8" t="s">
        <v>28</v>
      </c>
      <c r="T70" s="8"/>
      <c r="U70" s="8"/>
      <c r="AU70" s="8"/>
      <c r="AV70" s="8"/>
      <c r="AW70" s="8"/>
    </row>
    <row r="71" spans="1:49" ht="12">
      <c r="A71" s="8" t="s">
        <v>19722</v>
      </c>
      <c r="B71" s="16">
        <v>50</v>
      </c>
      <c r="C71" s="8" t="s">
        <v>20</v>
      </c>
      <c r="D71" s="8" t="s">
        <v>37</v>
      </c>
      <c r="E71" s="8" t="s">
        <v>19931</v>
      </c>
      <c r="F71" s="17">
        <v>42331</v>
      </c>
      <c r="G71" s="8" t="s">
        <v>19723</v>
      </c>
      <c r="H71" s="8" t="s">
        <v>1300</v>
      </c>
      <c r="I71" s="8" t="s">
        <v>69</v>
      </c>
      <c r="L71" s="8" t="s">
        <v>12726</v>
      </c>
      <c r="M71" s="8" t="s">
        <v>27</v>
      </c>
      <c r="P71" s="8" t="s">
        <v>405</v>
      </c>
      <c r="Q71" s="12" t="s">
        <v>19724</v>
      </c>
      <c r="S71" s="8" t="s">
        <v>28</v>
      </c>
      <c r="T71" s="8"/>
      <c r="U71" s="8"/>
      <c r="V71" s="8"/>
      <c r="W71" s="8"/>
      <c r="X71" s="8"/>
      <c r="AU71" s="8"/>
      <c r="AV71" s="8"/>
      <c r="AW71" s="8"/>
    </row>
    <row r="72" spans="1:49" ht="12">
      <c r="A72" s="8" t="s">
        <v>19719</v>
      </c>
      <c r="B72" s="16">
        <v>49</v>
      </c>
      <c r="C72" s="8" t="s">
        <v>20</v>
      </c>
      <c r="D72" s="8" t="s">
        <v>48</v>
      </c>
      <c r="E72" s="8" t="s">
        <v>19912</v>
      </c>
      <c r="F72" s="17">
        <v>42331</v>
      </c>
      <c r="G72" s="8" t="s">
        <v>19720</v>
      </c>
      <c r="H72" s="8" t="s">
        <v>12566</v>
      </c>
      <c r="I72" s="8" t="s">
        <v>73</v>
      </c>
      <c r="L72" s="8" t="s">
        <v>12569</v>
      </c>
      <c r="M72" s="8" t="s">
        <v>27</v>
      </c>
      <c r="P72" s="8" t="s">
        <v>405</v>
      </c>
      <c r="Q72" s="12" t="s">
        <v>19721</v>
      </c>
      <c r="S72" s="8" t="s">
        <v>28</v>
      </c>
      <c r="T72" s="8"/>
      <c r="U72" s="8"/>
      <c r="V72" s="8"/>
      <c r="W72" s="8"/>
      <c r="X72" s="8"/>
      <c r="AU72" s="8"/>
      <c r="AV72" s="8"/>
      <c r="AW72" s="8"/>
    </row>
    <row r="73" spans="1:49" s="8" customFormat="1" ht="13" customHeight="1">
      <c r="A73" s="8" t="s">
        <v>19731</v>
      </c>
      <c r="B73" s="16">
        <v>46</v>
      </c>
      <c r="C73" s="8" t="s">
        <v>20</v>
      </c>
      <c r="D73" s="8" t="s">
        <v>37</v>
      </c>
      <c r="E73" s="8" t="s">
        <v>19911</v>
      </c>
      <c r="F73" s="17">
        <v>42330</v>
      </c>
      <c r="G73" s="8" t="s">
        <v>19732</v>
      </c>
      <c r="H73" s="8" t="s">
        <v>419</v>
      </c>
      <c r="I73" s="8" t="s">
        <v>45</v>
      </c>
      <c r="J73" s="16"/>
      <c r="K73" s="2"/>
      <c r="L73" s="8" t="s">
        <v>420</v>
      </c>
      <c r="M73" s="8" t="s">
        <v>27</v>
      </c>
      <c r="P73" s="8" t="s">
        <v>405</v>
      </c>
      <c r="Q73" s="12" t="s">
        <v>19733</v>
      </c>
      <c r="S73" s="8" t="s">
        <v>28</v>
      </c>
      <c r="Y73" s="2"/>
      <c r="Z73" s="2"/>
      <c r="AA73" s="2"/>
      <c r="AB73" s="2"/>
      <c r="AC73" s="2"/>
      <c r="AD73" s="2"/>
      <c r="AE73" s="2"/>
      <c r="AF73" s="2"/>
      <c r="AG73" s="2"/>
      <c r="AH73" s="2"/>
      <c r="AI73" s="2"/>
      <c r="AJ73" s="2"/>
      <c r="AK73" s="2"/>
      <c r="AL73" s="2"/>
      <c r="AM73" s="2"/>
      <c r="AN73" s="2"/>
      <c r="AO73" s="2"/>
      <c r="AP73" s="2"/>
      <c r="AQ73" s="2"/>
      <c r="AR73" s="2"/>
      <c r="AS73" s="2"/>
      <c r="AT73" s="2"/>
    </row>
    <row r="74" spans="1:49" s="8" customFormat="1" ht="12" customHeight="1">
      <c r="A74" s="8" t="s">
        <v>19728</v>
      </c>
      <c r="B74" s="16">
        <v>45</v>
      </c>
      <c r="C74" s="8" t="s">
        <v>20</v>
      </c>
      <c r="D74" s="8" t="s">
        <v>37</v>
      </c>
      <c r="E74" s="8" t="s">
        <v>19930</v>
      </c>
      <c r="F74" s="17">
        <v>42330</v>
      </c>
      <c r="G74" s="8" t="s">
        <v>19729</v>
      </c>
      <c r="H74" s="8" t="s">
        <v>1627</v>
      </c>
      <c r="I74" s="8" t="s">
        <v>272</v>
      </c>
      <c r="J74" s="16"/>
      <c r="K74" s="2"/>
      <c r="L74" s="8" t="s">
        <v>7556</v>
      </c>
      <c r="M74" s="8" t="s">
        <v>27</v>
      </c>
      <c r="P74" s="8" t="s">
        <v>405</v>
      </c>
      <c r="Q74" s="12" t="s">
        <v>19730</v>
      </c>
      <c r="S74" s="8" t="s">
        <v>28</v>
      </c>
      <c r="Y74" s="2"/>
      <c r="Z74" s="2"/>
      <c r="AA74" s="2"/>
      <c r="AB74" s="2"/>
      <c r="AC74" s="2"/>
      <c r="AD74" s="2"/>
      <c r="AE74" s="2"/>
      <c r="AF74" s="2"/>
      <c r="AG74" s="2"/>
      <c r="AH74" s="2"/>
      <c r="AI74" s="2"/>
      <c r="AJ74" s="2"/>
      <c r="AK74" s="2"/>
      <c r="AL74" s="2"/>
      <c r="AM74" s="2"/>
      <c r="AN74" s="2"/>
      <c r="AO74" s="2"/>
      <c r="AP74" s="2"/>
      <c r="AQ74" s="2"/>
      <c r="AR74" s="2"/>
      <c r="AS74" s="2"/>
      <c r="AT74" s="2"/>
    </row>
    <row r="75" spans="1:49" s="8" customFormat="1" ht="13" customHeight="1">
      <c r="A75" s="8" t="s">
        <v>19725</v>
      </c>
      <c r="B75" s="16">
        <v>28</v>
      </c>
      <c r="C75" s="8" t="s">
        <v>20</v>
      </c>
      <c r="D75" s="8" t="s">
        <v>48</v>
      </c>
      <c r="F75" s="17">
        <v>42330</v>
      </c>
      <c r="G75" s="8" t="s">
        <v>19726</v>
      </c>
      <c r="H75" s="8" t="s">
        <v>1311</v>
      </c>
      <c r="I75" s="8" t="s">
        <v>212</v>
      </c>
      <c r="J75" s="16"/>
      <c r="K75" s="2"/>
      <c r="L75" s="8" t="s">
        <v>1312</v>
      </c>
      <c r="M75" s="8" t="s">
        <v>27</v>
      </c>
      <c r="P75" s="8" t="s">
        <v>405</v>
      </c>
      <c r="Q75" s="12" t="s">
        <v>19727</v>
      </c>
      <c r="S75" s="8" t="s">
        <v>28</v>
      </c>
      <c r="Y75" s="2"/>
      <c r="Z75" s="2"/>
      <c r="AA75" s="2"/>
      <c r="AB75" s="2"/>
      <c r="AC75" s="2"/>
      <c r="AD75" s="2"/>
      <c r="AE75" s="2"/>
      <c r="AF75" s="2"/>
      <c r="AG75" s="2"/>
      <c r="AH75" s="2"/>
      <c r="AI75" s="2"/>
      <c r="AJ75" s="2"/>
      <c r="AK75" s="2"/>
      <c r="AL75" s="2"/>
      <c r="AM75" s="2"/>
      <c r="AN75" s="2"/>
      <c r="AO75" s="2"/>
      <c r="AP75" s="2"/>
      <c r="AQ75" s="2"/>
      <c r="AR75" s="2"/>
      <c r="AS75" s="2"/>
      <c r="AT75" s="2"/>
    </row>
    <row r="76" spans="1:49" s="8" customFormat="1" ht="12">
      <c r="A76" s="8" t="s">
        <v>19734</v>
      </c>
      <c r="B76" s="16">
        <v>24</v>
      </c>
      <c r="C76" s="8" t="s">
        <v>20</v>
      </c>
      <c r="D76" s="8" t="s">
        <v>37</v>
      </c>
      <c r="E76" s="8" t="s">
        <v>19907</v>
      </c>
      <c r="F76" s="17">
        <v>42329</v>
      </c>
      <c r="G76" s="8" t="s">
        <v>19735</v>
      </c>
      <c r="H76" s="8" t="s">
        <v>95</v>
      </c>
      <c r="I76" s="8" t="s">
        <v>399</v>
      </c>
      <c r="J76" s="16"/>
      <c r="K76" s="2"/>
      <c r="L76" s="8" t="s">
        <v>19736</v>
      </c>
      <c r="M76" s="8" t="s">
        <v>27</v>
      </c>
      <c r="P76" s="8" t="s">
        <v>405</v>
      </c>
      <c r="Q76" s="12" t="s">
        <v>19737</v>
      </c>
      <c r="S76" s="8" t="s">
        <v>18</v>
      </c>
      <c r="Y76" s="2"/>
      <c r="Z76" s="2"/>
      <c r="AA76" s="2"/>
      <c r="AB76" s="2"/>
      <c r="AC76" s="2"/>
      <c r="AD76" s="2"/>
      <c r="AE76" s="2"/>
      <c r="AF76" s="2"/>
      <c r="AG76" s="2"/>
      <c r="AH76" s="2"/>
      <c r="AI76" s="2"/>
      <c r="AJ76" s="2"/>
      <c r="AK76" s="2"/>
      <c r="AL76" s="2"/>
      <c r="AM76" s="2"/>
      <c r="AN76" s="2"/>
      <c r="AO76" s="2"/>
      <c r="AP76" s="2"/>
      <c r="AQ76" s="2"/>
      <c r="AR76" s="2"/>
      <c r="AS76" s="2"/>
      <c r="AT76" s="2"/>
    </row>
    <row r="77" spans="1:49" s="8" customFormat="1" ht="12">
      <c r="A77" s="8" t="s">
        <v>19740</v>
      </c>
      <c r="B77" s="16">
        <v>32</v>
      </c>
      <c r="C77" s="8" t="s">
        <v>20</v>
      </c>
      <c r="D77" s="8" t="s">
        <v>37</v>
      </c>
      <c r="E77" s="8" t="s">
        <v>19906</v>
      </c>
      <c r="F77" s="17">
        <v>42328</v>
      </c>
      <c r="G77" s="8" t="s">
        <v>19741</v>
      </c>
      <c r="H77" s="8" t="s">
        <v>19742</v>
      </c>
      <c r="I77" s="8" t="s">
        <v>175</v>
      </c>
      <c r="J77" s="16"/>
      <c r="K77" s="2"/>
      <c r="L77" s="8" t="s">
        <v>19743</v>
      </c>
      <c r="M77" s="8" t="s">
        <v>395</v>
      </c>
      <c r="P77" s="8" t="s">
        <v>405</v>
      </c>
      <c r="Q77" s="12" t="s">
        <v>19744</v>
      </c>
      <c r="S77" s="8" t="s">
        <v>18</v>
      </c>
      <c r="Y77" s="2"/>
      <c r="Z77" s="2"/>
      <c r="AA77" s="2"/>
      <c r="AB77" s="2"/>
      <c r="AC77" s="2"/>
      <c r="AD77" s="2"/>
      <c r="AE77" s="2"/>
      <c r="AF77" s="2"/>
      <c r="AG77" s="2"/>
      <c r="AH77" s="2"/>
      <c r="AI77" s="2"/>
      <c r="AJ77" s="2"/>
      <c r="AK77" s="2"/>
      <c r="AL77" s="2"/>
      <c r="AM77" s="2"/>
      <c r="AN77" s="2"/>
      <c r="AO77" s="2"/>
      <c r="AP77" s="2"/>
      <c r="AQ77" s="2"/>
      <c r="AR77" s="2"/>
      <c r="AS77" s="2"/>
      <c r="AT77" s="2"/>
    </row>
    <row r="78" spans="1:49" s="8" customFormat="1" ht="12">
      <c r="A78" s="8" t="s">
        <v>19347</v>
      </c>
      <c r="B78" s="16" t="s">
        <v>29</v>
      </c>
      <c r="C78" s="8" t="s">
        <v>20</v>
      </c>
      <c r="D78" s="8" t="s">
        <v>30</v>
      </c>
      <c r="F78" s="17">
        <v>42328</v>
      </c>
      <c r="G78" s="8" t="s">
        <v>19738</v>
      </c>
      <c r="H78" s="8" t="s">
        <v>419</v>
      </c>
      <c r="I78" s="8" t="s">
        <v>45</v>
      </c>
      <c r="J78" s="16"/>
      <c r="K78" s="2"/>
      <c r="L78" s="8" t="s">
        <v>420</v>
      </c>
      <c r="M78" s="8" t="s">
        <v>27</v>
      </c>
      <c r="P78" s="8" t="s">
        <v>405</v>
      </c>
      <c r="Q78" s="12" t="s">
        <v>19739</v>
      </c>
      <c r="S78" s="8" t="s">
        <v>28</v>
      </c>
      <c r="V78" s="2"/>
      <c r="W78" s="2"/>
      <c r="X78" s="2"/>
      <c r="Y78" s="2"/>
      <c r="Z78" s="2"/>
      <c r="AA78" s="2"/>
      <c r="AB78" s="2"/>
      <c r="AC78" s="2"/>
      <c r="AD78" s="2"/>
      <c r="AE78" s="2"/>
      <c r="AF78" s="2"/>
      <c r="AG78" s="2"/>
      <c r="AH78" s="2"/>
      <c r="AI78" s="2"/>
      <c r="AJ78" s="2"/>
      <c r="AK78" s="2"/>
      <c r="AL78" s="2"/>
      <c r="AM78" s="2"/>
      <c r="AN78" s="2"/>
      <c r="AO78" s="2"/>
      <c r="AP78" s="2"/>
      <c r="AQ78" s="2"/>
      <c r="AR78" s="2"/>
      <c r="AS78" s="2"/>
      <c r="AT78" s="2"/>
    </row>
    <row r="79" spans="1:49" s="8" customFormat="1" ht="12" customHeight="1">
      <c r="A79" s="8" t="s">
        <v>19745</v>
      </c>
      <c r="B79" s="16">
        <v>39</v>
      </c>
      <c r="C79" s="8" t="s">
        <v>20</v>
      </c>
      <c r="D79" s="8" t="s">
        <v>37</v>
      </c>
      <c r="E79" s="8" t="s">
        <v>19929</v>
      </c>
      <c r="F79" s="17">
        <v>42328</v>
      </c>
      <c r="G79" s="8" t="s">
        <v>19746</v>
      </c>
      <c r="H79" s="8" t="s">
        <v>288</v>
      </c>
      <c r="I79" s="8" t="s">
        <v>175</v>
      </c>
      <c r="J79" s="16"/>
      <c r="K79" s="2"/>
      <c r="L79" s="8" t="s">
        <v>19747</v>
      </c>
      <c r="M79" s="8" t="s">
        <v>27</v>
      </c>
      <c r="P79" s="8" t="s">
        <v>405</v>
      </c>
      <c r="Q79" s="12" t="s">
        <v>19748</v>
      </c>
      <c r="S79" s="8" t="s">
        <v>28</v>
      </c>
      <c r="Y79" s="2"/>
      <c r="Z79" s="2"/>
      <c r="AA79" s="2"/>
      <c r="AB79" s="2"/>
      <c r="AC79" s="2"/>
      <c r="AD79" s="2"/>
      <c r="AE79" s="2"/>
      <c r="AF79" s="2"/>
      <c r="AG79" s="2"/>
      <c r="AH79" s="2"/>
      <c r="AI79" s="2"/>
      <c r="AJ79" s="2"/>
      <c r="AK79" s="2"/>
      <c r="AL79" s="2"/>
      <c r="AM79" s="2"/>
      <c r="AN79" s="2"/>
      <c r="AO79" s="2"/>
      <c r="AP79" s="2"/>
      <c r="AQ79" s="2"/>
      <c r="AR79" s="2"/>
      <c r="AS79" s="2"/>
      <c r="AT79" s="2"/>
    </row>
    <row r="80" spans="1:49" s="8" customFormat="1" ht="13" customHeight="1">
      <c r="A80" s="8" t="s">
        <v>19633</v>
      </c>
      <c r="B80" s="16">
        <v>34</v>
      </c>
      <c r="C80" s="8" t="s">
        <v>20</v>
      </c>
      <c r="D80" s="8" t="s">
        <v>85</v>
      </c>
      <c r="E80" s="8" t="s">
        <v>19910</v>
      </c>
      <c r="F80" s="17">
        <v>42327</v>
      </c>
      <c r="G80" s="8" t="s">
        <v>19634</v>
      </c>
      <c r="H80" s="8" t="s">
        <v>119</v>
      </c>
      <c r="I80" s="8" t="s">
        <v>3709</v>
      </c>
      <c r="J80" s="16" t="s">
        <v>10767</v>
      </c>
      <c r="K80" s="2" t="s">
        <v>3711</v>
      </c>
      <c r="L80" s="8" t="s">
        <v>19944</v>
      </c>
      <c r="M80" s="8" t="s">
        <v>27</v>
      </c>
      <c r="N80" s="8" t="s">
        <v>19635</v>
      </c>
      <c r="O80" s="8" t="s">
        <v>404</v>
      </c>
      <c r="P80" s="8" t="s">
        <v>405</v>
      </c>
      <c r="Q80" s="12" t="s">
        <v>19636</v>
      </c>
      <c r="R80" s="8" t="s">
        <v>29</v>
      </c>
      <c r="S80" s="8" t="s">
        <v>28</v>
      </c>
      <c r="Y80" s="2"/>
      <c r="Z80" s="2"/>
      <c r="AA80" s="2"/>
      <c r="AB80" s="2"/>
      <c r="AC80" s="2"/>
      <c r="AD80" s="2"/>
      <c r="AE80" s="2"/>
      <c r="AF80" s="2"/>
      <c r="AG80" s="2"/>
      <c r="AH80" s="2"/>
      <c r="AN80" s="2"/>
      <c r="AO80" s="2"/>
      <c r="AP80" s="2"/>
      <c r="AQ80" s="2"/>
      <c r="AR80" s="2"/>
      <c r="AS80" s="2"/>
      <c r="AT80" s="2"/>
    </row>
    <row r="81" spans="1:49" s="8" customFormat="1" ht="13" customHeight="1">
      <c r="A81" s="8" t="s">
        <v>19628</v>
      </c>
      <c r="B81" s="16">
        <v>29</v>
      </c>
      <c r="C81" s="8" t="s">
        <v>20</v>
      </c>
      <c r="D81" s="8" t="s">
        <v>85</v>
      </c>
      <c r="F81" s="17">
        <v>42327</v>
      </c>
      <c r="G81" s="8" t="s">
        <v>19629</v>
      </c>
      <c r="H81" s="8" t="s">
        <v>352</v>
      </c>
      <c r="I81" s="8" t="s">
        <v>45</v>
      </c>
      <c r="J81" s="16" t="s">
        <v>19630</v>
      </c>
      <c r="K81" s="2" t="s">
        <v>313</v>
      </c>
      <c r="L81" s="8" t="s">
        <v>12238</v>
      </c>
      <c r="M81" s="8" t="s">
        <v>27</v>
      </c>
      <c r="N81" s="8" t="s">
        <v>19631</v>
      </c>
      <c r="O81" s="8" t="s">
        <v>404</v>
      </c>
      <c r="P81" s="8" t="s">
        <v>405</v>
      </c>
      <c r="Q81" s="12" t="s">
        <v>19632</v>
      </c>
      <c r="R81" s="8" t="s">
        <v>29</v>
      </c>
      <c r="S81" s="8" t="s">
        <v>18</v>
      </c>
      <c r="Y81" s="2"/>
      <c r="Z81" s="2"/>
      <c r="AA81" s="2"/>
      <c r="AB81" s="2"/>
      <c r="AC81" s="2"/>
      <c r="AD81" s="2"/>
      <c r="AE81" s="2"/>
      <c r="AF81" s="2"/>
      <c r="AG81" s="2"/>
      <c r="AH81" s="2"/>
      <c r="AN81" s="2"/>
      <c r="AO81" s="2"/>
      <c r="AP81" s="2"/>
      <c r="AQ81" s="2"/>
      <c r="AR81" s="2"/>
      <c r="AS81" s="2"/>
      <c r="AT81" s="2"/>
    </row>
    <row r="82" spans="1:49" s="8" customFormat="1" ht="12" customHeight="1">
      <c r="A82" s="8" t="s">
        <v>19616</v>
      </c>
      <c r="B82" s="16">
        <v>34</v>
      </c>
      <c r="C82" s="8" t="s">
        <v>20</v>
      </c>
      <c r="D82" s="8" t="s">
        <v>85</v>
      </c>
      <c r="E82" s="8" t="s">
        <v>19617</v>
      </c>
      <c r="F82" s="17">
        <v>42327</v>
      </c>
      <c r="G82" s="8" t="s">
        <v>19618</v>
      </c>
      <c r="H82" s="8" t="s">
        <v>3616</v>
      </c>
      <c r="I82" s="8" t="s">
        <v>62</v>
      </c>
      <c r="J82" s="16" t="s">
        <v>7635</v>
      </c>
      <c r="K82" s="2" t="s">
        <v>3618</v>
      </c>
      <c r="L82" s="8" t="s">
        <v>3619</v>
      </c>
      <c r="M82" s="8" t="s">
        <v>27</v>
      </c>
      <c r="N82" s="8" t="s">
        <v>19619</v>
      </c>
      <c r="O82" s="8" t="s">
        <v>404</v>
      </c>
      <c r="P82" s="8" t="s">
        <v>405</v>
      </c>
      <c r="Q82" s="12" t="s">
        <v>19620</v>
      </c>
      <c r="R82" s="8" t="s">
        <v>29</v>
      </c>
      <c r="S82" s="8" t="s">
        <v>28</v>
      </c>
      <c r="Y82" s="2"/>
      <c r="Z82" s="2"/>
      <c r="AA82" s="2"/>
      <c r="AB82" s="2"/>
      <c r="AC82" s="2"/>
      <c r="AD82" s="2"/>
      <c r="AE82" s="2"/>
      <c r="AF82" s="2"/>
      <c r="AG82" s="2"/>
      <c r="AH82" s="2"/>
      <c r="AN82" s="2"/>
      <c r="AO82" s="2"/>
      <c r="AP82" s="2"/>
      <c r="AQ82" s="2"/>
      <c r="AR82" s="2"/>
      <c r="AS82" s="2"/>
      <c r="AT82" s="2"/>
    </row>
    <row r="83" spans="1:49" s="8" customFormat="1" ht="12">
      <c r="A83" s="8" t="s">
        <v>19621</v>
      </c>
      <c r="B83" s="16">
        <v>27</v>
      </c>
      <c r="C83" s="8" t="s">
        <v>20</v>
      </c>
      <c r="D83" s="8" t="s">
        <v>85</v>
      </c>
      <c r="E83" s="8" t="s">
        <v>19622</v>
      </c>
      <c r="F83" s="17">
        <v>42327</v>
      </c>
      <c r="G83" s="8" t="s">
        <v>19623</v>
      </c>
      <c r="H83" s="8" t="s">
        <v>3277</v>
      </c>
      <c r="I83" s="8" t="s">
        <v>62</v>
      </c>
      <c r="J83" s="16" t="s">
        <v>19624</v>
      </c>
      <c r="K83" s="2" t="s">
        <v>3279</v>
      </c>
      <c r="L83" s="8" t="s">
        <v>19625</v>
      </c>
      <c r="M83" s="8" t="s">
        <v>27</v>
      </c>
      <c r="N83" s="8" t="s">
        <v>19626</v>
      </c>
      <c r="O83" s="8" t="s">
        <v>404</v>
      </c>
      <c r="P83" s="8" t="s">
        <v>405</v>
      </c>
      <c r="Q83" s="12" t="s">
        <v>19627</v>
      </c>
      <c r="R83" s="8" t="s">
        <v>100</v>
      </c>
      <c r="S83" s="8" t="s">
        <v>28</v>
      </c>
      <c r="AN83" s="2"/>
      <c r="AO83" s="2"/>
      <c r="AP83" s="2"/>
      <c r="AQ83" s="2"/>
      <c r="AR83" s="2"/>
      <c r="AS83" s="2"/>
      <c r="AT83" s="2"/>
    </row>
    <row r="84" spans="1:49" s="8" customFormat="1" ht="12">
      <c r="A84" s="8" t="s">
        <v>19347</v>
      </c>
      <c r="B84" s="16" t="s">
        <v>29</v>
      </c>
      <c r="C84" s="8" t="s">
        <v>115</v>
      </c>
      <c r="D84" s="8" t="s">
        <v>30</v>
      </c>
      <c r="F84" s="17">
        <v>42327</v>
      </c>
      <c r="G84" s="8" t="s">
        <v>19749</v>
      </c>
      <c r="H84" s="8" t="s">
        <v>3229</v>
      </c>
      <c r="I84" s="8" t="s">
        <v>118</v>
      </c>
      <c r="J84" s="16"/>
      <c r="K84" s="2"/>
      <c r="L84" s="8" t="s">
        <v>19750</v>
      </c>
      <c r="M84" s="8" t="s">
        <v>383</v>
      </c>
      <c r="P84" s="8" t="s">
        <v>405</v>
      </c>
      <c r="Q84" s="12" t="s">
        <v>19751</v>
      </c>
      <c r="S84" s="8" t="s">
        <v>18</v>
      </c>
      <c r="Y84" s="2"/>
      <c r="Z84" s="2"/>
      <c r="AA84" s="2"/>
      <c r="AB84" s="2"/>
      <c r="AC84" s="2"/>
      <c r="AD84" s="2"/>
      <c r="AE84" s="2"/>
      <c r="AF84" s="2"/>
      <c r="AG84" s="2"/>
      <c r="AH84" s="2"/>
      <c r="AI84" s="2"/>
      <c r="AJ84" s="2"/>
      <c r="AK84" s="2"/>
      <c r="AL84" s="2"/>
      <c r="AM84" s="2"/>
      <c r="AN84" s="2"/>
      <c r="AO84" s="2"/>
      <c r="AP84" s="2"/>
      <c r="AQ84" s="2"/>
      <c r="AR84" s="2"/>
      <c r="AS84" s="2"/>
      <c r="AT84" s="2"/>
    </row>
    <row r="85" spans="1:49" s="8" customFormat="1" ht="12">
      <c r="A85" s="8" t="s">
        <v>21066</v>
      </c>
      <c r="B85" s="16">
        <v>30</v>
      </c>
      <c r="C85" s="8" t="s">
        <v>115</v>
      </c>
      <c r="D85" s="8" t="s">
        <v>85</v>
      </c>
      <c r="E85" s="8" t="s">
        <v>21067</v>
      </c>
      <c r="F85" s="17">
        <v>42326</v>
      </c>
      <c r="G85" s="8" t="s">
        <v>21068</v>
      </c>
      <c r="H85" s="8" t="s">
        <v>2364</v>
      </c>
      <c r="I85" s="8" t="s">
        <v>220</v>
      </c>
      <c r="J85" s="16"/>
      <c r="K85" s="2"/>
      <c r="L85" s="8" t="s">
        <v>11667</v>
      </c>
      <c r="M85" s="8" t="s">
        <v>27</v>
      </c>
      <c r="N85" s="8" t="s">
        <v>21082</v>
      </c>
      <c r="P85" s="8" t="s">
        <v>1171</v>
      </c>
      <c r="Q85" s="12" t="s">
        <v>21069</v>
      </c>
      <c r="R85" s="8" t="s">
        <v>100</v>
      </c>
      <c r="S85" s="8" t="s">
        <v>18</v>
      </c>
      <c r="T85" s="7"/>
      <c r="U85" s="44"/>
      <c r="X85" s="44"/>
      <c r="Y85" s="44"/>
      <c r="AK85" s="2"/>
      <c r="AL85" s="2"/>
      <c r="AM85" s="2"/>
      <c r="AN85" s="2"/>
      <c r="AO85" s="2"/>
      <c r="AP85" s="2"/>
      <c r="AQ85" s="2"/>
      <c r="AR85" s="2"/>
      <c r="AS85" s="2"/>
      <c r="AT85" s="2"/>
      <c r="AU85" s="2"/>
      <c r="AV85" s="2"/>
      <c r="AW85" s="2"/>
    </row>
    <row r="86" spans="1:49" s="8" customFormat="1" ht="12" customHeight="1">
      <c r="A86" s="8" t="s">
        <v>19603</v>
      </c>
      <c r="B86" s="16">
        <v>25</v>
      </c>
      <c r="C86" s="8" t="s">
        <v>20</v>
      </c>
      <c r="D86" s="8" t="s">
        <v>85</v>
      </c>
      <c r="E86" s="8" t="s">
        <v>19604</v>
      </c>
      <c r="F86" s="17">
        <v>42326</v>
      </c>
      <c r="G86" s="8" t="s">
        <v>19605</v>
      </c>
      <c r="H86" s="8" t="s">
        <v>19606</v>
      </c>
      <c r="I86" s="8" t="s">
        <v>62</v>
      </c>
      <c r="J86" s="16" t="s">
        <v>19607</v>
      </c>
      <c r="K86" s="2" t="s">
        <v>163</v>
      </c>
      <c r="L86" s="8" t="s">
        <v>17850</v>
      </c>
      <c r="M86" s="8" t="s">
        <v>27</v>
      </c>
      <c r="N86" s="8" t="s">
        <v>19608</v>
      </c>
      <c r="O86" s="8" t="s">
        <v>404</v>
      </c>
      <c r="P86" s="8" t="s">
        <v>405</v>
      </c>
      <c r="Q86" s="12" t="s">
        <v>19609</v>
      </c>
      <c r="R86" s="8" t="s">
        <v>29</v>
      </c>
      <c r="S86" s="8" t="s">
        <v>35</v>
      </c>
      <c r="Y86" s="2"/>
      <c r="Z86" s="2"/>
      <c r="AA86" s="2"/>
      <c r="AB86" s="2"/>
      <c r="AC86" s="2"/>
      <c r="AD86" s="2"/>
      <c r="AE86" s="2"/>
      <c r="AF86" s="2"/>
      <c r="AG86" s="2"/>
      <c r="AH86" s="2"/>
      <c r="AN86" s="2"/>
      <c r="AO86" s="2"/>
      <c r="AP86" s="2"/>
      <c r="AQ86" s="2"/>
      <c r="AR86" s="2"/>
      <c r="AS86" s="2"/>
      <c r="AT86" s="2"/>
    </row>
    <row r="87" spans="1:49" s="8" customFormat="1" ht="12">
      <c r="A87" s="8" t="s">
        <v>19610</v>
      </c>
      <c r="B87" s="16">
        <v>44</v>
      </c>
      <c r="C87" s="8" t="s">
        <v>20</v>
      </c>
      <c r="D87" s="8" t="s">
        <v>85</v>
      </c>
      <c r="E87" s="8" t="s">
        <v>19611</v>
      </c>
      <c r="F87" s="17">
        <v>42326</v>
      </c>
      <c r="G87" s="8" t="s">
        <v>19612</v>
      </c>
      <c r="H87" s="8" t="s">
        <v>294</v>
      </c>
      <c r="I87" s="8" t="s">
        <v>57</v>
      </c>
      <c r="J87" s="16" t="s">
        <v>19613</v>
      </c>
      <c r="K87" s="2" t="s">
        <v>10234</v>
      </c>
      <c r="L87" s="8" t="s">
        <v>4002</v>
      </c>
      <c r="M87" s="8" t="s">
        <v>27</v>
      </c>
      <c r="N87" s="8" t="s">
        <v>19614</v>
      </c>
      <c r="O87" s="8" t="s">
        <v>1018</v>
      </c>
      <c r="P87" s="8" t="s">
        <v>405</v>
      </c>
      <c r="Q87" s="12" t="s">
        <v>19615</v>
      </c>
      <c r="R87" s="8" t="s">
        <v>29</v>
      </c>
      <c r="S87" s="8" t="s">
        <v>28</v>
      </c>
      <c r="Y87" s="2"/>
      <c r="Z87" s="2"/>
      <c r="AA87" s="2"/>
      <c r="AB87" s="2"/>
      <c r="AC87" s="2"/>
      <c r="AD87" s="2"/>
      <c r="AE87" s="2"/>
      <c r="AF87" s="2"/>
      <c r="AG87" s="2"/>
      <c r="AH87" s="2"/>
      <c r="AN87" s="2"/>
      <c r="AO87" s="2"/>
      <c r="AP87" s="2"/>
      <c r="AQ87" s="2"/>
      <c r="AR87" s="2"/>
      <c r="AS87" s="2"/>
      <c r="AT87" s="2"/>
    </row>
    <row r="88" spans="1:49" ht="15" customHeight="1">
      <c r="A88" s="8" t="s">
        <v>19646</v>
      </c>
      <c r="B88" s="16">
        <v>48</v>
      </c>
      <c r="C88" s="8" t="s">
        <v>115</v>
      </c>
      <c r="D88" s="8" t="s">
        <v>85</v>
      </c>
      <c r="E88" s="8" t="s">
        <v>19647</v>
      </c>
      <c r="F88" s="17">
        <v>42325</v>
      </c>
      <c r="G88" s="8" t="s">
        <v>19648</v>
      </c>
      <c r="H88" s="8" t="s">
        <v>434</v>
      </c>
      <c r="I88" s="8" t="s">
        <v>435</v>
      </c>
      <c r="J88" s="16">
        <v>64132</v>
      </c>
      <c r="K88" s="2" t="s">
        <v>437</v>
      </c>
      <c r="L88" s="8" t="s">
        <v>438</v>
      </c>
      <c r="M88" s="8" t="s">
        <v>383</v>
      </c>
      <c r="N88" s="8" t="s">
        <v>19649</v>
      </c>
      <c r="O88" s="8" t="s">
        <v>404</v>
      </c>
      <c r="P88" s="8" t="s">
        <v>405</v>
      </c>
      <c r="Q88" s="12" t="s">
        <v>19650</v>
      </c>
      <c r="R88" s="8" t="s">
        <v>100</v>
      </c>
      <c r="S88" s="8" t="s">
        <v>18</v>
      </c>
      <c r="T88" s="8"/>
      <c r="U88" s="8"/>
      <c r="AI88" s="8"/>
      <c r="AJ88" s="8"/>
      <c r="AK88" s="8"/>
      <c r="AL88" s="8"/>
      <c r="AM88" s="8"/>
      <c r="AU88" s="8"/>
      <c r="AV88" s="8"/>
      <c r="AW88" s="8"/>
    </row>
    <row r="89" spans="1:49" ht="15" customHeight="1">
      <c r="A89" s="8" t="s">
        <v>19585</v>
      </c>
      <c r="B89" s="16">
        <v>21</v>
      </c>
      <c r="C89" s="8" t="s">
        <v>20</v>
      </c>
      <c r="D89" s="8" t="s">
        <v>85</v>
      </c>
      <c r="E89" s="8" t="s">
        <v>19586</v>
      </c>
      <c r="F89" s="17">
        <v>42325</v>
      </c>
      <c r="G89" s="8" t="s">
        <v>19587</v>
      </c>
      <c r="H89" s="8" t="s">
        <v>19588</v>
      </c>
      <c r="I89" s="8" t="s">
        <v>32</v>
      </c>
      <c r="J89" s="16" t="s">
        <v>19589</v>
      </c>
      <c r="K89" s="2" t="s">
        <v>1015</v>
      </c>
      <c r="L89" s="8" t="s">
        <v>19590</v>
      </c>
      <c r="M89" s="8" t="s">
        <v>27</v>
      </c>
      <c r="N89" s="8" t="s">
        <v>19591</v>
      </c>
      <c r="O89" s="8" t="s">
        <v>4742</v>
      </c>
      <c r="P89" s="8" t="s">
        <v>405</v>
      </c>
      <c r="Q89" s="12" t="s">
        <v>19592</v>
      </c>
      <c r="R89" s="8" t="s">
        <v>559</v>
      </c>
      <c r="S89" s="8" t="s">
        <v>28</v>
      </c>
      <c r="T89" s="8"/>
      <c r="U89" s="8"/>
      <c r="V89" s="8"/>
      <c r="W89" s="8"/>
      <c r="X89" s="8"/>
      <c r="AI89" s="8"/>
      <c r="AJ89" s="8"/>
      <c r="AK89" s="8"/>
      <c r="AL89" s="8"/>
      <c r="AM89" s="8"/>
      <c r="AU89" s="8"/>
      <c r="AV89" s="8"/>
      <c r="AW89" s="8"/>
    </row>
    <row r="90" spans="1:49" ht="15" customHeight="1">
      <c r="A90" s="8" t="s">
        <v>19760</v>
      </c>
      <c r="B90" s="16">
        <v>58</v>
      </c>
      <c r="C90" s="8" t="s">
        <v>20</v>
      </c>
      <c r="D90" s="8" t="s">
        <v>37</v>
      </c>
      <c r="F90" s="17">
        <v>42325</v>
      </c>
      <c r="G90" s="8" t="s">
        <v>19761</v>
      </c>
      <c r="H90" s="8" t="s">
        <v>851</v>
      </c>
      <c r="I90" s="8" t="s">
        <v>175</v>
      </c>
      <c r="L90" s="8" t="s">
        <v>19762</v>
      </c>
      <c r="M90" s="8" t="s">
        <v>27</v>
      </c>
      <c r="P90" s="8" t="s">
        <v>405</v>
      </c>
      <c r="Q90" s="12" t="s">
        <v>19763</v>
      </c>
      <c r="S90" s="8" t="s">
        <v>35</v>
      </c>
      <c r="T90" s="8"/>
      <c r="U90" s="8"/>
      <c r="AN90" s="8"/>
      <c r="AO90" s="8"/>
      <c r="AP90" s="8"/>
      <c r="AQ90" s="8"/>
      <c r="AR90" s="8"/>
      <c r="AS90" s="8"/>
      <c r="AT90" s="8"/>
      <c r="AU90" s="8"/>
      <c r="AV90" s="8"/>
      <c r="AW90" s="8"/>
    </row>
    <row r="91" spans="1:49" ht="15" customHeight="1">
      <c r="A91" s="8" t="s">
        <v>19755</v>
      </c>
      <c r="B91" s="16">
        <v>47</v>
      </c>
      <c r="C91" s="8" t="s">
        <v>20</v>
      </c>
      <c r="D91" s="8" t="s">
        <v>37</v>
      </c>
      <c r="E91" s="8" t="s">
        <v>19909</v>
      </c>
      <c r="F91" s="17">
        <v>42325</v>
      </c>
      <c r="G91" s="8" t="s">
        <v>19756</v>
      </c>
      <c r="H91" s="8" t="s">
        <v>19757</v>
      </c>
      <c r="I91" s="8" t="s">
        <v>81</v>
      </c>
      <c r="L91" s="8" t="s">
        <v>19758</v>
      </c>
      <c r="M91" s="8" t="s">
        <v>27</v>
      </c>
      <c r="P91" s="8" t="s">
        <v>405</v>
      </c>
      <c r="Q91" s="12" t="s">
        <v>19759</v>
      </c>
      <c r="S91" s="8" t="s">
        <v>28</v>
      </c>
      <c r="T91" s="8"/>
      <c r="U91" s="8"/>
      <c r="V91" s="8"/>
      <c r="W91" s="8"/>
      <c r="X91" s="8"/>
      <c r="AN91" s="8"/>
      <c r="AO91" s="8"/>
      <c r="AP91" s="8"/>
      <c r="AQ91" s="8"/>
      <c r="AR91" s="8"/>
      <c r="AS91" s="8"/>
      <c r="AT91" s="8"/>
      <c r="AU91" s="8"/>
      <c r="AV91" s="8"/>
      <c r="AW91" s="8"/>
    </row>
    <row r="92" spans="1:49" s="8" customFormat="1" ht="12">
      <c r="A92" s="8" t="s">
        <v>19593</v>
      </c>
      <c r="B92" s="16">
        <v>30</v>
      </c>
      <c r="C92" s="8" t="s">
        <v>20</v>
      </c>
      <c r="D92" s="8" t="s">
        <v>85</v>
      </c>
      <c r="E92" s="8" t="s">
        <v>19594</v>
      </c>
      <c r="F92" s="17">
        <v>42325</v>
      </c>
      <c r="G92" s="8" t="s">
        <v>19595</v>
      </c>
      <c r="H92" s="8" t="s">
        <v>731</v>
      </c>
      <c r="I92" s="8" t="s">
        <v>73</v>
      </c>
      <c r="J92" s="16" t="s">
        <v>11368</v>
      </c>
      <c r="K92" s="2" t="s">
        <v>562</v>
      </c>
      <c r="L92" s="8" t="s">
        <v>563</v>
      </c>
      <c r="M92" s="8" t="s">
        <v>27</v>
      </c>
      <c r="N92" s="8" t="s">
        <v>19596</v>
      </c>
      <c r="O92" s="8" t="s">
        <v>4742</v>
      </c>
      <c r="P92" s="8" t="s">
        <v>405</v>
      </c>
      <c r="Q92" s="12" t="s">
        <v>19597</v>
      </c>
      <c r="R92" s="8" t="s">
        <v>29</v>
      </c>
      <c r="S92" s="8" t="s">
        <v>28</v>
      </c>
      <c r="Y92" s="2"/>
      <c r="Z92" s="2"/>
      <c r="AA92" s="2"/>
      <c r="AB92" s="2"/>
      <c r="AC92" s="2"/>
      <c r="AD92" s="2"/>
      <c r="AE92" s="2"/>
      <c r="AF92" s="2"/>
      <c r="AG92" s="2"/>
      <c r="AH92" s="2"/>
      <c r="AN92" s="2"/>
      <c r="AO92" s="2"/>
      <c r="AP92" s="2"/>
      <c r="AQ92" s="2"/>
      <c r="AR92" s="2"/>
      <c r="AS92" s="2"/>
      <c r="AT92" s="2"/>
    </row>
    <row r="93" spans="1:49" s="8" customFormat="1" ht="12">
      <c r="A93" s="8" t="s">
        <v>19752</v>
      </c>
      <c r="B93" s="16">
        <v>41</v>
      </c>
      <c r="C93" s="8" t="s">
        <v>20</v>
      </c>
      <c r="D93" s="8" t="s">
        <v>37</v>
      </c>
      <c r="F93" s="17">
        <v>42325</v>
      </c>
      <c r="G93" s="8" t="s">
        <v>19753</v>
      </c>
      <c r="H93" s="8" t="s">
        <v>1636</v>
      </c>
      <c r="I93" s="8" t="s">
        <v>73</v>
      </c>
      <c r="J93" s="16"/>
      <c r="K93" s="2"/>
      <c r="L93" s="8" t="s">
        <v>1639</v>
      </c>
      <c r="M93" s="8" t="s">
        <v>27</v>
      </c>
      <c r="P93" s="8" t="s">
        <v>405</v>
      </c>
      <c r="Q93" s="12" t="s">
        <v>19754</v>
      </c>
      <c r="S93" s="8" t="s">
        <v>18</v>
      </c>
      <c r="Y93" s="2"/>
      <c r="Z93" s="2"/>
      <c r="AA93" s="2"/>
      <c r="AB93" s="2"/>
      <c r="AC93" s="2"/>
      <c r="AD93" s="2"/>
      <c r="AE93" s="2"/>
      <c r="AF93" s="2"/>
      <c r="AG93" s="2"/>
      <c r="AH93" s="2"/>
      <c r="AI93" s="2"/>
      <c r="AJ93" s="2"/>
      <c r="AK93" s="2"/>
      <c r="AL93" s="2"/>
      <c r="AM93" s="2"/>
    </row>
    <row r="94" spans="1:49" s="8" customFormat="1" ht="13" customHeight="1">
      <c r="A94" s="8" t="s">
        <v>19598</v>
      </c>
      <c r="B94" s="16">
        <v>28</v>
      </c>
      <c r="C94" s="8" t="s">
        <v>20</v>
      </c>
      <c r="D94" s="8" t="s">
        <v>85</v>
      </c>
      <c r="E94" s="8" t="s">
        <v>19599</v>
      </c>
      <c r="F94" s="17">
        <v>42325</v>
      </c>
      <c r="G94" s="8" t="s">
        <v>19600</v>
      </c>
      <c r="H94" s="8" t="s">
        <v>216</v>
      </c>
      <c r="I94" s="8" t="s">
        <v>62</v>
      </c>
      <c r="J94" s="16" t="s">
        <v>11527</v>
      </c>
      <c r="K94" s="2" t="s">
        <v>163</v>
      </c>
      <c r="L94" s="8" t="s">
        <v>164</v>
      </c>
      <c r="M94" s="8" t="s">
        <v>27</v>
      </c>
      <c r="N94" s="8" t="s">
        <v>19601</v>
      </c>
      <c r="O94" s="8" t="s">
        <v>4742</v>
      </c>
      <c r="P94" s="8" t="s">
        <v>405</v>
      </c>
      <c r="Q94" s="12" t="s">
        <v>19602</v>
      </c>
      <c r="R94" s="8" t="s">
        <v>100</v>
      </c>
      <c r="S94" s="8" t="s">
        <v>28</v>
      </c>
      <c r="Y94" s="2"/>
      <c r="Z94" s="2"/>
      <c r="AA94" s="2"/>
      <c r="AB94" s="2"/>
      <c r="AC94" s="2"/>
      <c r="AD94" s="2"/>
      <c r="AE94" s="2"/>
      <c r="AF94" s="2"/>
      <c r="AG94" s="2"/>
      <c r="AH94" s="2"/>
      <c r="AN94" s="2"/>
      <c r="AO94" s="2"/>
      <c r="AP94" s="2"/>
      <c r="AQ94" s="2"/>
      <c r="AR94" s="2"/>
      <c r="AS94" s="2"/>
      <c r="AT94" s="2"/>
    </row>
    <row r="95" spans="1:49" s="8" customFormat="1" ht="12">
      <c r="A95" s="8" t="s">
        <v>19764</v>
      </c>
      <c r="B95" s="16">
        <v>25</v>
      </c>
      <c r="C95" s="8" t="s">
        <v>20</v>
      </c>
      <c r="D95" s="8" t="s">
        <v>37</v>
      </c>
      <c r="E95" s="8" t="s">
        <v>19893</v>
      </c>
      <c r="F95" s="17">
        <v>42324</v>
      </c>
      <c r="G95" s="8" t="s">
        <v>19765</v>
      </c>
      <c r="H95" s="8" t="s">
        <v>19766</v>
      </c>
      <c r="I95" s="8" t="s">
        <v>175</v>
      </c>
      <c r="J95" s="16"/>
      <c r="K95" s="2"/>
      <c r="L95" s="8" t="s">
        <v>19767</v>
      </c>
      <c r="M95" s="8" t="s">
        <v>27</v>
      </c>
      <c r="P95" s="8" t="s">
        <v>405</v>
      </c>
      <c r="Q95" s="12" t="s">
        <v>19768</v>
      </c>
      <c r="S95" s="8" t="s">
        <v>383</v>
      </c>
      <c r="Y95" s="2"/>
      <c r="Z95" s="2"/>
      <c r="AA95" s="2"/>
      <c r="AB95" s="2"/>
      <c r="AC95" s="2"/>
      <c r="AD95" s="2"/>
      <c r="AE95" s="2"/>
      <c r="AF95" s="2"/>
      <c r="AG95" s="2"/>
      <c r="AH95" s="2"/>
      <c r="AI95" s="2"/>
      <c r="AJ95" s="2"/>
      <c r="AK95" s="2"/>
      <c r="AL95" s="2"/>
      <c r="AM95" s="2"/>
    </row>
    <row r="96" spans="1:49" s="8" customFormat="1" ht="12" customHeight="1">
      <c r="A96" s="8" t="s">
        <v>19579</v>
      </c>
      <c r="B96" s="16">
        <v>24</v>
      </c>
      <c r="C96" s="8" t="s">
        <v>20</v>
      </c>
      <c r="D96" s="8" t="s">
        <v>85</v>
      </c>
      <c r="E96" s="8" t="s">
        <v>19580</v>
      </c>
      <c r="F96" s="17">
        <v>42323</v>
      </c>
      <c r="G96" s="8" t="s">
        <v>19581</v>
      </c>
      <c r="H96" s="8" t="s">
        <v>6858</v>
      </c>
      <c r="I96" s="8" t="s">
        <v>135</v>
      </c>
      <c r="J96" s="16" t="s">
        <v>19582</v>
      </c>
      <c r="K96" s="2" t="s">
        <v>1081</v>
      </c>
      <c r="L96" s="8" t="s">
        <v>17213</v>
      </c>
      <c r="M96" s="8" t="s">
        <v>27</v>
      </c>
      <c r="N96" s="8" t="s">
        <v>19583</v>
      </c>
      <c r="O96" s="8" t="s">
        <v>4742</v>
      </c>
      <c r="P96" s="8" t="s">
        <v>405</v>
      </c>
      <c r="Q96" s="12" t="s">
        <v>19584</v>
      </c>
      <c r="R96" s="8" t="s">
        <v>100</v>
      </c>
      <c r="S96" s="8" t="s">
        <v>18</v>
      </c>
      <c r="Y96" s="2"/>
      <c r="Z96" s="2"/>
      <c r="AA96" s="2"/>
      <c r="AB96" s="2"/>
      <c r="AC96" s="2"/>
      <c r="AD96" s="2"/>
      <c r="AE96" s="2"/>
      <c r="AF96" s="2"/>
      <c r="AG96" s="2"/>
      <c r="AH96" s="2"/>
      <c r="AN96" s="2"/>
      <c r="AO96" s="2"/>
      <c r="AP96" s="2"/>
      <c r="AQ96" s="2"/>
      <c r="AR96" s="2"/>
      <c r="AS96" s="2"/>
      <c r="AT96" s="2"/>
    </row>
    <row r="97" spans="1:46" s="8" customFormat="1" ht="12" customHeight="1">
      <c r="A97" s="8" t="s">
        <v>19772</v>
      </c>
      <c r="B97" s="16">
        <v>33</v>
      </c>
      <c r="C97" s="8" t="s">
        <v>20</v>
      </c>
      <c r="D97" s="8" t="s">
        <v>37</v>
      </c>
      <c r="E97" s="8" t="s">
        <v>19900</v>
      </c>
      <c r="F97" s="17">
        <v>42323</v>
      </c>
      <c r="G97" s="8" t="s">
        <v>19773</v>
      </c>
      <c r="H97" s="8" t="s">
        <v>19774</v>
      </c>
      <c r="I97" s="8" t="s">
        <v>370</v>
      </c>
      <c r="J97" s="16"/>
      <c r="K97" s="2"/>
      <c r="L97" s="8" t="s">
        <v>19775</v>
      </c>
      <c r="M97" s="8" t="s">
        <v>27</v>
      </c>
      <c r="P97" s="8" t="s">
        <v>405</v>
      </c>
      <c r="Q97" s="12" t="s">
        <v>19776</v>
      </c>
      <c r="S97" s="8" t="s">
        <v>35</v>
      </c>
      <c r="AI97" s="2"/>
      <c r="AJ97" s="2"/>
      <c r="AK97" s="2"/>
      <c r="AL97" s="2"/>
      <c r="AM97" s="2"/>
    </row>
    <row r="98" spans="1:46" s="8" customFormat="1" ht="13" customHeight="1">
      <c r="A98" s="8" t="s">
        <v>19641</v>
      </c>
      <c r="B98" s="16">
        <v>39</v>
      </c>
      <c r="C98" s="8" t="s">
        <v>20</v>
      </c>
      <c r="D98" s="8" t="s">
        <v>85</v>
      </c>
      <c r="E98" s="8" t="s">
        <v>19642</v>
      </c>
      <c r="F98" s="17">
        <v>42323</v>
      </c>
      <c r="G98" s="8" t="s">
        <v>19643</v>
      </c>
      <c r="H98" s="8" t="s">
        <v>607</v>
      </c>
      <c r="I98" s="8" t="s">
        <v>45</v>
      </c>
      <c r="J98" s="16">
        <v>94621</v>
      </c>
      <c r="K98" s="2" t="s">
        <v>608</v>
      </c>
      <c r="L98" s="8" t="s">
        <v>609</v>
      </c>
      <c r="M98" s="8" t="s">
        <v>27</v>
      </c>
      <c r="N98" s="8" t="s">
        <v>19644</v>
      </c>
      <c r="O98" s="8" t="s">
        <v>404</v>
      </c>
      <c r="P98" s="8" t="s">
        <v>405</v>
      </c>
      <c r="Q98" s="12" t="s">
        <v>19645</v>
      </c>
      <c r="R98" s="8" t="s">
        <v>100</v>
      </c>
      <c r="S98" s="8" t="s">
        <v>18</v>
      </c>
      <c r="Y98" s="2"/>
      <c r="Z98" s="2"/>
      <c r="AA98" s="2"/>
      <c r="AB98" s="2"/>
      <c r="AC98" s="2"/>
      <c r="AD98" s="2"/>
      <c r="AE98" s="2"/>
      <c r="AF98" s="2"/>
      <c r="AG98" s="2"/>
      <c r="AH98" s="2"/>
      <c r="AN98" s="2"/>
      <c r="AO98" s="2"/>
      <c r="AP98" s="2"/>
      <c r="AQ98" s="2"/>
      <c r="AR98" s="2"/>
      <c r="AS98" s="2"/>
      <c r="AT98" s="2"/>
    </row>
    <row r="99" spans="1:46" s="8" customFormat="1" ht="12">
      <c r="A99" s="8" t="s">
        <v>19347</v>
      </c>
      <c r="B99" s="16" t="s">
        <v>29</v>
      </c>
      <c r="C99" s="8" t="s">
        <v>20</v>
      </c>
      <c r="D99" s="8" t="s">
        <v>30</v>
      </c>
      <c r="F99" s="17">
        <v>42323</v>
      </c>
      <c r="G99" s="8" t="s">
        <v>19769</v>
      </c>
      <c r="H99" s="8" t="s">
        <v>1110</v>
      </c>
      <c r="I99" s="8" t="s">
        <v>408</v>
      </c>
      <c r="J99" s="16"/>
      <c r="K99" s="2"/>
      <c r="L99" s="8" t="s">
        <v>19770</v>
      </c>
      <c r="M99" s="8" t="s">
        <v>27</v>
      </c>
      <c r="P99" s="8" t="s">
        <v>405</v>
      </c>
      <c r="Q99" s="12" t="s">
        <v>19771</v>
      </c>
      <c r="S99" s="8" t="s">
        <v>28</v>
      </c>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spans="1:46" s="8" customFormat="1" ht="12">
      <c r="A100" s="8" t="s">
        <v>19777</v>
      </c>
      <c r="B100" s="16">
        <v>31</v>
      </c>
      <c r="C100" s="8" t="s">
        <v>20</v>
      </c>
      <c r="D100" s="8" t="s">
        <v>48</v>
      </c>
      <c r="F100" s="17">
        <v>42322</v>
      </c>
      <c r="G100" s="8" t="s">
        <v>19778</v>
      </c>
      <c r="H100" s="8" t="s">
        <v>791</v>
      </c>
      <c r="I100" s="8" t="s">
        <v>45</v>
      </c>
      <c r="J100" s="16"/>
      <c r="K100" s="2"/>
      <c r="L100" s="8" t="s">
        <v>792</v>
      </c>
      <c r="M100" s="8" t="s">
        <v>27</v>
      </c>
      <c r="P100" s="8" t="s">
        <v>405</v>
      </c>
      <c r="Q100" s="12" t="s">
        <v>19779</v>
      </c>
      <c r="S100" s="8" t="s">
        <v>28</v>
      </c>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spans="1:46" s="8" customFormat="1" ht="13" customHeight="1">
      <c r="A101" s="8" t="s">
        <v>19780</v>
      </c>
      <c r="B101" s="16">
        <v>25</v>
      </c>
      <c r="C101" s="8" t="s">
        <v>20</v>
      </c>
      <c r="D101" s="8" t="s">
        <v>48</v>
      </c>
      <c r="E101" s="8" t="s">
        <v>19899</v>
      </c>
      <c r="F101" s="17">
        <v>42321</v>
      </c>
      <c r="G101" s="8" t="s">
        <v>19781</v>
      </c>
      <c r="H101" s="8" t="s">
        <v>16122</v>
      </c>
      <c r="I101" s="8" t="s">
        <v>45</v>
      </c>
      <c r="J101" s="16"/>
      <c r="K101" s="2"/>
      <c r="L101" s="8" t="s">
        <v>792</v>
      </c>
      <c r="M101" s="8" t="s">
        <v>27</v>
      </c>
      <c r="P101" s="8" t="s">
        <v>405</v>
      </c>
      <c r="Q101" s="12" t="s">
        <v>19782</v>
      </c>
      <c r="S101" s="8" t="s">
        <v>35</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spans="1:46" s="8" customFormat="1" ht="12">
      <c r="A102" s="8" t="s">
        <v>19787</v>
      </c>
      <c r="B102" s="16">
        <v>20</v>
      </c>
      <c r="C102" s="8" t="s">
        <v>20</v>
      </c>
      <c r="D102" s="8" t="s">
        <v>37</v>
      </c>
      <c r="E102" s="8" t="s">
        <v>19928</v>
      </c>
      <c r="F102" s="17">
        <v>42321</v>
      </c>
      <c r="G102" s="8" t="s">
        <v>19788</v>
      </c>
      <c r="H102" s="8" t="s">
        <v>16859</v>
      </c>
      <c r="I102" s="8" t="s">
        <v>175</v>
      </c>
      <c r="J102" s="16"/>
      <c r="K102" s="2"/>
      <c r="L102" s="8" t="s">
        <v>19022</v>
      </c>
      <c r="M102" s="8" t="s">
        <v>27</v>
      </c>
      <c r="P102" s="8" t="s">
        <v>405</v>
      </c>
      <c r="Q102" s="12" t="s">
        <v>19789</v>
      </c>
      <c r="S102" s="8" t="s">
        <v>28</v>
      </c>
      <c r="V102" s="2"/>
      <c r="W102" s="2"/>
      <c r="X102" s="2"/>
      <c r="Y102" s="2"/>
      <c r="Z102" s="2"/>
      <c r="AA102" s="2"/>
      <c r="AB102" s="2"/>
      <c r="AC102" s="2"/>
      <c r="AD102" s="2"/>
      <c r="AE102" s="2"/>
      <c r="AF102" s="2"/>
      <c r="AG102" s="2"/>
      <c r="AH102" s="2"/>
      <c r="AI102" s="2"/>
      <c r="AJ102" s="2"/>
      <c r="AK102" s="2"/>
      <c r="AL102" s="2"/>
      <c r="AM102" s="2"/>
    </row>
    <row r="103" spans="1:46" s="8" customFormat="1" ht="12">
      <c r="A103" s="8" t="s">
        <v>19783</v>
      </c>
      <c r="B103" s="16">
        <v>52</v>
      </c>
      <c r="C103" s="8" t="s">
        <v>20</v>
      </c>
      <c r="D103" s="8" t="s">
        <v>37</v>
      </c>
      <c r="E103" s="8" t="s">
        <v>21070</v>
      </c>
      <c r="F103" s="17">
        <v>42321</v>
      </c>
      <c r="G103" s="8" t="s">
        <v>19784</v>
      </c>
      <c r="H103" s="8" t="s">
        <v>2120</v>
      </c>
      <c r="I103" s="8" t="s">
        <v>323</v>
      </c>
      <c r="J103" s="16"/>
      <c r="K103" s="2"/>
      <c r="L103" s="8" t="s">
        <v>19785</v>
      </c>
      <c r="M103" s="8" t="s">
        <v>27</v>
      </c>
      <c r="P103" s="8" t="s">
        <v>405</v>
      </c>
      <c r="Q103" s="12" t="s">
        <v>19786</v>
      </c>
      <c r="S103" s="8" t="s">
        <v>28</v>
      </c>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s="8" customFormat="1" ht="12">
      <c r="A104" s="8" t="s">
        <v>19790</v>
      </c>
      <c r="B104" s="16">
        <v>42</v>
      </c>
      <c r="C104" s="8" t="s">
        <v>20</v>
      </c>
      <c r="D104" s="8" t="s">
        <v>48</v>
      </c>
      <c r="E104" s="8" t="s">
        <v>19908</v>
      </c>
      <c r="F104" s="17">
        <v>42320</v>
      </c>
      <c r="G104" s="8" t="s">
        <v>19791</v>
      </c>
      <c r="H104" s="8" t="s">
        <v>779</v>
      </c>
      <c r="I104" s="8" t="s">
        <v>45</v>
      </c>
      <c r="J104" s="16"/>
      <c r="K104" s="2"/>
      <c r="L104" s="8" t="s">
        <v>19792</v>
      </c>
      <c r="M104" s="8" t="s">
        <v>27</v>
      </c>
      <c r="P104" s="8" t="s">
        <v>405</v>
      </c>
      <c r="Q104" s="12" t="s">
        <v>19793</v>
      </c>
      <c r="S104" s="8" t="s">
        <v>28</v>
      </c>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s="8" customFormat="1" ht="13" customHeight="1">
      <c r="A105" s="8" t="s">
        <v>19637</v>
      </c>
      <c r="B105" s="16">
        <v>45</v>
      </c>
      <c r="C105" s="8" t="s">
        <v>20</v>
      </c>
      <c r="D105" s="8" t="s">
        <v>85</v>
      </c>
      <c r="E105" s="8" t="s">
        <v>19905</v>
      </c>
      <c r="F105" s="17">
        <v>42320</v>
      </c>
      <c r="G105" s="8" t="s">
        <v>19638</v>
      </c>
      <c r="H105" s="8" t="s">
        <v>4195</v>
      </c>
      <c r="I105" s="8" t="s">
        <v>94</v>
      </c>
      <c r="J105" s="16">
        <v>35204</v>
      </c>
      <c r="K105" s="2" t="s">
        <v>1795</v>
      </c>
      <c r="L105" s="8" t="s">
        <v>4221</v>
      </c>
      <c r="M105" s="8" t="s">
        <v>383</v>
      </c>
      <c r="N105" s="8" t="s">
        <v>19639</v>
      </c>
      <c r="O105" s="8" t="s">
        <v>404</v>
      </c>
      <c r="P105" s="8" t="s">
        <v>405</v>
      </c>
      <c r="Q105" s="12" t="s">
        <v>19640</v>
      </c>
      <c r="R105" s="8" t="s">
        <v>100</v>
      </c>
      <c r="S105" s="8" t="s">
        <v>18</v>
      </c>
      <c r="V105" s="2"/>
      <c r="W105" s="2"/>
      <c r="X105" s="2"/>
      <c r="Y105" s="2"/>
      <c r="Z105" s="2"/>
      <c r="AA105" s="2"/>
      <c r="AB105" s="2"/>
      <c r="AC105" s="2"/>
      <c r="AD105" s="2"/>
      <c r="AE105" s="2"/>
      <c r="AF105" s="2"/>
      <c r="AG105" s="2"/>
      <c r="AH105" s="2"/>
      <c r="AN105" s="2"/>
      <c r="AO105" s="2"/>
      <c r="AP105" s="2"/>
      <c r="AQ105" s="2"/>
      <c r="AR105" s="2"/>
      <c r="AS105" s="2"/>
      <c r="AT105" s="2"/>
    </row>
    <row r="106" spans="1:46" s="8" customFormat="1" ht="12">
      <c r="A106" s="8" t="s">
        <v>19800</v>
      </c>
      <c r="B106" s="16">
        <v>57</v>
      </c>
      <c r="C106" s="8" t="s">
        <v>20</v>
      </c>
      <c r="D106" s="8" t="s">
        <v>37</v>
      </c>
      <c r="E106" s="8" t="s">
        <v>19926</v>
      </c>
      <c r="F106" s="17">
        <v>42319</v>
      </c>
      <c r="G106" s="8" t="s">
        <v>19801</v>
      </c>
      <c r="H106" s="8" t="s">
        <v>1801</v>
      </c>
      <c r="I106" s="8" t="s">
        <v>32</v>
      </c>
      <c r="J106" s="16"/>
      <c r="K106" s="2"/>
      <c r="L106" s="8" t="s">
        <v>1802</v>
      </c>
      <c r="M106" s="8" t="s">
        <v>27</v>
      </c>
      <c r="P106" s="8" t="s">
        <v>405</v>
      </c>
      <c r="Q106" s="12" t="s">
        <v>19802</v>
      </c>
      <c r="S106" s="8" t="s">
        <v>28</v>
      </c>
      <c r="V106" s="2"/>
      <c r="W106" s="2"/>
      <c r="X106" s="2"/>
      <c r="Y106" s="2"/>
      <c r="Z106" s="2"/>
      <c r="AA106" s="2"/>
      <c r="AB106" s="2"/>
      <c r="AC106" s="2"/>
      <c r="AD106" s="2"/>
      <c r="AE106" s="2"/>
      <c r="AF106" s="2"/>
      <c r="AG106" s="2"/>
      <c r="AH106" s="2"/>
      <c r="AI106" s="2"/>
      <c r="AJ106" s="2"/>
      <c r="AK106" s="2"/>
      <c r="AL106" s="2"/>
      <c r="AM106" s="2"/>
    </row>
    <row r="107" spans="1:46" s="8" customFormat="1" ht="12">
      <c r="A107" s="8" t="s">
        <v>19794</v>
      </c>
      <c r="B107" s="16">
        <v>25</v>
      </c>
      <c r="C107" s="8" t="s">
        <v>20</v>
      </c>
      <c r="D107" s="8" t="s">
        <v>48</v>
      </c>
      <c r="E107" s="8" t="s">
        <v>19927</v>
      </c>
      <c r="F107" s="17">
        <v>42319</v>
      </c>
      <c r="G107" s="8" t="s">
        <v>19795</v>
      </c>
      <c r="H107" s="8" t="s">
        <v>953</v>
      </c>
      <c r="I107" s="8" t="s">
        <v>45</v>
      </c>
      <c r="J107" s="16"/>
      <c r="K107" s="2"/>
      <c r="L107" s="8" t="s">
        <v>954</v>
      </c>
      <c r="M107" s="8" t="s">
        <v>27</v>
      </c>
      <c r="P107" s="8" t="s">
        <v>405</v>
      </c>
      <c r="Q107" s="12" t="s">
        <v>19796</v>
      </c>
      <c r="S107" s="8" t="s">
        <v>28</v>
      </c>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spans="1:46" s="8" customFormat="1" ht="13" customHeight="1">
      <c r="A108" s="8" t="s">
        <v>19797</v>
      </c>
      <c r="B108" s="16">
        <v>31</v>
      </c>
      <c r="C108" s="8" t="s">
        <v>20</v>
      </c>
      <c r="D108" s="8" t="s">
        <v>48</v>
      </c>
      <c r="E108" s="8" t="s">
        <v>19898</v>
      </c>
      <c r="F108" s="17">
        <v>42319</v>
      </c>
      <c r="G108" s="8" t="s">
        <v>19798</v>
      </c>
      <c r="H108" s="8" t="s">
        <v>930</v>
      </c>
      <c r="I108" s="8" t="s">
        <v>198</v>
      </c>
      <c r="J108" s="16"/>
      <c r="K108" s="2"/>
      <c r="L108" s="8" t="s">
        <v>8243</v>
      </c>
      <c r="M108" s="8" t="s">
        <v>27</v>
      </c>
      <c r="P108" s="8" t="s">
        <v>405</v>
      </c>
      <c r="Q108" s="12" t="s">
        <v>19799</v>
      </c>
      <c r="S108" s="8" t="s">
        <v>35</v>
      </c>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spans="1:46" s="8" customFormat="1" ht="12">
      <c r="A109" s="8" t="s">
        <v>19651</v>
      </c>
      <c r="B109" s="16">
        <v>50</v>
      </c>
      <c r="C109" s="8" t="s">
        <v>20</v>
      </c>
      <c r="D109" s="8" t="s">
        <v>85</v>
      </c>
      <c r="E109" s="8" t="s">
        <v>19652</v>
      </c>
      <c r="F109" s="17">
        <v>42319</v>
      </c>
      <c r="G109" s="8" t="s">
        <v>19653</v>
      </c>
      <c r="H109" s="8" t="s">
        <v>1311</v>
      </c>
      <c r="I109" s="8" t="s">
        <v>212</v>
      </c>
      <c r="J109" s="16">
        <v>80239</v>
      </c>
      <c r="K109" s="2" t="s">
        <v>1311</v>
      </c>
      <c r="L109" s="8" t="s">
        <v>19654</v>
      </c>
      <c r="M109" s="8" t="s">
        <v>19655</v>
      </c>
      <c r="N109" s="8" t="s">
        <v>19656</v>
      </c>
      <c r="O109" s="8" t="s">
        <v>404</v>
      </c>
      <c r="P109" s="8" t="s">
        <v>405</v>
      </c>
      <c r="Q109" s="12" t="s">
        <v>19657</v>
      </c>
      <c r="R109" s="8" t="s">
        <v>559</v>
      </c>
      <c r="S109" s="8" t="s">
        <v>18</v>
      </c>
      <c r="V109" s="2"/>
      <c r="W109" s="2"/>
      <c r="X109" s="2"/>
      <c r="Y109" s="2"/>
      <c r="Z109" s="2"/>
      <c r="AA109" s="2"/>
      <c r="AB109" s="2"/>
      <c r="AC109" s="2"/>
      <c r="AD109" s="2"/>
      <c r="AE109" s="2"/>
      <c r="AF109" s="2"/>
      <c r="AG109" s="2"/>
      <c r="AH109" s="2"/>
      <c r="AN109" s="2"/>
      <c r="AO109" s="2"/>
      <c r="AP109" s="2"/>
      <c r="AQ109" s="2"/>
      <c r="AR109" s="2"/>
      <c r="AS109" s="2"/>
      <c r="AT109" s="2"/>
    </row>
    <row r="110" spans="1:46" s="8" customFormat="1" ht="12" customHeight="1">
      <c r="A110" s="8" t="s">
        <v>19574</v>
      </c>
      <c r="B110" s="16">
        <v>32</v>
      </c>
      <c r="C110" s="8" t="s">
        <v>20</v>
      </c>
      <c r="D110" s="8" t="s">
        <v>85</v>
      </c>
      <c r="E110" s="8" t="s">
        <v>19575</v>
      </c>
      <c r="F110" s="17">
        <v>42319</v>
      </c>
      <c r="G110" s="8" t="s">
        <v>19576</v>
      </c>
      <c r="H110" s="8" t="s">
        <v>1608</v>
      </c>
      <c r="I110" s="8" t="s">
        <v>52</v>
      </c>
      <c r="J110" s="16" t="s">
        <v>9235</v>
      </c>
      <c r="K110" s="2" t="s">
        <v>4755</v>
      </c>
      <c r="L110" s="8" t="s">
        <v>2799</v>
      </c>
      <c r="M110" s="8" t="s">
        <v>27</v>
      </c>
      <c r="N110" s="8" t="s">
        <v>19577</v>
      </c>
      <c r="O110" s="8" t="s">
        <v>4742</v>
      </c>
      <c r="P110" s="8" t="s">
        <v>405</v>
      </c>
      <c r="Q110" s="12" t="s">
        <v>19578</v>
      </c>
      <c r="R110" s="8" t="s">
        <v>29</v>
      </c>
      <c r="S110" s="8" t="s">
        <v>28</v>
      </c>
      <c r="V110" s="2"/>
      <c r="W110" s="2"/>
      <c r="X110" s="2"/>
      <c r="Y110" s="2"/>
      <c r="Z110" s="2"/>
      <c r="AA110" s="2"/>
      <c r="AB110" s="2"/>
      <c r="AC110" s="2"/>
      <c r="AD110" s="2"/>
      <c r="AE110" s="2"/>
      <c r="AF110" s="2"/>
      <c r="AG110" s="2"/>
      <c r="AH110" s="2"/>
      <c r="AN110" s="2"/>
      <c r="AO110" s="2"/>
      <c r="AP110" s="2"/>
      <c r="AQ110" s="2"/>
      <c r="AR110" s="2"/>
      <c r="AS110" s="2"/>
      <c r="AT110" s="2"/>
    </row>
    <row r="111" spans="1:46" s="8" customFormat="1" ht="12">
      <c r="A111" s="8" t="s">
        <v>19809</v>
      </c>
      <c r="B111" s="16">
        <v>22</v>
      </c>
      <c r="C111" s="8" t="s">
        <v>20</v>
      </c>
      <c r="D111" s="8" t="s">
        <v>37</v>
      </c>
      <c r="E111" s="8" t="s">
        <v>19923</v>
      </c>
      <c r="F111" s="17">
        <v>42318</v>
      </c>
      <c r="G111" s="8" t="s">
        <v>19810</v>
      </c>
      <c r="H111" s="8" t="s">
        <v>19811</v>
      </c>
      <c r="I111" s="8" t="s">
        <v>862</v>
      </c>
      <c r="J111" s="16"/>
      <c r="K111" s="2"/>
      <c r="L111" s="8" t="s">
        <v>19812</v>
      </c>
      <c r="M111" s="8" t="s">
        <v>27</v>
      </c>
      <c r="P111" s="8" t="s">
        <v>405</v>
      </c>
      <c r="Q111" s="12" t="s">
        <v>19813</v>
      </c>
      <c r="S111" s="8" t="s">
        <v>28</v>
      </c>
      <c r="V111" s="2"/>
      <c r="W111" s="2"/>
      <c r="X111" s="2"/>
      <c r="Y111" s="2"/>
      <c r="Z111" s="2"/>
      <c r="AA111" s="2"/>
      <c r="AB111" s="2"/>
      <c r="AC111" s="2"/>
      <c r="AD111" s="2"/>
      <c r="AE111" s="2"/>
      <c r="AF111" s="2"/>
      <c r="AG111" s="2"/>
      <c r="AH111" s="2"/>
      <c r="AI111" s="2"/>
      <c r="AJ111" s="2"/>
      <c r="AK111" s="2"/>
      <c r="AL111" s="2"/>
      <c r="AM111" s="2"/>
    </row>
    <row r="112" spans="1:46" s="8" customFormat="1" ht="12">
      <c r="A112" s="8" t="s">
        <v>19803</v>
      </c>
      <c r="B112" s="16">
        <v>34</v>
      </c>
      <c r="C112" s="8" t="s">
        <v>20</v>
      </c>
      <c r="D112" s="8" t="s">
        <v>48</v>
      </c>
      <c r="E112" s="8" t="s">
        <v>19925</v>
      </c>
      <c r="F112" s="17">
        <v>42318</v>
      </c>
      <c r="G112" s="8" t="s">
        <v>19804</v>
      </c>
      <c r="H112" s="8" t="s">
        <v>14302</v>
      </c>
      <c r="I112" s="8" t="s">
        <v>45</v>
      </c>
      <c r="J112" s="16"/>
      <c r="K112" s="2"/>
      <c r="L112" s="8" t="s">
        <v>14303</v>
      </c>
      <c r="M112" s="8" t="s">
        <v>27</v>
      </c>
      <c r="P112" s="8" t="s">
        <v>405</v>
      </c>
      <c r="Q112" s="12" t="s">
        <v>19805</v>
      </c>
      <c r="S112" s="8" t="s">
        <v>28</v>
      </c>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spans="1:46" s="8" customFormat="1" ht="12">
      <c r="A113" s="8" t="s">
        <v>19806</v>
      </c>
      <c r="B113" s="16">
        <v>36</v>
      </c>
      <c r="C113" s="8" t="s">
        <v>20</v>
      </c>
      <c r="D113" s="8" t="s">
        <v>37</v>
      </c>
      <c r="E113" s="8" t="s">
        <v>19924</v>
      </c>
      <c r="F113" s="17">
        <v>42318</v>
      </c>
      <c r="G113" s="8" t="s">
        <v>19807</v>
      </c>
      <c r="H113" s="8" t="s">
        <v>16832</v>
      </c>
      <c r="I113" s="8" t="s">
        <v>212</v>
      </c>
      <c r="J113" s="16"/>
      <c r="K113" s="2"/>
      <c r="L113" s="8" t="s">
        <v>29</v>
      </c>
      <c r="M113" s="8" t="s">
        <v>27</v>
      </c>
      <c r="P113" s="8" t="s">
        <v>405</v>
      </c>
      <c r="Q113" s="12" t="s">
        <v>19808</v>
      </c>
      <c r="S113" s="8" t="s">
        <v>28</v>
      </c>
      <c r="V113" s="2"/>
      <c r="W113" s="2"/>
      <c r="X113" s="2"/>
      <c r="Y113" s="2"/>
      <c r="Z113" s="2"/>
      <c r="AA113" s="2"/>
      <c r="AB113" s="2"/>
      <c r="AC113" s="2"/>
      <c r="AD113" s="2"/>
      <c r="AE113" s="2"/>
      <c r="AF113" s="2"/>
      <c r="AG113" s="2"/>
      <c r="AH113" s="2"/>
      <c r="AI113" s="2"/>
      <c r="AJ113" s="2"/>
      <c r="AK113" s="2"/>
      <c r="AL113" s="2"/>
      <c r="AM113" s="2"/>
    </row>
    <row r="114" spans="1:46" s="8" customFormat="1" ht="12">
      <c r="A114" s="8" t="s">
        <v>20922</v>
      </c>
      <c r="B114" s="16">
        <v>22</v>
      </c>
      <c r="C114" s="8" t="s">
        <v>20</v>
      </c>
      <c r="D114" s="8" t="s">
        <v>85</v>
      </c>
      <c r="F114" s="17">
        <v>42317</v>
      </c>
      <c r="G114" s="8" t="s">
        <v>19823</v>
      </c>
      <c r="H114" s="8" t="s">
        <v>19824</v>
      </c>
      <c r="I114" s="8" t="s">
        <v>62</v>
      </c>
      <c r="J114" s="16">
        <v>32746</v>
      </c>
      <c r="K114" s="2" t="s">
        <v>9247</v>
      </c>
      <c r="L114" s="8" t="s">
        <v>17587</v>
      </c>
      <c r="M114" s="8" t="s">
        <v>383</v>
      </c>
      <c r="N114" s="8" t="s">
        <v>20924</v>
      </c>
      <c r="O114" s="8" t="s">
        <v>404</v>
      </c>
      <c r="P114" s="8" t="s">
        <v>405</v>
      </c>
      <c r="Q114" s="12" t="s">
        <v>19825</v>
      </c>
      <c r="R114" s="8" t="s">
        <v>100</v>
      </c>
      <c r="S114" s="8" t="s">
        <v>383</v>
      </c>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spans="1:46" s="8" customFormat="1" ht="12" customHeight="1">
      <c r="A115" s="8" t="s">
        <v>20923</v>
      </c>
      <c r="B115" s="16">
        <v>22</v>
      </c>
      <c r="C115" s="8" t="s">
        <v>20</v>
      </c>
      <c r="D115" s="8" t="s">
        <v>85</v>
      </c>
      <c r="F115" s="17">
        <v>42317</v>
      </c>
      <c r="G115" s="8" t="s">
        <v>19823</v>
      </c>
      <c r="H115" s="8" t="s">
        <v>19824</v>
      </c>
      <c r="I115" s="8" t="s">
        <v>62</v>
      </c>
      <c r="J115" s="16">
        <v>32746</v>
      </c>
      <c r="K115" s="2" t="s">
        <v>9247</v>
      </c>
      <c r="L115" s="8" t="s">
        <v>17587</v>
      </c>
      <c r="M115" s="8" t="s">
        <v>383</v>
      </c>
      <c r="N115" s="8" t="s">
        <v>20925</v>
      </c>
      <c r="O115" s="8" t="s">
        <v>404</v>
      </c>
      <c r="P115" s="8" t="s">
        <v>405</v>
      </c>
      <c r="Q115" s="12" t="s">
        <v>19825</v>
      </c>
      <c r="R115" s="8" t="s">
        <v>100</v>
      </c>
      <c r="S115" s="8" t="s">
        <v>383</v>
      </c>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spans="1:46" s="8" customFormat="1" ht="12">
      <c r="A116" s="8" t="s">
        <v>19817</v>
      </c>
      <c r="B116" s="16">
        <v>25</v>
      </c>
      <c r="C116" s="8" t="s">
        <v>20</v>
      </c>
      <c r="D116" s="8" t="s">
        <v>48</v>
      </c>
      <c r="E116" s="8" t="s">
        <v>19921</v>
      </c>
      <c r="F116" s="17">
        <v>42317</v>
      </c>
      <c r="G116" s="8" t="s">
        <v>19818</v>
      </c>
      <c r="H116" s="8" t="s">
        <v>4332</v>
      </c>
      <c r="I116" s="8" t="s">
        <v>73</v>
      </c>
      <c r="J116" s="16"/>
      <c r="K116" s="2"/>
      <c r="L116" s="8" t="s">
        <v>4335</v>
      </c>
      <c r="M116" s="8" t="s">
        <v>27</v>
      </c>
      <c r="P116" s="8" t="s">
        <v>405</v>
      </c>
      <c r="Q116" s="12" t="s">
        <v>19819</v>
      </c>
      <c r="S116" s="8" t="s">
        <v>28</v>
      </c>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spans="1:46" s="8" customFormat="1" ht="12">
      <c r="A117" s="8" t="s">
        <v>19826</v>
      </c>
      <c r="B117" s="16">
        <v>26</v>
      </c>
      <c r="C117" s="8" t="s">
        <v>20</v>
      </c>
      <c r="D117" s="8" t="s">
        <v>37</v>
      </c>
      <c r="E117" s="8" t="s">
        <v>19920</v>
      </c>
      <c r="F117" s="17">
        <v>42317</v>
      </c>
      <c r="G117" s="8" t="s">
        <v>19827</v>
      </c>
      <c r="H117" s="8" t="s">
        <v>1069</v>
      </c>
      <c r="I117" s="8" t="s">
        <v>152</v>
      </c>
      <c r="J117" s="16"/>
      <c r="K117" s="2"/>
      <c r="L117" s="8" t="s">
        <v>19828</v>
      </c>
      <c r="M117" s="8" t="s">
        <v>27</v>
      </c>
      <c r="P117" s="8" t="s">
        <v>405</v>
      </c>
      <c r="Q117" s="12" t="s">
        <v>19829</v>
      </c>
      <c r="S117" s="8" t="s">
        <v>28</v>
      </c>
      <c r="V117" s="2"/>
      <c r="W117" s="2"/>
      <c r="X117" s="2"/>
      <c r="Y117" s="2"/>
      <c r="Z117" s="2"/>
      <c r="AA117" s="2"/>
      <c r="AB117" s="2"/>
      <c r="AC117" s="2"/>
      <c r="AD117" s="2"/>
      <c r="AE117" s="2"/>
      <c r="AF117" s="2"/>
      <c r="AG117" s="2"/>
      <c r="AH117" s="2"/>
      <c r="AI117" s="2"/>
      <c r="AJ117" s="2"/>
      <c r="AK117" s="2"/>
      <c r="AL117" s="2"/>
      <c r="AM117" s="2"/>
    </row>
    <row r="118" spans="1:46" s="8" customFormat="1" ht="13" customHeight="1">
      <c r="A118" s="8" t="s">
        <v>19567</v>
      </c>
      <c r="B118" s="16">
        <v>20</v>
      </c>
      <c r="C118" s="8" t="s">
        <v>20</v>
      </c>
      <c r="D118" s="8" t="s">
        <v>85</v>
      </c>
      <c r="E118" s="8" t="s">
        <v>19568</v>
      </c>
      <c r="F118" s="17">
        <v>42317</v>
      </c>
      <c r="G118" s="8" t="s">
        <v>19569</v>
      </c>
      <c r="H118" s="8" t="s">
        <v>2893</v>
      </c>
      <c r="I118" s="8" t="s">
        <v>32</v>
      </c>
      <c r="J118" s="16" t="s">
        <v>19570</v>
      </c>
      <c r="K118" s="2" t="s">
        <v>2893</v>
      </c>
      <c r="L118" s="8" t="s">
        <v>19571</v>
      </c>
      <c r="M118" s="8" t="s">
        <v>27</v>
      </c>
      <c r="N118" s="8" t="s">
        <v>19572</v>
      </c>
      <c r="O118" s="8" t="s">
        <v>4742</v>
      </c>
      <c r="P118" s="8" t="s">
        <v>405</v>
      </c>
      <c r="Q118" s="12" t="s">
        <v>19573</v>
      </c>
      <c r="R118" s="8" t="s">
        <v>29</v>
      </c>
      <c r="S118" s="8" t="s">
        <v>383</v>
      </c>
      <c r="V118" s="2"/>
      <c r="W118" s="2"/>
      <c r="X118" s="2"/>
      <c r="Y118" s="2"/>
      <c r="Z118" s="2"/>
      <c r="AA118" s="2"/>
      <c r="AB118" s="2"/>
      <c r="AC118" s="2"/>
      <c r="AD118" s="2"/>
      <c r="AE118" s="2"/>
      <c r="AF118" s="2"/>
      <c r="AG118" s="2"/>
      <c r="AH118" s="2"/>
      <c r="AN118" s="2"/>
      <c r="AO118" s="2"/>
      <c r="AP118" s="2"/>
      <c r="AQ118" s="2"/>
      <c r="AR118" s="2"/>
      <c r="AS118" s="2"/>
      <c r="AT118" s="2"/>
    </row>
    <row r="119" spans="1:46" s="8" customFormat="1" ht="12">
      <c r="A119" s="8" t="s">
        <v>19814</v>
      </c>
      <c r="B119" s="16">
        <v>45</v>
      </c>
      <c r="C119" s="8" t="s">
        <v>20</v>
      </c>
      <c r="D119" s="8" t="s">
        <v>48</v>
      </c>
      <c r="E119" s="8" t="s">
        <v>19922</v>
      </c>
      <c r="F119" s="17">
        <v>42317</v>
      </c>
      <c r="G119" s="8" t="s">
        <v>19815</v>
      </c>
      <c r="H119" s="8" t="s">
        <v>612</v>
      </c>
      <c r="I119" s="8" t="s">
        <v>45</v>
      </c>
      <c r="J119" s="16"/>
      <c r="K119" s="2"/>
      <c r="L119" s="8" t="s">
        <v>735</v>
      </c>
      <c r="M119" s="8" t="s">
        <v>27</v>
      </c>
      <c r="P119" s="8" t="s">
        <v>405</v>
      </c>
      <c r="Q119" s="12" t="s">
        <v>19816</v>
      </c>
      <c r="S119" s="8" t="s">
        <v>28</v>
      </c>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spans="1:46" s="8" customFormat="1" ht="13" customHeight="1">
      <c r="A120" s="8" t="s">
        <v>19820</v>
      </c>
      <c r="B120" s="16">
        <v>34</v>
      </c>
      <c r="C120" s="8" t="s">
        <v>20</v>
      </c>
      <c r="D120" s="8" t="s">
        <v>48</v>
      </c>
      <c r="E120" s="8" t="s">
        <v>19897</v>
      </c>
      <c r="F120" s="17">
        <v>42317</v>
      </c>
      <c r="G120" s="8" t="s">
        <v>19821</v>
      </c>
      <c r="H120" s="8" t="s">
        <v>98</v>
      </c>
      <c r="I120" s="8" t="s">
        <v>45</v>
      </c>
      <c r="J120" s="16"/>
      <c r="K120" s="2"/>
      <c r="L120" s="8" t="s">
        <v>99</v>
      </c>
      <c r="M120" s="8" t="s">
        <v>27</v>
      </c>
      <c r="P120" s="8" t="s">
        <v>405</v>
      </c>
      <c r="Q120" s="12" t="s">
        <v>19822</v>
      </c>
      <c r="S120" s="8" t="s">
        <v>35</v>
      </c>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spans="1:46" s="8" customFormat="1" ht="12">
      <c r="A121" s="8" t="s">
        <v>19841</v>
      </c>
      <c r="B121" s="16">
        <v>55</v>
      </c>
      <c r="C121" s="8" t="s">
        <v>20</v>
      </c>
      <c r="D121" s="8" t="s">
        <v>37</v>
      </c>
      <c r="E121" s="8" t="s">
        <v>19892</v>
      </c>
      <c r="F121" s="17">
        <v>42314</v>
      </c>
      <c r="G121" s="8" t="s">
        <v>19842</v>
      </c>
      <c r="H121" s="8" t="s">
        <v>661</v>
      </c>
      <c r="I121" s="8" t="s">
        <v>272</v>
      </c>
      <c r="J121" s="16"/>
      <c r="K121" s="2"/>
      <c r="L121" s="8" t="s">
        <v>19843</v>
      </c>
      <c r="M121" s="8" t="s">
        <v>27</v>
      </c>
      <c r="P121" s="8" t="s">
        <v>405</v>
      </c>
      <c r="Q121" s="12" t="s">
        <v>19844</v>
      </c>
      <c r="S121" s="8" t="s">
        <v>383</v>
      </c>
      <c r="V121" s="2"/>
      <c r="W121" s="2"/>
      <c r="X121" s="2"/>
      <c r="AI121" s="2"/>
      <c r="AJ121" s="2"/>
      <c r="AK121" s="2"/>
      <c r="AL121" s="2"/>
      <c r="AM121" s="2"/>
    </row>
    <row r="122" spans="1:46" s="8" customFormat="1" ht="13" customHeight="1">
      <c r="A122" s="8" t="s">
        <v>19836</v>
      </c>
      <c r="B122" s="16">
        <v>48</v>
      </c>
      <c r="C122" s="8" t="s">
        <v>20</v>
      </c>
      <c r="D122" s="8" t="s">
        <v>37</v>
      </c>
      <c r="E122" s="8" t="s">
        <v>19896</v>
      </c>
      <c r="F122" s="17">
        <v>42314</v>
      </c>
      <c r="G122" s="8" t="s">
        <v>19837</v>
      </c>
      <c r="H122" s="8" t="s">
        <v>19838</v>
      </c>
      <c r="I122" s="8" t="s">
        <v>370</v>
      </c>
      <c r="J122" s="16"/>
      <c r="K122" s="2"/>
      <c r="L122" s="8" t="s">
        <v>19839</v>
      </c>
      <c r="M122" s="8" t="s">
        <v>27</v>
      </c>
      <c r="P122" s="8" t="s">
        <v>405</v>
      </c>
      <c r="Q122" s="12" t="s">
        <v>19840</v>
      </c>
      <c r="S122" s="8" t="s">
        <v>35</v>
      </c>
      <c r="V122" s="2"/>
      <c r="W122" s="2"/>
      <c r="X122" s="2"/>
      <c r="Y122" s="2"/>
      <c r="Z122" s="2"/>
      <c r="AA122" s="2"/>
      <c r="AB122" s="2"/>
      <c r="AC122" s="2"/>
      <c r="AD122" s="2"/>
      <c r="AE122" s="2"/>
      <c r="AF122" s="2"/>
      <c r="AG122" s="2"/>
      <c r="AH122" s="2"/>
      <c r="AI122" s="2"/>
      <c r="AJ122" s="2"/>
      <c r="AK122" s="2"/>
      <c r="AL122" s="2"/>
      <c r="AM122" s="2"/>
    </row>
    <row r="123" spans="1:46" s="8" customFormat="1" ht="12">
      <c r="A123" s="8" t="s">
        <v>19833</v>
      </c>
      <c r="B123" s="16">
        <v>51</v>
      </c>
      <c r="C123" s="8" t="s">
        <v>20</v>
      </c>
      <c r="D123" s="8" t="s">
        <v>37</v>
      </c>
      <c r="E123" s="8" t="s">
        <v>19919</v>
      </c>
      <c r="F123" s="17">
        <v>42314</v>
      </c>
      <c r="G123" s="8" t="s">
        <v>19834</v>
      </c>
      <c r="H123" s="8" t="s">
        <v>1577</v>
      </c>
      <c r="I123" s="8" t="s">
        <v>118</v>
      </c>
      <c r="J123" s="16"/>
      <c r="K123" s="2"/>
      <c r="L123" s="8" t="s">
        <v>18230</v>
      </c>
      <c r="M123" s="8" t="s">
        <v>27</v>
      </c>
      <c r="P123" s="8" t="s">
        <v>405</v>
      </c>
      <c r="Q123" s="12" t="s">
        <v>19835</v>
      </c>
      <c r="S123" s="8" t="s">
        <v>28</v>
      </c>
      <c r="V123" s="2"/>
      <c r="W123" s="2"/>
      <c r="X123" s="2"/>
      <c r="Y123" s="2"/>
      <c r="Z123" s="2"/>
      <c r="AA123" s="2"/>
      <c r="AB123" s="2"/>
      <c r="AC123" s="2"/>
      <c r="AD123" s="2"/>
      <c r="AE123" s="2"/>
      <c r="AF123" s="2"/>
      <c r="AG123" s="2"/>
      <c r="AH123" s="2"/>
      <c r="AI123" s="2"/>
      <c r="AJ123" s="2"/>
      <c r="AK123" s="2"/>
      <c r="AL123" s="2"/>
      <c r="AM123" s="2"/>
    </row>
    <row r="124" spans="1:46" s="8" customFormat="1" ht="13" customHeight="1">
      <c r="A124" s="8" t="s">
        <v>19830</v>
      </c>
      <c r="B124" s="16">
        <v>68</v>
      </c>
      <c r="C124" s="8" t="s">
        <v>20</v>
      </c>
      <c r="D124" s="8" t="s">
        <v>37</v>
      </c>
      <c r="F124" s="17">
        <v>42314</v>
      </c>
      <c r="G124" s="8" t="s">
        <v>19831</v>
      </c>
      <c r="H124" s="8" t="s">
        <v>3938</v>
      </c>
      <c r="I124" s="8" t="s">
        <v>62</v>
      </c>
      <c r="J124" s="16"/>
      <c r="K124" s="2"/>
      <c r="L124" s="8" t="s">
        <v>17253</v>
      </c>
      <c r="M124" s="8" t="s">
        <v>27</v>
      </c>
      <c r="P124" s="8" t="s">
        <v>405</v>
      </c>
      <c r="Q124" s="12" t="s">
        <v>19832</v>
      </c>
      <c r="S124" s="8" t="s">
        <v>18</v>
      </c>
      <c r="V124" s="2"/>
      <c r="W124" s="2"/>
      <c r="X124" s="2"/>
      <c r="Y124" s="2"/>
      <c r="Z124" s="2"/>
      <c r="AA124" s="2"/>
      <c r="AB124" s="2"/>
      <c r="AC124" s="2"/>
      <c r="AD124" s="2"/>
      <c r="AE124" s="2"/>
      <c r="AF124" s="2"/>
      <c r="AG124" s="2"/>
      <c r="AH124" s="2"/>
      <c r="AI124" s="2"/>
      <c r="AJ124" s="2"/>
      <c r="AK124" s="2"/>
      <c r="AL124" s="2"/>
      <c r="AM124" s="2"/>
    </row>
    <row r="125" spans="1:46" s="8" customFormat="1" ht="12">
      <c r="A125" s="8" t="s">
        <v>19854</v>
      </c>
      <c r="B125" s="16">
        <v>46</v>
      </c>
      <c r="C125" s="8" t="s">
        <v>20</v>
      </c>
      <c r="D125" s="8" t="s">
        <v>37</v>
      </c>
      <c r="E125" s="8" t="s">
        <v>19917</v>
      </c>
      <c r="F125" s="17">
        <v>42313</v>
      </c>
      <c r="G125" s="8" t="s">
        <v>19855</v>
      </c>
      <c r="H125" s="8" t="s">
        <v>1951</v>
      </c>
      <c r="I125" s="8" t="s">
        <v>152</v>
      </c>
      <c r="J125" s="16"/>
      <c r="K125" s="2"/>
      <c r="L125" s="8" t="s">
        <v>19856</v>
      </c>
      <c r="M125" s="8" t="s">
        <v>27</v>
      </c>
      <c r="P125" s="8" t="s">
        <v>405</v>
      </c>
      <c r="Q125" s="12" t="s">
        <v>19857</v>
      </c>
      <c r="S125" s="8" t="s">
        <v>28</v>
      </c>
      <c r="Y125" s="2"/>
      <c r="Z125" s="2"/>
      <c r="AA125" s="2"/>
      <c r="AB125" s="2"/>
      <c r="AC125" s="2"/>
      <c r="AD125" s="2"/>
      <c r="AE125" s="2"/>
      <c r="AF125" s="2"/>
      <c r="AG125" s="2"/>
      <c r="AH125" s="2"/>
      <c r="AI125" s="2"/>
      <c r="AJ125" s="2"/>
      <c r="AK125" s="2"/>
      <c r="AL125" s="2"/>
      <c r="AM125" s="2"/>
    </row>
    <row r="126" spans="1:46" s="8" customFormat="1" ht="12">
      <c r="A126" s="8" t="s">
        <v>19858</v>
      </c>
      <c r="B126" s="16">
        <v>30</v>
      </c>
      <c r="C126" s="8" t="s">
        <v>20</v>
      </c>
      <c r="D126" s="8" t="s">
        <v>37</v>
      </c>
      <c r="F126" s="17">
        <v>42313</v>
      </c>
      <c r="G126" s="8" t="s">
        <v>19859</v>
      </c>
      <c r="H126" s="8" t="s">
        <v>19860</v>
      </c>
      <c r="I126" s="8" t="s">
        <v>435</v>
      </c>
      <c r="J126" s="16"/>
      <c r="K126" s="2"/>
      <c r="L126" s="8" t="s">
        <v>19861</v>
      </c>
      <c r="M126" s="8" t="s">
        <v>27</v>
      </c>
      <c r="P126" s="8" t="s">
        <v>405</v>
      </c>
      <c r="Q126" s="12" t="s">
        <v>19862</v>
      </c>
      <c r="S126" s="8" t="s">
        <v>28</v>
      </c>
      <c r="V126" s="2"/>
      <c r="W126" s="2"/>
      <c r="X126" s="2"/>
      <c r="Y126" s="2"/>
      <c r="Z126" s="2"/>
      <c r="AA126" s="2"/>
      <c r="AB126" s="2"/>
      <c r="AC126" s="2"/>
      <c r="AD126" s="2"/>
      <c r="AE126" s="2"/>
      <c r="AF126" s="2"/>
      <c r="AG126" s="2"/>
      <c r="AH126" s="2"/>
      <c r="AI126" s="2"/>
      <c r="AJ126" s="2"/>
      <c r="AK126" s="2"/>
      <c r="AL126" s="2"/>
      <c r="AM126" s="2"/>
    </row>
    <row r="127" spans="1:46" s="8" customFormat="1" ht="12">
      <c r="A127" s="8" t="s">
        <v>19845</v>
      </c>
      <c r="B127" s="16">
        <v>20</v>
      </c>
      <c r="C127" s="8" t="s">
        <v>20</v>
      </c>
      <c r="D127" s="8" t="s">
        <v>37</v>
      </c>
      <c r="E127" s="8" t="s">
        <v>19918</v>
      </c>
      <c r="F127" s="17">
        <v>42313</v>
      </c>
      <c r="G127" s="8" t="s">
        <v>19846</v>
      </c>
      <c r="H127" s="8" t="s">
        <v>19847</v>
      </c>
      <c r="I127" s="8" t="s">
        <v>399</v>
      </c>
      <c r="J127" s="16"/>
      <c r="K127" s="2"/>
      <c r="L127" s="8" t="s">
        <v>19848</v>
      </c>
      <c r="M127" s="8" t="s">
        <v>27</v>
      </c>
      <c r="P127" s="8" t="s">
        <v>405</v>
      </c>
      <c r="Q127" s="12" t="s">
        <v>19849</v>
      </c>
      <c r="S127" s="8" t="s">
        <v>28</v>
      </c>
      <c r="V127" s="2"/>
      <c r="W127" s="2"/>
      <c r="X127" s="2"/>
      <c r="Y127" s="2"/>
      <c r="Z127" s="2"/>
      <c r="AA127" s="2"/>
      <c r="AB127" s="2"/>
      <c r="AC127" s="2"/>
      <c r="AD127" s="2"/>
      <c r="AE127" s="2"/>
      <c r="AF127" s="2"/>
      <c r="AG127" s="2"/>
      <c r="AH127" s="2"/>
      <c r="AI127" s="2"/>
      <c r="AJ127" s="2"/>
      <c r="AK127" s="2"/>
      <c r="AL127" s="2"/>
      <c r="AM127" s="2"/>
    </row>
    <row r="128" spans="1:46" s="8" customFormat="1" ht="12" customHeight="1">
      <c r="A128" s="8" t="s">
        <v>19850</v>
      </c>
      <c r="B128" s="16">
        <v>36</v>
      </c>
      <c r="C128" s="8" t="s">
        <v>115</v>
      </c>
      <c r="D128" s="8" t="s">
        <v>37</v>
      </c>
      <c r="F128" s="17">
        <v>42313</v>
      </c>
      <c r="G128" s="8" t="s">
        <v>19851</v>
      </c>
      <c r="H128" s="8" t="s">
        <v>7157</v>
      </c>
      <c r="I128" s="8" t="s">
        <v>32</v>
      </c>
      <c r="J128" s="16"/>
      <c r="K128" s="2"/>
      <c r="L128" s="8" t="s">
        <v>19852</v>
      </c>
      <c r="M128" s="8" t="s">
        <v>27</v>
      </c>
      <c r="P128" s="8" t="s">
        <v>405</v>
      </c>
      <c r="Q128" s="12" t="s">
        <v>19853</v>
      </c>
      <c r="S128" s="8" t="s">
        <v>28</v>
      </c>
      <c r="V128" s="2"/>
      <c r="W128" s="2"/>
      <c r="X128" s="2"/>
      <c r="Y128" s="2"/>
      <c r="Z128" s="2"/>
      <c r="AA128" s="2"/>
      <c r="AB128" s="2"/>
      <c r="AC128" s="2"/>
      <c r="AD128" s="2"/>
      <c r="AE128" s="2"/>
      <c r="AF128" s="2"/>
      <c r="AG128" s="2"/>
      <c r="AH128" s="2"/>
      <c r="AI128" s="2"/>
      <c r="AJ128" s="2"/>
      <c r="AK128" s="2"/>
      <c r="AL128" s="2"/>
      <c r="AM128" s="2"/>
    </row>
    <row r="129" spans="1:46" s="8" customFormat="1" ht="12" customHeight="1">
      <c r="A129" s="8" t="s">
        <v>19863</v>
      </c>
      <c r="B129" s="16">
        <v>18</v>
      </c>
      <c r="C129" s="8" t="s">
        <v>20</v>
      </c>
      <c r="D129" s="8" t="s">
        <v>21</v>
      </c>
      <c r="E129" s="8" t="s">
        <v>19895</v>
      </c>
      <c r="F129" s="17">
        <v>42312</v>
      </c>
      <c r="G129" s="8" t="s">
        <v>19864</v>
      </c>
      <c r="H129" s="8" t="s">
        <v>1437</v>
      </c>
      <c r="I129" s="8" t="s">
        <v>45</v>
      </c>
      <c r="J129" s="16"/>
      <c r="K129" s="2"/>
      <c r="L129" s="8" t="s">
        <v>19865</v>
      </c>
      <c r="M129" s="8" t="s">
        <v>27</v>
      </c>
      <c r="P129" s="8" t="s">
        <v>405</v>
      </c>
      <c r="Q129" s="12" t="s">
        <v>19866</v>
      </c>
      <c r="S129" s="8" t="s">
        <v>35</v>
      </c>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spans="1:46" s="8" customFormat="1" ht="12" customHeight="1">
      <c r="A130" s="8" t="s">
        <v>19561</v>
      </c>
      <c r="B130" s="16">
        <v>57</v>
      </c>
      <c r="C130" s="8" t="s">
        <v>20</v>
      </c>
      <c r="D130" s="8" t="s">
        <v>85</v>
      </c>
      <c r="E130" s="8" t="s">
        <v>19562</v>
      </c>
      <c r="F130" s="17">
        <v>42312</v>
      </c>
      <c r="G130" s="8" t="s">
        <v>19563</v>
      </c>
      <c r="H130" s="8" t="s">
        <v>731</v>
      </c>
      <c r="I130" s="8" t="s">
        <v>73</v>
      </c>
      <c r="J130" s="16" t="s">
        <v>19564</v>
      </c>
      <c r="K130" s="2" t="s">
        <v>562</v>
      </c>
      <c r="L130" s="8" t="s">
        <v>732</v>
      </c>
      <c r="M130" s="8" t="s">
        <v>27</v>
      </c>
      <c r="N130" s="8" t="s">
        <v>19565</v>
      </c>
      <c r="O130" s="8" t="s">
        <v>4742</v>
      </c>
      <c r="P130" s="8" t="s">
        <v>405</v>
      </c>
      <c r="Q130" s="12" t="s">
        <v>19566</v>
      </c>
      <c r="R130" s="8" t="s">
        <v>100</v>
      </c>
      <c r="S130" s="8" t="s">
        <v>28</v>
      </c>
      <c r="V130" s="2"/>
      <c r="W130" s="2"/>
      <c r="X130" s="2"/>
      <c r="Y130" s="2"/>
      <c r="Z130" s="2"/>
      <c r="AA130" s="2"/>
      <c r="AB130" s="2"/>
      <c r="AC130" s="2"/>
      <c r="AD130" s="2"/>
      <c r="AE130" s="2"/>
      <c r="AF130" s="2"/>
      <c r="AG130" s="2"/>
      <c r="AH130" s="2"/>
      <c r="AN130" s="2"/>
      <c r="AO130" s="2"/>
      <c r="AP130" s="2"/>
      <c r="AQ130" s="2"/>
      <c r="AR130" s="2"/>
      <c r="AS130" s="2"/>
      <c r="AT130" s="2"/>
    </row>
    <row r="131" spans="1:46" s="8" customFormat="1" ht="12" customHeight="1">
      <c r="A131" s="8" t="s">
        <v>19870</v>
      </c>
      <c r="B131" s="16">
        <v>30</v>
      </c>
      <c r="C131" s="8" t="s">
        <v>20</v>
      </c>
      <c r="D131" s="8" t="s">
        <v>37</v>
      </c>
      <c r="E131" s="8" t="s">
        <v>19916</v>
      </c>
      <c r="F131" s="17">
        <v>42312</v>
      </c>
      <c r="G131" s="8" t="s">
        <v>19871</v>
      </c>
      <c r="H131" s="8" t="s">
        <v>4234</v>
      </c>
      <c r="I131" s="8" t="s">
        <v>435</v>
      </c>
      <c r="J131" s="16"/>
      <c r="K131" s="2"/>
      <c r="L131" s="8" t="s">
        <v>4237</v>
      </c>
      <c r="M131" s="8" t="s">
        <v>27</v>
      </c>
      <c r="P131" s="8" t="s">
        <v>405</v>
      </c>
      <c r="Q131" s="12" t="s">
        <v>19872</v>
      </c>
      <c r="S131" s="2" t="s">
        <v>28</v>
      </c>
      <c r="V131" s="2"/>
      <c r="W131" s="2"/>
      <c r="X131" s="2"/>
      <c r="Y131" s="2"/>
      <c r="Z131" s="2"/>
      <c r="AA131" s="2"/>
      <c r="AB131" s="2"/>
      <c r="AC131" s="2"/>
      <c r="AD131" s="2"/>
      <c r="AE131" s="2"/>
      <c r="AF131" s="2"/>
      <c r="AG131" s="2"/>
      <c r="AH131" s="2"/>
      <c r="AI131" s="2"/>
      <c r="AJ131" s="2"/>
      <c r="AK131" s="2"/>
      <c r="AL131" s="2"/>
      <c r="AM131" s="2"/>
    </row>
    <row r="132" spans="1:46" s="8" customFormat="1" ht="12">
      <c r="A132" s="8" t="s">
        <v>19867</v>
      </c>
      <c r="B132" s="16">
        <v>47</v>
      </c>
      <c r="C132" s="8" t="s">
        <v>20</v>
      </c>
      <c r="D132" s="8" t="s">
        <v>37</v>
      </c>
      <c r="E132" s="8" t="s">
        <v>19904</v>
      </c>
      <c r="F132" s="17">
        <v>42312</v>
      </c>
      <c r="G132" s="8" t="s">
        <v>19868</v>
      </c>
      <c r="H132" s="8" t="s">
        <v>158</v>
      </c>
      <c r="I132" s="8" t="s">
        <v>45</v>
      </c>
      <c r="J132" s="16"/>
      <c r="K132" s="2"/>
      <c r="L132" s="8" t="s">
        <v>159</v>
      </c>
      <c r="M132" s="8" t="s">
        <v>27</v>
      </c>
      <c r="P132" s="8" t="s">
        <v>405</v>
      </c>
      <c r="Q132" s="12" t="s">
        <v>19869</v>
      </c>
      <c r="S132" s="8" t="s">
        <v>18</v>
      </c>
      <c r="V132" s="2"/>
      <c r="W132" s="2"/>
      <c r="X132" s="2"/>
      <c r="Y132" s="2"/>
      <c r="Z132" s="2"/>
      <c r="AA132" s="2"/>
      <c r="AB132" s="2"/>
      <c r="AC132" s="2"/>
      <c r="AD132" s="2"/>
      <c r="AE132" s="2"/>
      <c r="AF132" s="2"/>
      <c r="AG132" s="2"/>
      <c r="AH132" s="2"/>
      <c r="AI132" s="2"/>
      <c r="AJ132" s="2"/>
      <c r="AK132" s="2"/>
      <c r="AL132" s="2"/>
      <c r="AM132" s="2"/>
    </row>
    <row r="133" spans="1:46" s="8" customFormat="1" ht="12" customHeight="1">
      <c r="A133" s="8" t="s">
        <v>19873</v>
      </c>
      <c r="B133" s="16">
        <v>6</v>
      </c>
      <c r="C133" s="8" t="s">
        <v>20</v>
      </c>
      <c r="D133" s="8" t="s">
        <v>37</v>
      </c>
      <c r="E133" s="8" t="s">
        <v>19903</v>
      </c>
      <c r="F133" s="17">
        <v>42311</v>
      </c>
      <c r="G133" s="8" t="s">
        <v>19874</v>
      </c>
      <c r="H133" s="8" t="s">
        <v>19875</v>
      </c>
      <c r="I133" s="8" t="s">
        <v>25</v>
      </c>
      <c r="J133" s="16"/>
      <c r="K133" s="2"/>
      <c r="L133" s="8" t="s">
        <v>21099</v>
      </c>
      <c r="M133" s="8" t="s">
        <v>27</v>
      </c>
      <c r="N133" s="8" t="s">
        <v>21098</v>
      </c>
      <c r="P133" s="8" t="s">
        <v>1171</v>
      </c>
      <c r="Q133" s="12" t="s">
        <v>19876</v>
      </c>
      <c r="S133" s="8" t="s">
        <v>18</v>
      </c>
      <c r="T133" s="13"/>
      <c r="U133" s="13"/>
      <c r="V133" s="2"/>
      <c r="W133" s="2"/>
      <c r="X133" s="2"/>
      <c r="Y133" s="2"/>
      <c r="Z133" s="2"/>
      <c r="AA133" s="2"/>
      <c r="AB133" s="2"/>
      <c r="AC133" s="2"/>
      <c r="AD133" s="2"/>
      <c r="AE133" s="2"/>
      <c r="AF133" s="2"/>
      <c r="AG133" s="2"/>
      <c r="AH133" s="2"/>
      <c r="AI133" s="2"/>
      <c r="AJ133" s="2"/>
      <c r="AK133" s="2"/>
      <c r="AL133" s="2"/>
      <c r="AM133" s="2"/>
    </row>
    <row r="134" spans="1:46" s="8" customFormat="1" ht="12">
      <c r="A134" s="8" t="s">
        <v>19556</v>
      </c>
      <c r="B134" s="16">
        <v>62</v>
      </c>
      <c r="C134" s="8" t="s">
        <v>20</v>
      </c>
      <c r="D134" s="8" t="s">
        <v>85</v>
      </c>
      <c r="F134" s="17">
        <v>42310</v>
      </c>
      <c r="G134" s="8" t="s">
        <v>19557</v>
      </c>
      <c r="H134" s="8" t="s">
        <v>119</v>
      </c>
      <c r="I134" s="8" t="s">
        <v>3709</v>
      </c>
      <c r="J134" s="16" t="s">
        <v>8237</v>
      </c>
      <c r="K134" s="2" t="s">
        <v>3711</v>
      </c>
      <c r="L134" s="8" t="s">
        <v>19558</v>
      </c>
      <c r="M134" s="8" t="s">
        <v>27</v>
      </c>
      <c r="N134" s="8" t="s">
        <v>19559</v>
      </c>
      <c r="O134" s="8" t="s">
        <v>404</v>
      </c>
      <c r="P134" s="8" t="s">
        <v>405</v>
      </c>
      <c r="Q134" s="12" t="s">
        <v>19560</v>
      </c>
      <c r="R134" s="8" t="s">
        <v>100</v>
      </c>
      <c r="S134" s="8" t="s">
        <v>28</v>
      </c>
      <c r="V134" s="2"/>
      <c r="W134" s="2"/>
      <c r="X134" s="2"/>
      <c r="Y134" s="2"/>
      <c r="Z134" s="2"/>
      <c r="AA134" s="2"/>
      <c r="AB134" s="2"/>
      <c r="AC134" s="2"/>
      <c r="AD134" s="2"/>
      <c r="AE134" s="2"/>
      <c r="AF134" s="2"/>
      <c r="AG134" s="2"/>
      <c r="AH134" s="2"/>
      <c r="AN134" s="2"/>
      <c r="AO134" s="2"/>
      <c r="AP134" s="2"/>
      <c r="AQ134" s="2"/>
      <c r="AR134" s="2"/>
      <c r="AS134" s="2"/>
      <c r="AT134" s="2"/>
    </row>
    <row r="135" spans="1:46" s="8" customFormat="1" ht="12" customHeight="1">
      <c r="A135" s="8" t="s">
        <v>19877</v>
      </c>
      <c r="B135" s="16">
        <v>28</v>
      </c>
      <c r="C135" s="8" t="s">
        <v>20</v>
      </c>
      <c r="D135" s="8" t="s">
        <v>37</v>
      </c>
      <c r="E135" s="8" t="s">
        <v>19902</v>
      </c>
      <c r="F135" s="17">
        <v>42310</v>
      </c>
      <c r="G135" s="8" t="s">
        <v>19878</v>
      </c>
      <c r="H135" s="8" t="s">
        <v>6076</v>
      </c>
      <c r="I135" s="8" t="s">
        <v>118</v>
      </c>
      <c r="J135" s="16"/>
      <c r="K135" s="2"/>
      <c r="L135" s="8" t="s">
        <v>19879</v>
      </c>
      <c r="M135" s="8" t="s">
        <v>107</v>
      </c>
      <c r="P135" s="8" t="s">
        <v>405</v>
      </c>
      <c r="Q135" s="12" t="s">
        <v>19880</v>
      </c>
      <c r="S135" s="8" t="s">
        <v>18</v>
      </c>
      <c r="V135" s="2"/>
      <c r="W135" s="2"/>
      <c r="X135" s="2"/>
      <c r="Y135" s="2"/>
      <c r="Z135" s="2"/>
      <c r="AA135" s="2"/>
      <c r="AB135" s="2"/>
      <c r="AC135" s="2"/>
      <c r="AD135" s="2"/>
      <c r="AE135" s="2"/>
      <c r="AF135" s="2"/>
      <c r="AG135" s="2"/>
      <c r="AH135" s="2"/>
      <c r="AI135" s="2"/>
      <c r="AJ135" s="2"/>
      <c r="AK135" s="2"/>
      <c r="AL135" s="2"/>
      <c r="AM135" s="2"/>
    </row>
    <row r="136" spans="1:46" s="8" customFormat="1" ht="12">
      <c r="A136" s="8" t="s">
        <v>19550</v>
      </c>
      <c r="B136" s="16">
        <v>27</v>
      </c>
      <c r="C136" s="8" t="s">
        <v>20</v>
      </c>
      <c r="D136" s="8" t="s">
        <v>85</v>
      </c>
      <c r="E136" s="8" t="s">
        <v>19551</v>
      </c>
      <c r="F136" s="17">
        <v>42309</v>
      </c>
      <c r="G136" s="8" t="s">
        <v>19552</v>
      </c>
      <c r="H136" s="8" t="s">
        <v>119</v>
      </c>
      <c r="I136" s="8" t="s">
        <v>3709</v>
      </c>
      <c r="J136" s="16" t="s">
        <v>8237</v>
      </c>
      <c r="K136" s="2" t="s">
        <v>3711</v>
      </c>
      <c r="L136" s="8" t="s">
        <v>19553</v>
      </c>
      <c r="M136" s="8" t="s">
        <v>29</v>
      </c>
      <c r="N136" s="8" t="s">
        <v>19554</v>
      </c>
      <c r="O136" s="8" t="s">
        <v>404</v>
      </c>
      <c r="P136" s="8" t="s">
        <v>405</v>
      </c>
      <c r="Q136" s="12" t="s">
        <v>19555</v>
      </c>
      <c r="R136" s="8" t="s">
        <v>100</v>
      </c>
      <c r="S136" s="8" t="s">
        <v>18</v>
      </c>
      <c r="V136" s="2"/>
      <c r="W136" s="2"/>
      <c r="X136" s="2"/>
      <c r="Y136" s="2"/>
      <c r="Z136" s="2"/>
      <c r="AA136" s="2"/>
      <c r="AB136" s="2"/>
      <c r="AC136" s="2"/>
      <c r="AD136" s="2"/>
      <c r="AE136" s="2"/>
      <c r="AF136" s="2"/>
      <c r="AG136" s="2"/>
      <c r="AH136" s="2"/>
      <c r="AN136" s="2"/>
      <c r="AO136" s="2"/>
      <c r="AP136" s="2"/>
      <c r="AQ136" s="2"/>
      <c r="AR136" s="2"/>
      <c r="AS136" s="2"/>
      <c r="AT136" s="2"/>
    </row>
    <row r="137" spans="1:46" s="8" customFormat="1" ht="12" customHeight="1">
      <c r="A137" s="8" t="s">
        <v>19542</v>
      </c>
      <c r="B137" s="16">
        <v>56</v>
      </c>
      <c r="C137" s="8" t="s">
        <v>20</v>
      </c>
      <c r="D137" s="8" t="s">
        <v>85</v>
      </c>
      <c r="E137" s="8" t="s">
        <v>19543</v>
      </c>
      <c r="F137" s="17">
        <v>42309</v>
      </c>
      <c r="G137" s="8" t="s">
        <v>19544</v>
      </c>
      <c r="H137" s="8" t="s">
        <v>19545</v>
      </c>
      <c r="I137" s="8" t="s">
        <v>94</v>
      </c>
      <c r="J137" s="16" t="s">
        <v>19546</v>
      </c>
      <c r="K137" s="2" t="s">
        <v>5608</v>
      </c>
      <c r="L137" s="8" t="s">
        <v>19547</v>
      </c>
      <c r="M137" s="8" t="s">
        <v>27</v>
      </c>
      <c r="N137" s="8" t="s">
        <v>19548</v>
      </c>
      <c r="O137" s="8" t="s">
        <v>404</v>
      </c>
      <c r="P137" s="8" t="s">
        <v>405</v>
      </c>
      <c r="Q137" s="12" t="s">
        <v>19549</v>
      </c>
      <c r="S137" s="8" t="s">
        <v>35</v>
      </c>
      <c r="V137" s="2"/>
      <c r="W137" s="2"/>
      <c r="X137" s="2"/>
      <c r="Y137" s="2"/>
      <c r="Z137" s="2"/>
      <c r="AA137" s="2"/>
      <c r="AB137" s="2"/>
      <c r="AC137" s="2"/>
      <c r="AD137" s="2"/>
      <c r="AE137" s="2"/>
      <c r="AF137" s="2"/>
      <c r="AG137" s="2"/>
      <c r="AH137" s="2"/>
      <c r="AN137" s="2"/>
      <c r="AO137" s="2"/>
      <c r="AP137" s="2"/>
      <c r="AQ137" s="2"/>
      <c r="AR137" s="2"/>
      <c r="AS137" s="2"/>
      <c r="AT137" s="2"/>
    </row>
    <row r="138" spans="1:46" s="8" customFormat="1" ht="12" customHeight="1">
      <c r="A138" s="8" t="s">
        <v>19884</v>
      </c>
      <c r="B138" s="16">
        <v>62</v>
      </c>
      <c r="C138" s="8" t="s">
        <v>20</v>
      </c>
      <c r="D138" s="8" t="s">
        <v>37</v>
      </c>
      <c r="E138" s="8" t="s">
        <v>19914</v>
      </c>
      <c r="F138" s="17">
        <v>42309</v>
      </c>
      <c r="G138" s="8" t="s">
        <v>19885</v>
      </c>
      <c r="H138" s="8" t="s">
        <v>19886</v>
      </c>
      <c r="I138" s="8" t="s">
        <v>798</v>
      </c>
      <c r="J138" s="16"/>
      <c r="K138" s="2"/>
      <c r="L138" s="8" t="s">
        <v>10338</v>
      </c>
      <c r="M138" s="8" t="s">
        <v>27</v>
      </c>
      <c r="P138" s="8" t="s">
        <v>405</v>
      </c>
      <c r="Q138" s="12" t="s">
        <v>19887</v>
      </c>
      <c r="S138" s="2" t="s">
        <v>28</v>
      </c>
      <c r="V138" s="2"/>
      <c r="W138" s="2"/>
      <c r="X138" s="2"/>
      <c r="Y138" s="2"/>
      <c r="Z138" s="2"/>
      <c r="AA138" s="2"/>
      <c r="AB138" s="2"/>
      <c r="AC138" s="2"/>
      <c r="AD138" s="2"/>
      <c r="AE138" s="2"/>
      <c r="AF138" s="2"/>
      <c r="AG138" s="2"/>
      <c r="AH138" s="2"/>
      <c r="AI138" s="2"/>
      <c r="AJ138" s="2"/>
      <c r="AK138" s="2"/>
      <c r="AL138" s="2"/>
      <c r="AM138" s="2"/>
    </row>
    <row r="139" spans="1:46" s="8" customFormat="1" ht="12">
      <c r="A139" s="8" t="s">
        <v>19881</v>
      </c>
      <c r="B139" s="16">
        <v>20</v>
      </c>
      <c r="C139" s="8" t="s">
        <v>20</v>
      </c>
      <c r="D139" s="8" t="s">
        <v>37</v>
      </c>
      <c r="E139" s="8" t="s">
        <v>19915</v>
      </c>
      <c r="F139" s="17">
        <v>42309</v>
      </c>
      <c r="G139" s="8" t="s">
        <v>19882</v>
      </c>
      <c r="H139" s="8" t="s">
        <v>7269</v>
      </c>
      <c r="I139" s="8" t="s">
        <v>45</v>
      </c>
      <c r="J139" s="16"/>
      <c r="K139" s="2"/>
      <c r="L139" s="8" t="s">
        <v>965</v>
      </c>
      <c r="M139" s="8" t="s">
        <v>27</v>
      </c>
      <c r="P139" s="8" t="s">
        <v>405</v>
      </c>
      <c r="Q139" s="12" t="s">
        <v>19883</v>
      </c>
      <c r="S139" s="2" t="s">
        <v>28</v>
      </c>
      <c r="V139" s="2"/>
      <c r="W139" s="2"/>
      <c r="X139" s="2"/>
      <c r="Y139" s="2"/>
      <c r="Z139" s="2"/>
      <c r="AA139" s="2"/>
      <c r="AB139" s="2"/>
      <c r="AC139" s="2"/>
      <c r="AD139" s="2"/>
      <c r="AE139" s="2"/>
      <c r="AF139" s="2"/>
      <c r="AG139" s="2"/>
      <c r="AH139" s="2"/>
      <c r="AI139" s="2"/>
      <c r="AJ139" s="2"/>
      <c r="AK139" s="2"/>
      <c r="AL139" s="2"/>
      <c r="AM139" s="2"/>
    </row>
    <row r="140" spans="1:46" s="8" customFormat="1" ht="12" customHeight="1">
      <c r="A140" s="8" t="s">
        <v>19888</v>
      </c>
      <c r="B140" s="16">
        <v>49</v>
      </c>
      <c r="C140" s="8" t="s">
        <v>20</v>
      </c>
      <c r="D140" s="8" t="s">
        <v>37</v>
      </c>
      <c r="E140" s="8" t="s">
        <v>19894</v>
      </c>
      <c r="F140" s="17">
        <v>42309</v>
      </c>
      <c r="G140" s="8" t="s">
        <v>19889</v>
      </c>
      <c r="H140" s="8" t="s">
        <v>1625</v>
      </c>
      <c r="I140" s="8" t="s">
        <v>135</v>
      </c>
      <c r="J140" s="16"/>
      <c r="K140" s="2"/>
      <c r="L140" s="8" t="s">
        <v>19890</v>
      </c>
      <c r="M140" s="8" t="s">
        <v>27</v>
      </c>
      <c r="P140" s="8" t="s">
        <v>405</v>
      </c>
      <c r="Q140" s="12" t="s">
        <v>19891</v>
      </c>
      <c r="S140" s="8" t="s">
        <v>35</v>
      </c>
      <c r="V140" s="2"/>
      <c r="W140" s="2"/>
      <c r="X140" s="2"/>
      <c r="Y140" s="2"/>
      <c r="Z140" s="2"/>
      <c r="AA140" s="2"/>
      <c r="AB140" s="2"/>
      <c r="AC140" s="2"/>
      <c r="AD140" s="2"/>
      <c r="AE140" s="2"/>
      <c r="AF140" s="2"/>
      <c r="AG140" s="2"/>
      <c r="AH140" s="2"/>
      <c r="AI140" s="2"/>
      <c r="AJ140" s="2"/>
      <c r="AK140" s="2"/>
      <c r="AL140" s="2"/>
      <c r="AM140" s="2"/>
    </row>
    <row r="141" spans="1:46" s="8" customFormat="1" ht="12">
      <c r="A141" s="8" t="s">
        <v>19374</v>
      </c>
      <c r="B141" s="16">
        <v>33</v>
      </c>
      <c r="C141" s="8" t="s">
        <v>20</v>
      </c>
      <c r="D141" s="8" t="s">
        <v>37</v>
      </c>
      <c r="E141" s="8" t="s">
        <v>19455</v>
      </c>
      <c r="F141" s="17">
        <v>42308</v>
      </c>
      <c r="G141" s="8" t="s">
        <v>20669</v>
      </c>
      <c r="H141" s="8" t="s">
        <v>20670</v>
      </c>
      <c r="I141" s="8" t="s">
        <v>212</v>
      </c>
      <c r="J141" s="16" t="s">
        <v>20671</v>
      </c>
      <c r="K141" s="2" t="s">
        <v>865</v>
      </c>
      <c r="L141" s="8" t="s">
        <v>20672</v>
      </c>
      <c r="M141" s="8" t="s">
        <v>27</v>
      </c>
      <c r="N141" s="8" t="s">
        <v>20673</v>
      </c>
      <c r="O141" s="8" t="s">
        <v>404</v>
      </c>
      <c r="P141" s="8" t="s">
        <v>405</v>
      </c>
      <c r="Q141" s="12" t="s">
        <v>20674</v>
      </c>
      <c r="R141" s="8" t="s">
        <v>100</v>
      </c>
      <c r="S141" s="8" t="s">
        <v>28</v>
      </c>
      <c r="T141" s="13"/>
      <c r="U141" s="13"/>
      <c r="V141" s="2"/>
      <c r="W141" s="2"/>
      <c r="X141" s="2"/>
      <c r="Y141" s="2"/>
      <c r="Z141" s="2"/>
      <c r="AA141" s="2"/>
      <c r="AB141" s="2"/>
      <c r="AC141" s="2"/>
      <c r="AD141" s="2"/>
      <c r="AE141" s="2"/>
      <c r="AF141" s="2"/>
      <c r="AG141" s="2"/>
      <c r="AH141" s="2"/>
      <c r="AI141" s="2"/>
      <c r="AJ141" s="2"/>
      <c r="AK141" s="2"/>
      <c r="AL141" s="2"/>
      <c r="AM141" s="2"/>
    </row>
    <row r="142" spans="1:46" s="8" customFormat="1" ht="12" customHeight="1">
      <c r="A142" s="8" t="s">
        <v>19248</v>
      </c>
      <c r="B142" s="16">
        <v>33</v>
      </c>
      <c r="C142" s="8" t="s">
        <v>20</v>
      </c>
      <c r="D142" s="8" t="s">
        <v>85</v>
      </c>
      <c r="F142" s="17">
        <v>42308</v>
      </c>
      <c r="I142" s="8" t="s">
        <v>62</v>
      </c>
      <c r="J142" s="16">
        <v>34141</v>
      </c>
      <c r="K142" s="2" t="s">
        <v>19519</v>
      </c>
      <c r="M142" s="8" t="s">
        <v>383</v>
      </c>
      <c r="N142" s="8" t="s">
        <v>19535</v>
      </c>
      <c r="O142" s="8" t="s">
        <v>404</v>
      </c>
      <c r="P142" s="8" t="s">
        <v>405</v>
      </c>
      <c r="Q142" s="12" t="s">
        <v>19249</v>
      </c>
      <c r="S142" s="8" t="s">
        <v>18</v>
      </c>
      <c r="V142" s="2"/>
      <c r="W142" s="2"/>
      <c r="X142" s="2"/>
      <c r="Y142" s="2"/>
      <c r="Z142" s="2"/>
      <c r="AA142" s="2"/>
      <c r="AB142" s="2"/>
      <c r="AC142" s="2"/>
      <c r="AD142" s="2"/>
      <c r="AE142" s="2"/>
      <c r="AF142" s="2"/>
      <c r="AG142" s="2"/>
      <c r="AH142" s="2"/>
      <c r="AN142" s="2"/>
      <c r="AO142" s="2"/>
      <c r="AP142" s="2"/>
      <c r="AQ142" s="2"/>
      <c r="AR142" s="2"/>
      <c r="AS142" s="2"/>
      <c r="AT142" s="2"/>
    </row>
    <row r="143" spans="1:46" s="8" customFormat="1" ht="13" customHeight="1">
      <c r="A143" s="8" t="s">
        <v>21071</v>
      </c>
      <c r="B143" s="16" t="s">
        <v>11799</v>
      </c>
      <c r="C143" s="8" t="s">
        <v>20</v>
      </c>
      <c r="D143" s="8" t="s">
        <v>85</v>
      </c>
      <c r="F143" s="17">
        <v>42307</v>
      </c>
      <c r="G143" s="8" t="s">
        <v>21073</v>
      </c>
      <c r="H143" s="8" t="s">
        <v>731</v>
      </c>
      <c r="I143" s="8" t="s">
        <v>73</v>
      </c>
      <c r="J143" s="16"/>
      <c r="K143" s="2" t="s">
        <v>562</v>
      </c>
      <c r="L143" s="8" t="s">
        <v>732</v>
      </c>
      <c r="M143" s="8" t="s">
        <v>27</v>
      </c>
      <c r="N143" s="8" t="s">
        <v>21072</v>
      </c>
      <c r="P143" s="8" t="s">
        <v>405</v>
      </c>
      <c r="Q143" s="12" t="s">
        <v>19349</v>
      </c>
      <c r="R143" s="8" t="s">
        <v>100</v>
      </c>
      <c r="S143" s="8" t="s">
        <v>28</v>
      </c>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spans="1:46" s="8" customFormat="1" ht="12" customHeight="1">
      <c r="A144" s="8" t="s">
        <v>21076</v>
      </c>
      <c r="B144" s="16">
        <v>30</v>
      </c>
      <c r="C144" s="8" t="s">
        <v>20</v>
      </c>
      <c r="D144" s="8" t="s">
        <v>37</v>
      </c>
      <c r="E144" s="8" t="s">
        <v>21075</v>
      </c>
      <c r="F144" s="17">
        <v>42307</v>
      </c>
      <c r="I144" s="8" t="s">
        <v>399</v>
      </c>
      <c r="J144" s="16"/>
      <c r="K144" s="2"/>
      <c r="P144" s="8" t="s">
        <v>405</v>
      </c>
      <c r="Q144" s="12" t="s">
        <v>19348</v>
      </c>
      <c r="S144" s="8" t="s">
        <v>28</v>
      </c>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spans="1:46" s="8" customFormat="1" ht="13" customHeight="1">
      <c r="A145" s="8" t="s">
        <v>19375</v>
      </c>
      <c r="B145" s="16">
        <v>62</v>
      </c>
      <c r="C145" s="8" t="s">
        <v>20</v>
      </c>
      <c r="D145" s="8" t="s">
        <v>37</v>
      </c>
      <c r="E145" s="8" t="s">
        <v>19456</v>
      </c>
      <c r="F145" s="17">
        <v>42307</v>
      </c>
      <c r="G145" s="8" t="s">
        <v>19376</v>
      </c>
      <c r="H145" s="8" t="s">
        <v>19377</v>
      </c>
      <c r="I145" s="8" t="s">
        <v>319</v>
      </c>
      <c r="J145" s="16" t="s">
        <v>20675</v>
      </c>
      <c r="K145" s="2" t="s">
        <v>3187</v>
      </c>
      <c r="L145" s="8" t="s">
        <v>19378</v>
      </c>
      <c r="M145" s="8" t="s">
        <v>27</v>
      </c>
      <c r="N145" s="8" t="s">
        <v>20676</v>
      </c>
      <c r="O145" s="8" t="s">
        <v>404</v>
      </c>
      <c r="P145" s="8" t="s">
        <v>405</v>
      </c>
      <c r="Q145" s="12" t="s">
        <v>20677</v>
      </c>
      <c r="R145" s="8" t="s">
        <v>100</v>
      </c>
      <c r="S145" s="8" t="s">
        <v>28</v>
      </c>
      <c r="V145" s="2"/>
      <c r="W145" s="2"/>
      <c r="X145" s="2"/>
      <c r="Y145" s="2"/>
      <c r="Z145" s="2"/>
      <c r="AA145" s="2"/>
      <c r="AB145" s="2"/>
      <c r="AC145" s="2"/>
      <c r="AD145" s="2"/>
      <c r="AE145" s="2"/>
      <c r="AF145" s="2"/>
      <c r="AG145" s="2"/>
      <c r="AH145" s="2"/>
      <c r="AI145" s="2"/>
      <c r="AJ145" s="2"/>
      <c r="AK145" s="2"/>
      <c r="AL145" s="2"/>
      <c r="AM145" s="2"/>
    </row>
    <row r="146" spans="1:46" s="8" customFormat="1" ht="13" customHeight="1">
      <c r="A146" s="8" t="s">
        <v>19308</v>
      </c>
      <c r="B146" s="16">
        <v>29</v>
      </c>
      <c r="C146" s="8" t="s">
        <v>20</v>
      </c>
      <c r="D146" s="8" t="s">
        <v>48</v>
      </c>
      <c r="F146" s="17">
        <v>42307</v>
      </c>
      <c r="G146" s="8" t="s">
        <v>19310</v>
      </c>
      <c r="H146" s="8" t="s">
        <v>5859</v>
      </c>
      <c r="I146" s="8" t="s">
        <v>73</v>
      </c>
      <c r="J146" s="16" t="s">
        <v>20678</v>
      </c>
      <c r="K146" s="2" t="s">
        <v>288</v>
      </c>
      <c r="L146" s="8" t="s">
        <v>20679</v>
      </c>
      <c r="M146" s="8" t="s">
        <v>27</v>
      </c>
      <c r="N146" s="8" t="s">
        <v>20680</v>
      </c>
      <c r="O146" s="8" t="s">
        <v>404</v>
      </c>
      <c r="P146" s="8" t="s">
        <v>405</v>
      </c>
      <c r="Q146" s="12" t="s">
        <v>19309</v>
      </c>
      <c r="R146" s="8" t="s">
        <v>100</v>
      </c>
      <c r="S146" s="8" t="s">
        <v>28</v>
      </c>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spans="1:46" s="8" customFormat="1" ht="12">
      <c r="A147" s="8" t="s">
        <v>21074</v>
      </c>
      <c r="B147" s="16" t="s">
        <v>11799</v>
      </c>
      <c r="C147" s="8" t="s">
        <v>20</v>
      </c>
      <c r="D147" s="8" t="s">
        <v>85</v>
      </c>
      <c r="F147" s="17">
        <v>42307</v>
      </c>
      <c r="G147" s="8" t="s">
        <v>21073</v>
      </c>
      <c r="H147" s="8" t="s">
        <v>731</v>
      </c>
      <c r="I147" s="8" t="s">
        <v>73</v>
      </c>
      <c r="J147" s="16"/>
      <c r="K147" s="2" t="s">
        <v>562</v>
      </c>
      <c r="L147" s="8" t="s">
        <v>732</v>
      </c>
      <c r="M147" s="8" t="s">
        <v>27</v>
      </c>
      <c r="N147" s="8" t="s">
        <v>21072</v>
      </c>
      <c r="P147" s="8" t="s">
        <v>405</v>
      </c>
      <c r="Q147" s="12" t="s">
        <v>19349</v>
      </c>
      <c r="R147" s="8" t="s">
        <v>100</v>
      </c>
      <c r="S147" s="8" t="s">
        <v>28</v>
      </c>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spans="1:46" s="8" customFormat="1" ht="12" customHeight="1">
      <c r="A148" s="8" t="s">
        <v>19383</v>
      </c>
      <c r="B148" s="16">
        <v>18</v>
      </c>
      <c r="C148" s="8" t="s">
        <v>20</v>
      </c>
      <c r="D148" s="8" t="s">
        <v>37</v>
      </c>
      <c r="F148" s="17">
        <v>42306</v>
      </c>
      <c r="G148" s="8" t="s">
        <v>20681</v>
      </c>
      <c r="H148" s="8" t="s">
        <v>20682</v>
      </c>
      <c r="I148" s="8" t="s">
        <v>323</v>
      </c>
      <c r="J148" s="16" t="s">
        <v>20683</v>
      </c>
      <c r="K148" s="2" t="s">
        <v>1559</v>
      </c>
      <c r="L148" s="8" t="s">
        <v>20684</v>
      </c>
      <c r="M148" s="8" t="s">
        <v>27</v>
      </c>
      <c r="N148" s="8" t="s">
        <v>20685</v>
      </c>
      <c r="O148" s="8" t="s">
        <v>4742</v>
      </c>
      <c r="P148" s="8" t="s">
        <v>405</v>
      </c>
      <c r="Q148" s="12" t="s">
        <v>20686</v>
      </c>
      <c r="R148" s="8" t="s">
        <v>29</v>
      </c>
      <c r="S148" s="8" t="s">
        <v>28</v>
      </c>
      <c r="V148" s="2"/>
      <c r="W148" s="2"/>
      <c r="X148" s="2"/>
      <c r="Y148" s="2"/>
      <c r="Z148" s="2"/>
      <c r="AA148" s="2"/>
      <c r="AB148" s="2"/>
      <c r="AC148" s="2"/>
      <c r="AD148" s="2"/>
      <c r="AE148" s="2"/>
      <c r="AF148" s="2"/>
      <c r="AG148" s="2"/>
      <c r="AH148" s="2"/>
      <c r="AI148" s="2"/>
      <c r="AJ148" s="2"/>
      <c r="AK148" s="2"/>
      <c r="AL148" s="2"/>
      <c r="AM148" s="2"/>
    </row>
    <row r="149" spans="1:46" s="8" customFormat="1" ht="12" customHeight="1">
      <c r="A149" s="8" t="s">
        <v>19379</v>
      </c>
      <c r="B149" s="16">
        <v>36</v>
      </c>
      <c r="C149" s="8" t="s">
        <v>20</v>
      </c>
      <c r="D149" s="8" t="s">
        <v>37</v>
      </c>
      <c r="E149" s="8" t="s">
        <v>19457</v>
      </c>
      <c r="F149" s="17">
        <v>42306</v>
      </c>
      <c r="G149" s="8" t="s">
        <v>19381</v>
      </c>
      <c r="H149" s="8" t="s">
        <v>19382</v>
      </c>
      <c r="I149" s="8" t="s">
        <v>118</v>
      </c>
      <c r="J149" s="16"/>
      <c r="K149" s="2"/>
      <c r="L149" s="8" t="s">
        <v>29</v>
      </c>
      <c r="M149" s="8" t="s">
        <v>27</v>
      </c>
      <c r="P149" s="8" t="s">
        <v>405</v>
      </c>
      <c r="Q149" s="12" t="s">
        <v>19380</v>
      </c>
      <c r="S149" s="8" t="s">
        <v>28</v>
      </c>
      <c r="V149" s="2"/>
      <c r="W149" s="2"/>
      <c r="X149" s="2"/>
      <c r="Y149" s="2"/>
      <c r="Z149" s="2"/>
      <c r="AA149" s="2"/>
      <c r="AB149" s="2"/>
      <c r="AC149" s="2"/>
      <c r="AD149" s="2"/>
      <c r="AE149" s="2"/>
      <c r="AF149" s="2"/>
      <c r="AG149" s="2"/>
      <c r="AH149" s="2"/>
      <c r="AI149" s="2"/>
      <c r="AJ149" s="2"/>
      <c r="AK149" s="2"/>
      <c r="AL149" s="2"/>
      <c r="AM149" s="2"/>
    </row>
    <row r="150" spans="1:46" s="8" customFormat="1" ht="12">
      <c r="A150" s="8" t="s">
        <v>19250</v>
      </c>
      <c r="B150" s="16">
        <v>25</v>
      </c>
      <c r="C150" s="8" t="s">
        <v>20</v>
      </c>
      <c r="D150" s="8" t="s">
        <v>85</v>
      </c>
      <c r="E150" s="8" t="s">
        <v>19490</v>
      </c>
      <c r="F150" s="17">
        <v>42306</v>
      </c>
      <c r="G150" s="8" t="s">
        <v>20687</v>
      </c>
      <c r="H150" s="8" t="s">
        <v>1300</v>
      </c>
      <c r="I150" s="8" t="s">
        <v>69</v>
      </c>
      <c r="J150" s="16" t="s">
        <v>19513</v>
      </c>
      <c r="K150" s="2" t="s">
        <v>1301</v>
      </c>
      <c r="L150" s="8" t="s">
        <v>12726</v>
      </c>
      <c r="M150" s="8" t="s">
        <v>27</v>
      </c>
      <c r="N150" s="8" t="s">
        <v>19534</v>
      </c>
      <c r="O150" s="8" t="s">
        <v>1018</v>
      </c>
      <c r="P150" s="8" t="s">
        <v>405</v>
      </c>
      <c r="Q150" s="12" t="s">
        <v>19251</v>
      </c>
      <c r="R150" s="8" t="s">
        <v>100</v>
      </c>
      <c r="S150" s="8" t="s">
        <v>35</v>
      </c>
      <c r="V150" s="2"/>
      <c r="W150" s="2"/>
      <c r="X150" s="2"/>
      <c r="Y150" s="2"/>
      <c r="Z150" s="2"/>
      <c r="AA150" s="2"/>
      <c r="AB150" s="2"/>
      <c r="AC150" s="2"/>
      <c r="AD150" s="2"/>
      <c r="AE150" s="2"/>
      <c r="AF150" s="2"/>
      <c r="AG150" s="2"/>
      <c r="AH150" s="2"/>
      <c r="AN150" s="2"/>
      <c r="AO150" s="2"/>
      <c r="AP150" s="2"/>
      <c r="AQ150" s="2"/>
      <c r="AR150" s="2"/>
      <c r="AS150" s="2"/>
      <c r="AT150" s="2"/>
    </row>
    <row r="151" spans="1:46" s="8" customFormat="1" ht="12">
      <c r="A151" s="8" t="s">
        <v>19350</v>
      </c>
      <c r="B151" s="16">
        <v>52</v>
      </c>
      <c r="C151" s="8" t="s">
        <v>20</v>
      </c>
      <c r="D151" s="8" t="s">
        <v>30</v>
      </c>
      <c r="F151" s="17">
        <v>42306</v>
      </c>
      <c r="G151" s="8" t="s">
        <v>20688</v>
      </c>
      <c r="H151" s="8" t="s">
        <v>14025</v>
      </c>
      <c r="I151" s="8" t="s">
        <v>62</v>
      </c>
      <c r="J151" s="16" t="s">
        <v>20689</v>
      </c>
      <c r="K151" s="2" t="s">
        <v>8500</v>
      </c>
      <c r="L151" s="8" t="s">
        <v>8501</v>
      </c>
      <c r="M151" s="8" t="s">
        <v>27</v>
      </c>
      <c r="N151" s="8" t="s">
        <v>20690</v>
      </c>
      <c r="O151" s="8" t="s">
        <v>404</v>
      </c>
      <c r="P151" s="8" t="s">
        <v>405</v>
      </c>
      <c r="Q151" s="12" t="s">
        <v>20691</v>
      </c>
      <c r="R151" s="8" t="s">
        <v>100</v>
      </c>
      <c r="S151" s="8" t="s">
        <v>28</v>
      </c>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spans="1:46" s="8" customFormat="1" ht="12">
      <c r="A152" s="8" t="s">
        <v>19388</v>
      </c>
      <c r="B152" s="16">
        <v>36</v>
      </c>
      <c r="C152" s="8" t="s">
        <v>20</v>
      </c>
      <c r="D152" s="8" t="s">
        <v>37</v>
      </c>
      <c r="E152" s="8" t="s">
        <v>19459</v>
      </c>
      <c r="F152" s="17">
        <v>42305</v>
      </c>
      <c r="I152" s="8" t="s">
        <v>118</v>
      </c>
      <c r="J152" s="16"/>
      <c r="K152" s="2"/>
      <c r="P152" s="8" t="s">
        <v>405</v>
      </c>
      <c r="Q152" s="12" t="s">
        <v>19389</v>
      </c>
      <c r="S152" s="8" t="s">
        <v>28</v>
      </c>
      <c r="V152" s="2"/>
      <c r="W152" s="2"/>
      <c r="X152" s="2"/>
      <c r="Y152" s="2"/>
      <c r="Z152" s="2"/>
      <c r="AA152" s="2"/>
      <c r="AB152" s="2"/>
      <c r="AC152" s="2"/>
      <c r="AD152" s="2"/>
      <c r="AE152" s="2"/>
      <c r="AF152" s="2"/>
      <c r="AG152" s="2"/>
      <c r="AH152" s="2"/>
      <c r="AI152" s="2"/>
      <c r="AJ152" s="2"/>
      <c r="AK152" s="2"/>
      <c r="AL152" s="2"/>
      <c r="AM152" s="2"/>
    </row>
    <row r="153" spans="1:46" s="8" customFormat="1" ht="12">
      <c r="A153" s="8" t="s">
        <v>19252</v>
      </c>
      <c r="B153" s="16">
        <v>34</v>
      </c>
      <c r="C153" s="8" t="s">
        <v>20</v>
      </c>
      <c r="D153" s="8" t="s">
        <v>85</v>
      </c>
      <c r="E153" s="8" t="s">
        <v>19491</v>
      </c>
      <c r="F153" s="17">
        <v>42305</v>
      </c>
      <c r="G153" s="8" t="s">
        <v>19254</v>
      </c>
      <c r="H153" s="8" t="s">
        <v>657</v>
      </c>
      <c r="I153" s="8" t="s">
        <v>62</v>
      </c>
      <c r="J153" s="16">
        <v>32211</v>
      </c>
      <c r="K153" s="2"/>
      <c r="L153" s="8" t="s">
        <v>659</v>
      </c>
      <c r="M153" s="8" t="s">
        <v>27</v>
      </c>
      <c r="O153" s="8" t="s">
        <v>404</v>
      </c>
      <c r="P153" s="8" t="s">
        <v>405</v>
      </c>
      <c r="Q153" s="12" t="s">
        <v>19253</v>
      </c>
      <c r="S153" s="8" t="s">
        <v>28</v>
      </c>
      <c r="V153" s="2"/>
      <c r="W153" s="2"/>
      <c r="X153" s="2"/>
      <c r="Y153" s="2"/>
      <c r="Z153" s="2"/>
      <c r="AA153" s="2"/>
      <c r="AB153" s="2"/>
      <c r="AC153" s="2"/>
      <c r="AD153" s="2"/>
      <c r="AE153" s="2"/>
      <c r="AF153" s="2"/>
      <c r="AG153" s="2"/>
      <c r="AH153" s="2"/>
      <c r="AN153" s="2"/>
      <c r="AO153" s="2"/>
      <c r="AP153" s="2"/>
      <c r="AQ153" s="2"/>
      <c r="AR153" s="2"/>
      <c r="AS153" s="2"/>
      <c r="AT153" s="2"/>
    </row>
    <row r="154" spans="1:46" s="8" customFormat="1" ht="12" customHeight="1">
      <c r="A154" s="8" t="s">
        <v>19384</v>
      </c>
      <c r="B154" s="16">
        <v>57</v>
      </c>
      <c r="C154" s="8" t="s">
        <v>20</v>
      </c>
      <c r="D154" s="8" t="s">
        <v>37</v>
      </c>
      <c r="E154" s="8" t="s">
        <v>19458</v>
      </c>
      <c r="F154" s="17">
        <v>42305</v>
      </c>
      <c r="G154" s="8" t="s">
        <v>19386</v>
      </c>
      <c r="H154" s="8" t="s">
        <v>19387</v>
      </c>
      <c r="I154" s="8" t="s">
        <v>675</v>
      </c>
      <c r="J154" s="16" t="s">
        <v>20692</v>
      </c>
      <c r="K154" s="2" t="s">
        <v>1115</v>
      </c>
      <c r="L154" s="8" t="s">
        <v>5235</v>
      </c>
      <c r="M154" s="8" t="s">
        <v>27</v>
      </c>
      <c r="N154" s="8" t="s">
        <v>20693</v>
      </c>
      <c r="O154" s="8" t="s">
        <v>404</v>
      </c>
      <c r="P154" s="8" t="s">
        <v>405</v>
      </c>
      <c r="Q154" s="12" t="s">
        <v>19385</v>
      </c>
      <c r="R154" s="8" t="s">
        <v>100</v>
      </c>
      <c r="S154" s="8" t="s">
        <v>28</v>
      </c>
      <c r="V154" s="2"/>
      <c r="W154" s="2"/>
      <c r="X154" s="2"/>
      <c r="Y154" s="2"/>
      <c r="Z154" s="2"/>
      <c r="AA154" s="2"/>
      <c r="AB154" s="2"/>
      <c r="AC154" s="2"/>
      <c r="AD154" s="2"/>
      <c r="AE154" s="2"/>
      <c r="AF154" s="2"/>
      <c r="AG154" s="2"/>
      <c r="AH154" s="2"/>
      <c r="AI154" s="2"/>
      <c r="AJ154" s="2"/>
      <c r="AK154" s="2"/>
      <c r="AL154" s="2"/>
      <c r="AM154" s="2"/>
    </row>
    <row r="155" spans="1:46" s="8" customFormat="1" ht="12">
      <c r="A155" s="8" t="s">
        <v>19255</v>
      </c>
      <c r="B155" s="16">
        <v>25</v>
      </c>
      <c r="C155" s="8" t="s">
        <v>20</v>
      </c>
      <c r="D155" s="8" t="s">
        <v>85</v>
      </c>
      <c r="E155" s="8" t="s">
        <v>19492</v>
      </c>
      <c r="F155" s="17">
        <v>42305</v>
      </c>
      <c r="G155" s="8" t="s">
        <v>19257</v>
      </c>
      <c r="H155" s="8" t="s">
        <v>5226</v>
      </c>
      <c r="I155" s="8" t="s">
        <v>175</v>
      </c>
      <c r="J155" s="16" t="s">
        <v>7248</v>
      </c>
      <c r="K155" s="2" t="s">
        <v>3782</v>
      </c>
      <c r="L155" s="8" t="s">
        <v>7249</v>
      </c>
      <c r="M155" s="8" t="s">
        <v>27</v>
      </c>
      <c r="N155" s="8" t="s">
        <v>19533</v>
      </c>
      <c r="O155" s="8" t="s">
        <v>404</v>
      </c>
      <c r="P155" s="8" t="s">
        <v>405</v>
      </c>
      <c r="Q155" s="12" t="s">
        <v>19256</v>
      </c>
      <c r="R155" s="8" t="s">
        <v>100</v>
      </c>
      <c r="S155" s="8" t="s">
        <v>28</v>
      </c>
      <c r="Y155" s="2"/>
      <c r="Z155" s="2"/>
      <c r="AA155" s="2"/>
      <c r="AB155" s="2"/>
      <c r="AC155" s="2"/>
      <c r="AD155" s="2"/>
      <c r="AE155" s="2"/>
      <c r="AF155" s="2"/>
      <c r="AG155" s="2"/>
      <c r="AH155" s="2"/>
      <c r="AN155" s="2"/>
      <c r="AO155" s="2"/>
      <c r="AP155" s="2"/>
      <c r="AQ155" s="2"/>
      <c r="AR155" s="2"/>
      <c r="AS155" s="2"/>
      <c r="AT155" s="2"/>
    </row>
    <row r="156" spans="1:46" s="8" customFormat="1" ht="12" customHeight="1">
      <c r="A156" s="8" t="s">
        <v>19258</v>
      </c>
      <c r="B156" s="16">
        <v>29</v>
      </c>
      <c r="C156" s="8" t="s">
        <v>20</v>
      </c>
      <c r="D156" s="8" t="s">
        <v>85</v>
      </c>
      <c r="E156" s="8" t="s">
        <v>19493</v>
      </c>
      <c r="F156" s="17">
        <v>42304</v>
      </c>
      <c r="G156" s="8" t="s">
        <v>19260</v>
      </c>
      <c r="H156" s="8" t="s">
        <v>158</v>
      </c>
      <c r="I156" s="8" t="s">
        <v>45</v>
      </c>
      <c r="J156" s="16"/>
      <c r="K156" s="2"/>
      <c r="L156" s="8" t="s">
        <v>19261</v>
      </c>
      <c r="M156" s="8" t="s">
        <v>27</v>
      </c>
      <c r="O156" s="8" t="s">
        <v>404</v>
      </c>
      <c r="P156" s="8" t="s">
        <v>405</v>
      </c>
      <c r="Q156" s="12" t="s">
        <v>19259</v>
      </c>
      <c r="S156" s="8" t="s">
        <v>18</v>
      </c>
      <c r="V156" s="2"/>
      <c r="W156" s="2"/>
      <c r="X156" s="2"/>
      <c r="Y156" s="2"/>
      <c r="Z156" s="2"/>
      <c r="AA156" s="2"/>
      <c r="AB156" s="2"/>
      <c r="AC156" s="2"/>
      <c r="AD156" s="2"/>
      <c r="AE156" s="2"/>
      <c r="AF156" s="2"/>
      <c r="AG156" s="2"/>
      <c r="AH156" s="2"/>
      <c r="AN156" s="2"/>
      <c r="AO156" s="2"/>
      <c r="AP156" s="2"/>
      <c r="AQ156" s="2"/>
      <c r="AR156" s="2"/>
      <c r="AS156" s="2"/>
      <c r="AT156" s="2"/>
    </row>
    <row r="157" spans="1:46" s="8" customFormat="1" ht="12">
      <c r="A157" s="8" t="s">
        <v>19268</v>
      </c>
      <c r="B157" s="16">
        <v>45</v>
      </c>
      <c r="C157" s="8" t="s">
        <v>20</v>
      </c>
      <c r="D157" s="8" t="s">
        <v>85</v>
      </c>
      <c r="F157" s="17">
        <v>42303</v>
      </c>
      <c r="G157" s="8" t="s">
        <v>19270</v>
      </c>
      <c r="H157" s="8" t="s">
        <v>3136</v>
      </c>
      <c r="I157" s="8" t="s">
        <v>52</v>
      </c>
      <c r="J157" s="16" t="s">
        <v>18999</v>
      </c>
      <c r="K157" s="2" t="s">
        <v>3136</v>
      </c>
      <c r="L157" s="8" t="s">
        <v>703</v>
      </c>
      <c r="M157" s="8" t="s">
        <v>27</v>
      </c>
      <c r="N157" s="8" t="s">
        <v>20694</v>
      </c>
      <c r="O157" s="8" t="s">
        <v>404</v>
      </c>
      <c r="P157" s="8" t="s">
        <v>405</v>
      </c>
      <c r="Q157" s="12" t="s">
        <v>19269</v>
      </c>
      <c r="R157" s="8" t="s">
        <v>100</v>
      </c>
      <c r="S157" s="8" t="s">
        <v>35</v>
      </c>
      <c r="V157" s="2"/>
      <c r="W157" s="2"/>
      <c r="X157" s="2"/>
      <c r="Y157" s="2"/>
      <c r="Z157" s="2"/>
      <c r="AA157" s="2"/>
      <c r="AB157" s="2"/>
      <c r="AC157" s="2"/>
      <c r="AD157" s="2"/>
      <c r="AE157" s="2"/>
      <c r="AF157" s="2"/>
      <c r="AG157" s="2"/>
      <c r="AH157" s="2"/>
      <c r="AN157" s="2"/>
      <c r="AO157" s="2"/>
      <c r="AP157" s="2"/>
      <c r="AQ157" s="2"/>
      <c r="AR157" s="2"/>
      <c r="AS157" s="2"/>
      <c r="AT157" s="2"/>
    </row>
    <row r="158" spans="1:46" s="8" customFormat="1" ht="12">
      <c r="A158" s="8" t="s">
        <v>19266</v>
      </c>
      <c r="B158" s="16">
        <v>18</v>
      </c>
      <c r="C158" s="8" t="s">
        <v>20</v>
      </c>
      <c r="D158" s="8" t="s">
        <v>85</v>
      </c>
      <c r="E158" s="8" t="s">
        <v>19495</v>
      </c>
      <c r="F158" s="17">
        <v>42303</v>
      </c>
      <c r="G158" s="8" t="s">
        <v>20695</v>
      </c>
      <c r="H158" s="8" t="s">
        <v>1583</v>
      </c>
      <c r="I158" s="8" t="s">
        <v>62</v>
      </c>
      <c r="J158" s="16" t="s">
        <v>20696</v>
      </c>
      <c r="K158" s="2" t="s">
        <v>644</v>
      </c>
      <c r="L158" s="8" t="s">
        <v>1585</v>
      </c>
      <c r="M158" s="8" t="s">
        <v>27</v>
      </c>
      <c r="N158" s="8" t="s">
        <v>20697</v>
      </c>
      <c r="O158" s="8" t="s">
        <v>404</v>
      </c>
      <c r="P158" s="8" t="s">
        <v>405</v>
      </c>
      <c r="Q158" s="12" t="s">
        <v>19267</v>
      </c>
      <c r="R158" s="8" t="s">
        <v>100</v>
      </c>
      <c r="S158" s="8" t="s">
        <v>35</v>
      </c>
      <c r="V158" s="2"/>
      <c r="W158" s="2"/>
      <c r="X158" s="2"/>
      <c r="Y158" s="2"/>
      <c r="Z158" s="2"/>
      <c r="AA158" s="2"/>
      <c r="AB158" s="2"/>
      <c r="AC158" s="2"/>
      <c r="AD158" s="2"/>
      <c r="AE158" s="2"/>
      <c r="AF158" s="2"/>
      <c r="AG158" s="2"/>
      <c r="AH158" s="2"/>
      <c r="AN158" s="2"/>
      <c r="AO158" s="2"/>
      <c r="AP158" s="2"/>
      <c r="AQ158" s="2"/>
      <c r="AR158" s="2"/>
      <c r="AS158" s="2"/>
      <c r="AT158" s="2"/>
    </row>
    <row r="159" spans="1:46" s="8" customFormat="1" ht="12">
      <c r="A159" s="8" t="s">
        <v>19262</v>
      </c>
      <c r="B159" s="16">
        <v>21</v>
      </c>
      <c r="C159" s="8" t="s">
        <v>115</v>
      </c>
      <c r="D159" s="8" t="s">
        <v>85</v>
      </c>
      <c r="E159" s="8" t="s">
        <v>19494</v>
      </c>
      <c r="F159" s="17">
        <v>42303</v>
      </c>
      <c r="G159" s="8" t="s">
        <v>19264</v>
      </c>
      <c r="H159" s="8" t="s">
        <v>119</v>
      </c>
      <c r="I159" s="8" t="s">
        <v>3709</v>
      </c>
      <c r="J159" s="16"/>
      <c r="K159" s="2"/>
      <c r="L159" s="8" t="s">
        <v>19265</v>
      </c>
      <c r="M159" s="8" t="s">
        <v>27</v>
      </c>
      <c r="O159" s="8" t="s">
        <v>404</v>
      </c>
      <c r="P159" s="8" t="s">
        <v>405</v>
      </c>
      <c r="Q159" s="12" t="s">
        <v>19263</v>
      </c>
      <c r="S159" s="8" t="s">
        <v>28</v>
      </c>
      <c r="V159" s="2"/>
      <c r="W159" s="2"/>
      <c r="X159" s="2"/>
      <c r="Y159" s="2"/>
      <c r="Z159" s="2"/>
      <c r="AA159" s="2"/>
      <c r="AB159" s="2"/>
      <c r="AC159" s="2"/>
      <c r="AD159" s="2"/>
      <c r="AE159" s="2"/>
      <c r="AF159" s="2"/>
      <c r="AG159" s="2"/>
      <c r="AH159" s="2"/>
      <c r="AN159" s="2"/>
      <c r="AO159" s="2"/>
      <c r="AP159" s="2"/>
      <c r="AQ159" s="2"/>
      <c r="AR159" s="2"/>
      <c r="AS159" s="2"/>
      <c r="AT159" s="2"/>
    </row>
    <row r="160" spans="1:46" s="8" customFormat="1" ht="12" customHeight="1">
      <c r="A160" s="8" t="s">
        <v>19311</v>
      </c>
      <c r="B160" s="16">
        <v>24</v>
      </c>
      <c r="C160" s="8" t="s">
        <v>20</v>
      </c>
      <c r="D160" s="8" t="s">
        <v>48</v>
      </c>
      <c r="E160" s="8" t="s">
        <v>19483</v>
      </c>
      <c r="F160" s="17">
        <v>42303</v>
      </c>
      <c r="G160" s="8" t="s">
        <v>19313</v>
      </c>
      <c r="H160" s="8" t="s">
        <v>1110</v>
      </c>
      <c r="I160" s="8" t="s">
        <v>408</v>
      </c>
      <c r="J160" s="16"/>
      <c r="K160" s="2"/>
      <c r="L160" s="8" t="s">
        <v>19314</v>
      </c>
      <c r="M160" s="8" t="s">
        <v>395</v>
      </c>
      <c r="P160" s="8" t="s">
        <v>405</v>
      </c>
      <c r="Q160" s="12" t="s">
        <v>19312</v>
      </c>
      <c r="S160" s="8" t="s">
        <v>18</v>
      </c>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spans="1:49" s="8" customFormat="1" ht="12">
      <c r="A161" s="8" t="s">
        <v>19390</v>
      </c>
      <c r="B161" s="16">
        <v>57</v>
      </c>
      <c r="C161" s="8" t="s">
        <v>115</v>
      </c>
      <c r="D161" s="8" t="s">
        <v>37</v>
      </c>
      <c r="E161" s="8" t="s">
        <v>19460</v>
      </c>
      <c r="F161" s="17">
        <v>42302</v>
      </c>
      <c r="G161" s="8" t="s">
        <v>20710</v>
      </c>
      <c r="H161" s="8" t="s">
        <v>16072</v>
      </c>
      <c r="I161" s="8" t="s">
        <v>408</v>
      </c>
      <c r="J161" s="16" t="s">
        <v>16073</v>
      </c>
      <c r="K161" s="2" t="s">
        <v>1532</v>
      </c>
      <c r="L161" s="8" t="s">
        <v>515</v>
      </c>
      <c r="M161" s="8" t="s">
        <v>383</v>
      </c>
      <c r="N161" s="8" t="s">
        <v>20711</v>
      </c>
      <c r="O161" s="8" t="s">
        <v>4742</v>
      </c>
      <c r="P161" s="8" t="s">
        <v>405</v>
      </c>
      <c r="Q161" s="12" t="s">
        <v>19391</v>
      </c>
      <c r="R161" s="8" t="s">
        <v>100</v>
      </c>
      <c r="S161" s="8" t="s">
        <v>383</v>
      </c>
      <c r="V161" s="2"/>
      <c r="W161" s="2"/>
      <c r="X161" s="2"/>
      <c r="Y161" s="2"/>
      <c r="Z161" s="2"/>
      <c r="AA161" s="2"/>
      <c r="AB161" s="2"/>
      <c r="AC161" s="2"/>
      <c r="AD161" s="2"/>
      <c r="AE161" s="2"/>
      <c r="AF161" s="2"/>
      <c r="AG161" s="2"/>
      <c r="AH161" s="2"/>
      <c r="AI161" s="2"/>
      <c r="AJ161" s="2"/>
      <c r="AK161" s="2"/>
      <c r="AL161" s="2"/>
      <c r="AM161" s="2"/>
    </row>
    <row r="162" spans="1:49" s="8" customFormat="1" ht="12">
      <c r="A162" s="8" t="s">
        <v>19396</v>
      </c>
      <c r="B162" s="16">
        <v>28</v>
      </c>
      <c r="C162" s="8" t="s">
        <v>20</v>
      </c>
      <c r="D162" s="8" t="s">
        <v>37</v>
      </c>
      <c r="E162" s="8" t="s">
        <v>19462</v>
      </c>
      <c r="F162" s="17">
        <v>42301</v>
      </c>
      <c r="G162" s="8" t="s">
        <v>19398</v>
      </c>
      <c r="H162" s="8" t="s">
        <v>19399</v>
      </c>
      <c r="I162" s="8" t="s">
        <v>69</v>
      </c>
      <c r="J162" s="16"/>
      <c r="K162" s="2"/>
      <c r="L162" s="8" t="s">
        <v>19400</v>
      </c>
      <c r="M162" s="8" t="s">
        <v>27</v>
      </c>
      <c r="P162" s="8" t="s">
        <v>405</v>
      </c>
      <c r="Q162" s="12" t="s">
        <v>19397</v>
      </c>
      <c r="S162" s="8" t="s">
        <v>28</v>
      </c>
      <c r="V162" s="2"/>
      <c r="W162" s="2"/>
      <c r="X162" s="2"/>
      <c r="Y162" s="2"/>
      <c r="Z162" s="2"/>
      <c r="AA162" s="2"/>
      <c r="AB162" s="2"/>
      <c r="AC162" s="2"/>
      <c r="AD162" s="2"/>
      <c r="AE162" s="2"/>
      <c r="AF162" s="2"/>
      <c r="AG162" s="2"/>
      <c r="AH162" s="2"/>
      <c r="AI162" s="2"/>
      <c r="AJ162" s="2"/>
      <c r="AK162" s="2"/>
      <c r="AL162" s="2"/>
      <c r="AM162" s="2"/>
    </row>
    <row r="163" spans="1:49" s="8" customFormat="1" ht="12">
      <c r="A163" s="8" t="s">
        <v>19401</v>
      </c>
      <c r="B163" s="16">
        <v>47</v>
      </c>
      <c r="C163" s="8" t="s">
        <v>20</v>
      </c>
      <c r="D163" s="8" t="s">
        <v>37</v>
      </c>
      <c r="F163" s="17">
        <v>42301</v>
      </c>
      <c r="G163" s="8" t="s">
        <v>19402</v>
      </c>
      <c r="H163" s="8" t="s">
        <v>2678</v>
      </c>
      <c r="I163" s="8" t="s">
        <v>442</v>
      </c>
      <c r="J163" s="16" t="s">
        <v>20698</v>
      </c>
      <c r="K163" s="2" t="s">
        <v>3666</v>
      </c>
      <c r="L163" s="8" t="s">
        <v>20699</v>
      </c>
      <c r="M163" s="8" t="s">
        <v>27</v>
      </c>
      <c r="N163" s="8" t="s">
        <v>20700</v>
      </c>
      <c r="O163" s="8" t="s">
        <v>404</v>
      </c>
      <c r="P163" s="8" t="s">
        <v>405</v>
      </c>
      <c r="Q163" s="12" t="s">
        <v>20701</v>
      </c>
      <c r="R163" s="8" t="s">
        <v>100</v>
      </c>
      <c r="S163" s="8" t="s">
        <v>28</v>
      </c>
      <c r="V163" s="2"/>
      <c r="W163" s="2"/>
      <c r="X163" s="2"/>
      <c r="Y163" s="2"/>
      <c r="Z163" s="2"/>
      <c r="AA163" s="2"/>
      <c r="AB163" s="2"/>
      <c r="AC163" s="2"/>
      <c r="AD163" s="2"/>
      <c r="AE163" s="2"/>
      <c r="AF163" s="2"/>
      <c r="AG163" s="2"/>
      <c r="AH163" s="2"/>
      <c r="AI163" s="2"/>
      <c r="AJ163" s="2"/>
      <c r="AK163" s="2"/>
      <c r="AL163" s="2"/>
      <c r="AM163" s="2"/>
    </row>
    <row r="164" spans="1:49" s="8" customFormat="1" ht="12" customHeight="1">
      <c r="A164" s="8" t="s">
        <v>19273</v>
      </c>
      <c r="B164" s="16">
        <v>30</v>
      </c>
      <c r="C164" s="8" t="s">
        <v>20</v>
      </c>
      <c r="D164" s="8" t="s">
        <v>85</v>
      </c>
      <c r="E164" s="8" t="s">
        <v>19497</v>
      </c>
      <c r="F164" s="17">
        <v>42301</v>
      </c>
      <c r="G164" s="8" t="s">
        <v>19275</v>
      </c>
      <c r="H164" s="8" t="s">
        <v>19276</v>
      </c>
      <c r="I164" s="8" t="s">
        <v>45</v>
      </c>
      <c r="J164" s="16" t="s">
        <v>20702</v>
      </c>
      <c r="K164" s="2" t="s">
        <v>791</v>
      </c>
      <c r="L164" s="8" t="s">
        <v>19277</v>
      </c>
      <c r="M164" s="8" t="s">
        <v>27</v>
      </c>
      <c r="N164" s="8" t="s">
        <v>20703</v>
      </c>
      <c r="O164" s="8" t="s">
        <v>404</v>
      </c>
      <c r="P164" s="8" t="s">
        <v>405</v>
      </c>
      <c r="Q164" s="12" t="s">
        <v>19274</v>
      </c>
      <c r="R164" s="8" t="s">
        <v>29</v>
      </c>
      <c r="S164" s="8" t="s">
        <v>35</v>
      </c>
      <c r="T164" s="13"/>
      <c r="U164" s="13"/>
      <c r="V164" s="2"/>
      <c r="W164" s="2"/>
      <c r="X164" s="2"/>
      <c r="Y164" s="2"/>
      <c r="Z164" s="2"/>
      <c r="AA164" s="2"/>
      <c r="AB164" s="2"/>
      <c r="AC164" s="2"/>
      <c r="AD164" s="2"/>
      <c r="AE164" s="2"/>
      <c r="AF164" s="2"/>
      <c r="AG164" s="2"/>
      <c r="AH164" s="2"/>
      <c r="AN164" s="2"/>
      <c r="AO164" s="2"/>
      <c r="AP164" s="2"/>
      <c r="AQ164" s="2"/>
      <c r="AR164" s="2"/>
      <c r="AS164" s="2"/>
      <c r="AT164" s="2"/>
    </row>
    <row r="165" spans="1:49" s="8" customFormat="1" ht="12" customHeight="1">
      <c r="A165" s="8" t="s">
        <v>19392</v>
      </c>
      <c r="B165" s="16">
        <v>36</v>
      </c>
      <c r="C165" s="8" t="s">
        <v>20</v>
      </c>
      <c r="D165" s="8" t="s">
        <v>37</v>
      </c>
      <c r="E165" s="8" t="s">
        <v>19461</v>
      </c>
      <c r="F165" s="17">
        <v>42301</v>
      </c>
      <c r="G165" s="8" t="s">
        <v>19394</v>
      </c>
      <c r="H165" s="8" t="s">
        <v>19395</v>
      </c>
      <c r="I165" s="8" t="s">
        <v>175</v>
      </c>
      <c r="J165" s="16"/>
      <c r="K165" s="2"/>
      <c r="L165" s="8" t="s">
        <v>5167</v>
      </c>
      <c r="M165" s="8" t="s">
        <v>27</v>
      </c>
      <c r="P165" s="8" t="s">
        <v>405</v>
      </c>
      <c r="Q165" s="12" t="s">
        <v>19393</v>
      </c>
      <c r="S165" s="8" t="s">
        <v>28</v>
      </c>
      <c r="V165" s="2"/>
      <c r="W165" s="2"/>
      <c r="X165" s="2"/>
      <c r="Y165" s="2"/>
      <c r="Z165" s="2"/>
      <c r="AA165" s="2"/>
      <c r="AB165" s="2"/>
      <c r="AC165" s="2"/>
      <c r="AD165" s="2"/>
      <c r="AE165" s="2"/>
      <c r="AF165" s="2"/>
      <c r="AG165" s="2"/>
      <c r="AH165" s="2"/>
      <c r="AI165" s="2"/>
      <c r="AJ165" s="2"/>
      <c r="AK165" s="2"/>
      <c r="AL165" s="2"/>
      <c r="AM165" s="2"/>
      <c r="AU165" s="13"/>
      <c r="AV165" s="13"/>
      <c r="AW165" s="13"/>
    </row>
    <row r="166" spans="1:49" s="8" customFormat="1" ht="12" customHeight="1">
      <c r="A166" s="8" t="s">
        <v>19351</v>
      </c>
      <c r="B166" s="16">
        <v>49</v>
      </c>
      <c r="C166" s="8" t="s">
        <v>20</v>
      </c>
      <c r="D166" s="8" t="s">
        <v>37</v>
      </c>
      <c r="F166" s="17">
        <v>42301</v>
      </c>
      <c r="G166" s="8" t="s">
        <v>20704</v>
      </c>
      <c r="H166" s="8" t="s">
        <v>16784</v>
      </c>
      <c r="I166" s="8" t="s">
        <v>334</v>
      </c>
      <c r="J166" s="16" t="s">
        <v>20705</v>
      </c>
      <c r="K166" s="2" t="s">
        <v>20706</v>
      </c>
      <c r="L166" s="8" t="s">
        <v>11335</v>
      </c>
      <c r="M166" s="8" t="s">
        <v>27</v>
      </c>
      <c r="N166" s="8" t="s">
        <v>20707</v>
      </c>
      <c r="O166" s="8" t="s">
        <v>404</v>
      </c>
      <c r="P166" s="8" t="s">
        <v>405</v>
      </c>
      <c r="Q166" s="12" t="s">
        <v>20708</v>
      </c>
      <c r="R166" s="8" t="s">
        <v>100</v>
      </c>
      <c r="S166" s="8" t="s">
        <v>35</v>
      </c>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13"/>
      <c r="AV166" s="13"/>
      <c r="AW166" s="13"/>
    </row>
    <row r="167" spans="1:49" s="8" customFormat="1" ht="12" customHeight="1">
      <c r="A167" s="8" t="s">
        <v>19315</v>
      </c>
      <c r="B167" s="16">
        <v>34</v>
      </c>
      <c r="C167" s="8" t="s">
        <v>20</v>
      </c>
      <c r="D167" s="8" t="s">
        <v>48</v>
      </c>
      <c r="F167" s="17">
        <v>42301</v>
      </c>
      <c r="G167" s="8" t="s">
        <v>19317</v>
      </c>
      <c r="H167" s="8" t="s">
        <v>791</v>
      </c>
      <c r="I167" s="8" t="s">
        <v>45</v>
      </c>
      <c r="J167" s="16"/>
      <c r="K167" s="2"/>
      <c r="L167" s="8" t="s">
        <v>965</v>
      </c>
      <c r="M167" s="8" t="s">
        <v>27</v>
      </c>
      <c r="P167" s="8" t="s">
        <v>405</v>
      </c>
      <c r="Q167" s="12" t="s">
        <v>19316</v>
      </c>
      <c r="S167" s="8" t="s">
        <v>28</v>
      </c>
      <c r="T167" s="13"/>
      <c r="U167" s="13"/>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spans="1:49" s="8" customFormat="1" ht="12" customHeight="1">
      <c r="A168" s="8" t="s">
        <v>19271</v>
      </c>
      <c r="B168" s="16">
        <v>34</v>
      </c>
      <c r="C168" s="8" t="s">
        <v>20</v>
      </c>
      <c r="D168" s="8" t="s">
        <v>85</v>
      </c>
      <c r="E168" s="8" t="s">
        <v>19496</v>
      </c>
      <c r="F168" s="17">
        <v>42301</v>
      </c>
      <c r="G168" s="8" t="s">
        <v>19272</v>
      </c>
      <c r="H168" s="8" t="s">
        <v>7809</v>
      </c>
      <c r="I168" s="8" t="s">
        <v>62</v>
      </c>
      <c r="J168" s="16" t="s">
        <v>7810</v>
      </c>
      <c r="K168" s="2" t="s">
        <v>5608</v>
      </c>
      <c r="L168" s="8" t="s">
        <v>16135</v>
      </c>
      <c r="M168" s="8" t="s">
        <v>27</v>
      </c>
      <c r="N168" s="8" t="s">
        <v>19532</v>
      </c>
      <c r="O168" s="8" t="s">
        <v>404</v>
      </c>
      <c r="P168" s="8" t="s">
        <v>405</v>
      </c>
      <c r="Q168" s="12" t="s">
        <v>20709</v>
      </c>
      <c r="R168" s="8" t="s">
        <v>100</v>
      </c>
      <c r="S168" s="8" t="s">
        <v>28</v>
      </c>
      <c r="V168" s="2"/>
      <c r="W168" s="2"/>
      <c r="X168" s="2"/>
      <c r="Y168" s="2"/>
      <c r="Z168" s="2"/>
      <c r="AA168" s="2"/>
      <c r="AB168" s="2"/>
      <c r="AC168" s="2"/>
      <c r="AD168" s="2"/>
      <c r="AE168" s="2"/>
      <c r="AF168" s="2"/>
      <c r="AG168" s="2"/>
      <c r="AH168" s="2"/>
      <c r="AN168" s="2"/>
      <c r="AO168" s="2"/>
      <c r="AP168" s="2"/>
      <c r="AQ168" s="2"/>
      <c r="AR168" s="2"/>
      <c r="AS168" s="2"/>
      <c r="AT168" s="2"/>
    </row>
    <row r="169" spans="1:49" s="8" customFormat="1" ht="12" customHeight="1">
      <c r="A169" s="8" t="s">
        <v>19278</v>
      </c>
      <c r="B169" s="16">
        <v>18</v>
      </c>
      <c r="C169" s="8" t="s">
        <v>20</v>
      </c>
      <c r="D169" s="8" t="s">
        <v>85</v>
      </c>
      <c r="E169" s="8" t="s">
        <v>19498</v>
      </c>
      <c r="F169" s="17">
        <v>42300</v>
      </c>
      <c r="G169" s="8" t="s">
        <v>19280</v>
      </c>
      <c r="H169" s="8" t="s">
        <v>16317</v>
      </c>
      <c r="I169" s="8" t="s">
        <v>399</v>
      </c>
      <c r="J169" s="16"/>
      <c r="K169" s="2"/>
      <c r="L169" s="8" t="s">
        <v>1157</v>
      </c>
      <c r="M169" s="8" t="s">
        <v>27</v>
      </c>
      <c r="O169" s="8" t="s">
        <v>404</v>
      </c>
      <c r="P169" s="8" t="s">
        <v>405</v>
      </c>
      <c r="Q169" s="12" t="s">
        <v>19279</v>
      </c>
      <c r="S169" s="8" t="s">
        <v>28</v>
      </c>
      <c r="V169" s="2"/>
      <c r="W169" s="2"/>
      <c r="X169" s="2"/>
      <c r="Y169" s="2"/>
      <c r="Z169" s="2"/>
      <c r="AA169" s="2"/>
      <c r="AB169" s="2"/>
      <c r="AC169" s="2"/>
      <c r="AD169" s="2"/>
      <c r="AE169" s="2"/>
      <c r="AF169" s="2"/>
      <c r="AG169" s="2"/>
      <c r="AH169" s="2"/>
      <c r="AN169" s="2"/>
      <c r="AO169" s="2"/>
      <c r="AP169" s="2"/>
      <c r="AQ169" s="2"/>
      <c r="AR169" s="2"/>
      <c r="AS169" s="2"/>
      <c r="AT169" s="2"/>
    </row>
    <row r="170" spans="1:49" s="8" customFormat="1" ht="12" customHeight="1">
      <c r="A170" s="8" t="s">
        <v>19318</v>
      </c>
      <c r="B170" s="16">
        <v>22</v>
      </c>
      <c r="C170" s="8" t="s">
        <v>20</v>
      </c>
      <c r="D170" s="8" t="s">
        <v>48</v>
      </c>
      <c r="E170" s="8" t="s">
        <v>19482</v>
      </c>
      <c r="F170" s="17">
        <v>42300</v>
      </c>
      <c r="I170" s="8" t="s">
        <v>62</v>
      </c>
      <c r="J170" s="16"/>
      <c r="K170" s="2"/>
      <c r="P170" s="8" t="s">
        <v>405</v>
      </c>
      <c r="Q170" s="12" t="s">
        <v>19319</v>
      </c>
      <c r="S170" s="8" t="s">
        <v>18</v>
      </c>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spans="1:49" s="13" customFormat="1" ht="12" customHeight="1">
      <c r="A171" s="8" t="s">
        <v>19281</v>
      </c>
      <c r="B171" s="16">
        <v>36</v>
      </c>
      <c r="C171" s="8" t="s">
        <v>20</v>
      </c>
      <c r="D171" s="8" t="s">
        <v>85</v>
      </c>
      <c r="E171" s="8" t="s">
        <v>19499</v>
      </c>
      <c r="F171" s="17">
        <v>42299</v>
      </c>
      <c r="G171" s="8" t="s">
        <v>20712</v>
      </c>
      <c r="H171" s="8" t="s">
        <v>19282</v>
      </c>
      <c r="I171" s="8" t="s">
        <v>45</v>
      </c>
      <c r="J171" s="16" t="s">
        <v>19518</v>
      </c>
      <c r="K171" s="2" t="s">
        <v>1658</v>
      </c>
      <c r="L171" s="8" t="s">
        <v>11505</v>
      </c>
      <c r="M171" s="8" t="s">
        <v>27</v>
      </c>
      <c r="N171" s="8" t="s">
        <v>19530</v>
      </c>
      <c r="O171" s="8" t="s">
        <v>404</v>
      </c>
      <c r="P171" s="8" t="s">
        <v>405</v>
      </c>
      <c r="Q171" s="12" t="s">
        <v>20713</v>
      </c>
      <c r="R171" s="8" t="s">
        <v>100</v>
      </c>
      <c r="S171" s="8" t="s">
        <v>28</v>
      </c>
      <c r="T171" s="8"/>
      <c r="U171" s="8"/>
      <c r="V171" s="2"/>
      <c r="W171" s="2"/>
      <c r="X171" s="2"/>
      <c r="Y171" s="2"/>
      <c r="Z171" s="2"/>
      <c r="AA171" s="2"/>
      <c r="AB171" s="2"/>
      <c r="AC171" s="2"/>
      <c r="AD171" s="2"/>
      <c r="AE171" s="2"/>
      <c r="AF171" s="2"/>
      <c r="AG171" s="2"/>
      <c r="AH171" s="2"/>
      <c r="AI171" s="8"/>
      <c r="AJ171" s="8"/>
      <c r="AK171" s="8"/>
      <c r="AL171" s="8"/>
      <c r="AM171" s="8"/>
      <c r="AN171" s="2"/>
      <c r="AO171" s="2"/>
      <c r="AP171" s="2"/>
      <c r="AQ171" s="2"/>
      <c r="AR171" s="2"/>
      <c r="AS171" s="2"/>
      <c r="AT171" s="2"/>
      <c r="AU171" s="8"/>
      <c r="AV171" s="8"/>
      <c r="AW171" s="8"/>
    </row>
    <row r="172" spans="1:49" s="8" customFormat="1" ht="12" customHeight="1">
      <c r="A172" s="8" t="s">
        <v>19283</v>
      </c>
      <c r="B172" s="16">
        <v>38</v>
      </c>
      <c r="C172" s="8" t="s">
        <v>20</v>
      </c>
      <c r="D172" s="8" t="s">
        <v>85</v>
      </c>
      <c r="E172" s="8" t="s">
        <v>19500</v>
      </c>
      <c r="F172" s="17">
        <v>42299</v>
      </c>
      <c r="G172" s="8" t="s">
        <v>19284</v>
      </c>
      <c r="H172" s="8" t="s">
        <v>463</v>
      </c>
      <c r="I172" s="8" t="s">
        <v>25</v>
      </c>
      <c r="J172" s="16" t="s">
        <v>10215</v>
      </c>
      <c r="K172" s="2" t="s">
        <v>5980</v>
      </c>
      <c r="L172" s="8" t="s">
        <v>464</v>
      </c>
      <c r="M172" s="8" t="s">
        <v>27</v>
      </c>
      <c r="N172" s="8" t="s">
        <v>19531</v>
      </c>
      <c r="O172" s="8" t="s">
        <v>404</v>
      </c>
      <c r="P172" s="8" t="s">
        <v>405</v>
      </c>
      <c r="Q172" s="12" t="s">
        <v>20714</v>
      </c>
      <c r="R172" s="8" t="s">
        <v>100</v>
      </c>
      <c r="S172" s="8" t="s">
        <v>28</v>
      </c>
      <c r="V172" s="2"/>
      <c r="W172" s="2"/>
      <c r="X172" s="2"/>
      <c r="Y172" s="2"/>
      <c r="Z172" s="2"/>
      <c r="AA172" s="2"/>
      <c r="AB172" s="2"/>
      <c r="AC172" s="2"/>
      <c r="AD172" s="2"/>
      <c r="AE172" s="2"/>
      <c r="AF172" s="2"/>
      <c r="AG172" s="2"/>
      <c r="AH172" s="2"/>
      <c r="AN172" s="2"/>
      <c r="AO172" s="2"/>
      <c r="AP172" s="2"/>
      <c r="AQ172" s="2"/>
      <c r="AR172" s="2"/>
      <c r="AS172" s="2"/>
      <c r="AT172" s="2"/>
    </row>
    <row r="173" spans="1:49" s="8" customFormat="1" ht="12" customHeight="1">
      <c r="A173" s="8" t="s">
        <v>19352</v>
      </c>
      <c r="B173" s="16">
        <v>53</v>
      </c>
      <c r="C173" s="8" t="s">
        <v>20</v>
      </c>
      <c r="D173" s="8" t="s">
        <v>30</v>
      </c>
      <c r="F173" s="17">
        <v>42299</v>
      </c>
      <c r="G173" s="8" t="s">
        <v>19353</v>
      </c>
      <c r="H173" s="8" t="s">
        <v>19354</v>
      </c>
      <c r="I173" s="8" t="s">
        <v>319</v>
      </c>
      <c r="J173" s="16" t="s">
        <v>20715</v>
      </c>
      <c r="K173" s="2" t="s">
        <v>20716</v>
      </c>
      <c r="L173" s="8" t="s">
        <v>20717</v>
      </c>
      <c r="M173" s="8" t="s">
        <v>27</v>
      </c>
      <c r="N173" s="8" t="s">
        <v>20718</v>
      </c>
      <c r="O173" s="8" t="s">
        <v>404</v>
      </c>
      <c r="P173" s="8" t="s">
        <v>405</v>
      </c>
      <c r="Q173" s="12" t="s">
        <v>20719</v>
      </c>
      <c r="R173" s="8" t="s">
        <v>100</v>
      </c>
      <c r="S173" s="8" t="s">
        <v>35</v>
      </c>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spans="1:49" s="13" customFormat="1" ht="12" customHeight="1">
      <c r="A174" s="8" t="s">
        <v>19355</v>
      </c>
      <c r="B174" s="16">
        <v>36</v>
      </c>
      <c r="C174" s="8" t="s">
        <v>20</v>
      </c>
      <c r="D174" s="8" t="s">
        <v>30</v>
      </c>
      <c r="E174" s="8"/>
      <c r="F174" s="17">
        <v>42298</v>
      </c>
      <c r="G174" s="8" t="s">
        <v>19357</v>
      </c>
      <c r="H174" s="8" t="s">
        <v>12566</v>
      </c>
      <c r="I174" s="8" t="s">
        <v>73</v>
      </c>
      <c r="J174" s="16"/>
      <c r="K174" s="2"/>
      <c r="L174" s="8" t="s">
        <v>12569</v>
      </c>
      <c r="M174" s="8" t="s">
        <v>395</v>
      </c>
      <c r="N174" s="8"/>
      <c r="O174" s="8"/>
      <c r="P174" s="8" t="s">
        <v>405</v>
      </c>
      <c r="Q174" s="12" t="s">
        <v>19356</v>
      </c>
      <c r="R174" s="8"/>
      <c r="S174" s="8" t="s">
        <v>18</v>
      </c>
      <c r="T174" s="8"/>
      <c r="U174" s="8"/>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8"/>
      <c r="AV174" s="8"/>
      <c r="AW174" s="8"/>
    </row>
    <row r="175" spans="1:49" s="8" customFormat="1" ht="12" customHeight="1">
      <c r="A175" s="8" t="s">
        <v>19320</v>
      </c>
      <c r="B175" s="16">
        <v>35</v>
      </c>
      <c r="C175" s="8" t="s">
        <v>20</v>
      </c>
      <c r="D175" s="8" t="s">
        <v>48</v>
      </c>
      <c r="E175" s="8" t="s">
        <v>19481</v>
      </c>
      <c r="F175" s="17">
        <v>42298</v>
      </c>
      <c r="G175" s="8" t="s">
        <v>19321</v>
      </c>
      <c r="H175" s="8" t="s">
        <v>19322</v>
      </c>
      <c r="I175" s="8" t="s">
        <v>45</v>
      </c>
      <c r="J175" s="16" t="s">
        <v>20720</v>
      </c>
      <c r="K175" s="2" t="s">
        <v>10015</v>
      </c>
      <c r="L175" s="8" t="s">
        <v>20721</v>
      </c>
      <c r="M175" s="8" t="s">
        <v>27</v>
      </c>
      <c r="N175" s="8" t="s">
        <v>20722</v>
      </c>
      <c r="O175" s="8" t="s">
        <v>404</v>
      </c>
      <c r="P175" s="8" t="s">
        <v>405</v>
      </c>
      <c r="Q175" s="12" t="s">
        <v>20723</v>
      </c>
      <c r="R175" s="8" t="s">
        <v>100</v>
      </c>
      <c r="S175" s="8" t="s">
        <v>28</v>
      </c>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spans="1:49" s="8" customFormat="1" ht="12" customHeight="1">
      <c r="A176" s="8" t="s">
        <v>19323</v>
      </c>
      <c r="B176" s="16">
        <v>21</v>
      </c>
      <c r="C176" s="8" t="s">
        <v>20</v>
      </c>
      <c r="D176" s="8" t="s">
        <v>48</v>
      </c>
      <c r="E176" s="8" t="s">
        <v>19480</v>
      </c>
      <c r="F176" s="17">
        <v>42298</v>
      </c>
      <c r="G176" s="8" t="s">
        <v>20724</v>
      </c>
      <c r="H176" s="8" t="s">
        <v>1764</v>
      </c>
      <c r="I176" s="8" t="s">
        <v>45</v>
      </c>
      <c r="J176" s="16" t="s">
        <v>20725</v>
      </c>
      <c r="K176" s="2" t="s">
        <v>1175</v>
      </c>
      <c r="L176" s="8" t="s">
        <v>20726</v>
      </c>
      <c r="M176" s="8" t="s">
        <v>27</v>
      </c>
      <c r="N176" s="8" t="s">
        <v>20727</v>
      </c>
      <c r="O176" s="8" t="s">
        <v>404</v>
      </c>
      <c r="P176" s="8" t="s">
        <v>405</v>
      </c>
      <c r="Q176" s="12" t="s">
        <v>20728</v>
      </c>
      <c r="R176" s="8" t="s">
        <v>100</v>
      </c>
      <c r="S176" s="8" t="s">
        <v>18</v>
      </c>
      <c r="V176" s="2"/>
      <c r="W176" s="2"/>
      <c r="X176" s="2"/>
      <c r="AI176" s="2"/>
      <c r="AJ176" s="2"/>
      <c r="AK176" s="2"/>
      <c r="AL176" s="2"/>
      <c r="AM176" s="2"/>
      <c r="AN176" s="2"/>
      <c r="AO176" s="2"/>
      <c r="AP176" s="2"/>
      <c r="AQ176" s="2"/>
      <c r="AR176" s="2"/>
      <c r="AS176" s="2"/>
      <c r="AT176" s="2"/>
    </row>
    <row r="177" spans="1:46" s="8" customFormat="1" ht="12" customHeight="1">
      <c r="A177" s="8" t="s">
        <v>19403</v>
      </c>
      <c r="B177" s="16">
        <v>47</v>
      </c>
      <c r="C177" s="8" t="s">
        <v>20</v>
      </c>
      <c r="D177" s="8" t="s">
        <v>37</v>
      </c>
      <c r="E177" s="8" t="s">
        <v>19463</v>
      </c>
      <c r="F177" s="17">
        <v>42298</v>
      </c>
      <c r="G177" s="8" t="s">
        <v>19404</v>
      </c>
      <c r="H177" s="8" t="s">
        <v>19405</v>
      </c>
      <c r="I177" s="8" t="s">
        <v>57</v>
      </c>
      <c r="J177" s="16" t="s">
        <v>20729</v>
      </c>
      <c r="K177" s="2" t="s">
        <v>2560</v>
      </c>
      <c r="L177" s="8" t="s">
        <v>19406</v>
      </c>
      <c r="M177" s="8" t="s">
        <v>27</v>
      </c>
      <c r="N177" s="8" t="s">
        <v>20730</v>
      </c>
      <c r="O177" s="8" t="s">
        <v>404</v>
      </c>
      <c r="P177" s="8" t="s">
        <v>405</v>
      </c>
      <c r="Q177" s="12" t="s">
        <v>20731</v>
      </c>
      <c r="R177" s="8" t="s">
        <v>559</v>
      </c>
      <c r="S177" s="8" t="s">
        <v>28</v>
      </c>
      <c r="V177" s="2"/>
      <c r="W177" s="2"/>
      <c r="X177" s="2"/>
      <c r="Y177" s="2"/>
      <c r="Z177" s="2"/>
      <c r="AA177" s="2"/>
      <c r="AB177" s="2"/>
      <c r="AC177" s="2"/>
      <c r="AD177" s="2"/>
      <c r="AE177" s="2"/>
      <c r="AF177" s="2"/>
      <c r="AG177" s="2"/>
      <c r="AH177" s="2"/>
      <c r="AI177" s="2"/>
      <c r="AJ177" s="2"/>
      <c r="AK177" s="2"/>
      <c r="AL177" s="2"/>
      <c r="AM177" s="2"/>
    </row>
    <row r="178" spans="1:46" s="8" customFormat="1" ht="12" customHeight="1">
      <c r="A178" s="8" t="s">
        <v>19411</v>
      </c>
      <c r="B178" s="16">
        <v>30</v>
      </c>
      <c r="C178" s="8" t="s">
        <v>20</v>
      </c>
      <c r="D178" s="8" t="s">
        <v>37</v>
      </c>
      <c r="E178" s="8" t="s">
        <v>19465</v>
      </c>
      <c r="F178" s="17">
        <v>42297</v>
      </c>
      <c r="G178" s="8" t="s">
        <v>20732</v>
      </c>
      <c r="H178" s="8" t="s">
        <v>19412</v>
      </c>
      <c r="I178" s="8" t="s">
        <v>25</v>
      </c>
      <c r="J178" s="16" t="s">
        <v>20733</v>
      </c>
      <c r="K178" s="2" t="s">
        <v>18162</v>
      </c>
      <c r="L178" s="8" t="s">
        <v>18163</v>
      </c>
      <c r="M178" s="8" t="s">
        <v>27</v>
      </c>
      <c r="N178" s="8" t="s">
        <v>20734</v>
      </c>
      <c r="O178" s="8" t="s">
        <v>404</v>
      </c>
      <c r="P178" s="8" t="s">
        <v>405</v>
      </c>
      <c r="Q178" s="12" t="s">
        <v>20735</v>
      </c>
      <c r="R178" s="8" t="s">
        <v>100</v>
      </c>
      <c r="S178" s="8" t="s">
        <v>28</v>
      </c>
      <c r="V178" s="2"/>
      <c r="W178" s="2"/>
      <c r="X178" s="2"/>
      <c r="Y178" s="2"/>
      <c r="Z178" s="2"/>
      <c r="AA178" s="2"/>
      <c r="AB178" s="2"/>
      <c r="AC178" s="2"/>
      <c r="AD178" s="2"/>
      <c r="AE178" s="2"/>
      <c r="AF178" s="2"/>
      <c r="AG178" s="2"/>
      <c r="AH178" s="2"/>
      <c r="AI178" s="2"/>
      <c r="AJ178" s="2"/>
      <c r="AK178" s="2"/>
      <c r="AL178" s="2"/>
      <c r="AM178" s="2"/>
    </row>
    <row r="179" spans="1:46" s="8" customFormat="1" ht="12" customHeight="1">
      <c r="A179" s="8" t="s">
        <v>20667</v>
      </c>
      <c r="B179" s="16" t="s">
        <v>29</v>
      </c>
      <c r="C179" s="8" t="s">
        <v>20</v>
      </c>
      <c r="D179" s="8" t="s">
        <v>85</v>
      </c>
      <c r="F179" s="17">
        <v>42297</v>
      </c>
      <c r="G179" s="8" t="s">
        <v>19358</v>
      </c>
      <c r="H179" s="8" t="s">
        <v>98</v>
      </c>
      <c r="I179" s="8" t="s">
        <v>45</v>
      </c>
      <c r="J179" s="16" t="s">
        <v>20745</v>
      </c>
      <c r="K179" s="2" t="s">
        <v>98</v>
      </c>
      <c r="L179" s="8" t="s">
        <v>20561</v>
      </c>
      <c r="M179" s="8" t="s">
        <v>27</v>
      </c>
      <c r="N179" s="8" t="s">
        <v>20746</v>
      </c>
      <c r="O179" s="8" t="s">
        <v>404</v>
      </c>
      <c r="P179" s="8" t="s">
        <v>405</v>
      </c>
      <c r="Q179" s="12" t="s">
        <v>20747</v>
      </c>
      <c r="R179" s="8" t="s">
        <v>29</v>
      </c>
      <c r="S179" s="8" t="s">
        <v>383</v>
      </c>
      <c r="V179" s="2"/>
      <c r="W179" s="2"/>
      <c r="X179" s="2"/>
      <c r="Y179" s="2"/>
      <c r="Z179" s="2"/>
      <c r="AA179" s="2"/>
      <c r="AB179" s="2"/>
      <c r="AC179" s="2"/>
      <c r="AD179" s="2"/>
      <c r="AE179" s="2"/>
      <c r="AF179" s="2"/>
      <c r="AG179" s="2"/>
      <c r="AH179" s="2"/>
      <c r="AN179" s="2"/>
      <c r="AO179" s="2"/>
      <c r="AP179" s="2"/>
      <c r="AQ179" s="2"/>
      <c r="AR179" s="2"/>
      <c r="AS179" s="2"/>
      <c r="AT179" s="2"/>
    </row>
    <row r="180" spans="1:46" s="8" customFormat="1" ht="12" customHeight="1">
      <c r="A180" s="8" t="s">
        <v>19324</v>
      </c>
      <c r="B180" s="16">
        <v>40</v>
      </c>
      <c r="C180" s="8" t="s">
        <v>20</v>
      </c>
      <c r="D180" s="8" t="s">
        <v>48</v>
      </c>
      <c r="E180" s="8" t="s">
        <v>19479</v>
      </c>
      <c r="F180" s="17">
        <v>42297</v>
      </c>
      <c r="H180" s="8" t="s">
        <v>19326</v>
      </c>
      <c r="I180" s="8" t="s">
        <v>198</v>
      </c>
      <c r="J180" s="16"/>
      <c r="K180" s="2"/>
      <c r="L180" s="8" t="s">
        <v>19327</v>
      </c>
      <c r="M180" s="8" t="s">
        <v>27</v>
      </c>
      <c r="P180" s="8" t="s">
        <v>405</v>
      </c>
      <c r="Q180" s="12" t="s">
        <v>19325</v>
      </c>
      <c r="S180" s="8" t="s">
        <v>28</v>
      </c>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spans="1:46" s="8" customFormat="1" ht="12" customHeight="1">
      <c r="A181" s="8" t="s">
        <v>19407</v>
      </c>
      <c r="B181" s="16">
        <v>21</v>
      </c>
      <c r="C181" s="8" t="s">
        <v>20</v>
      </c>
      <c r="D181" s="8" t="s">
        <v>37</v>
      </c>
      <c r="E181" s="8" t="s">
        <v>19464</v>
      </c>
      <c r="F181" s="17">
        <v>42297</v>
      </c>
      <c r="G181" s="8" t="s">
        <v>19408</v>
      </c>
      <c r="H181" s="8" t="s">
        <v>19409</v>
      </c>
      <c r="I181" s="8" t="s">
        <v>374</v>
      </c>
      <c r="J181" s="16" t="s">
        <v>20736</v>
      </c>
      <c r="K181" s="2" t="s">
        <v>20737</v>
      </c>
      <c r="L181" s="8" t="s">
        <v>19410</v>
      </c>
      <c r="M181" s="8" t="s">
        <v>27</v>
      </c>
      <c r="N181" s="8" t="s">
        <v>20738</v>
      </c>
      <c r="O181" s="8" t="s">
        <v>404</v>
      </c>
      <c r="P181" s="8" t="s">
        <v>405</v>
      </c>
      <c r="Q181" s="12" t="s">
        <v>20739</v>
      </c>
      <c r="R181" s="8" t="s">
        <v>100</v>
      </c>
      <c r="S181" s="8" t="s">
        <v>28</v>
      </c>
      <c r="V181" s="2"/>
      <c r="W181" s="2"/>
      <c r="X181" s="2"/>
      <c r="Y181" s="2"/>
      <c r="Z181" s="2"/>
      <c r="AA181" s="2"/>
      <c r="AB181" s="2"/>
      <c r="AC181" s="2"/>
      <c r="AD181" s="2"/>
      <c r="AE181" s="2"/>
      <c r="AF181" s="2"/>
      <c r="AG181" s="2"/>
      <c r="AH181" s="2"/>
      <c r="AI181" s="2"/>
      <c r="AJ181" s="2"/>
      <c r="AK181" s="2"/>
      <c r="AL181" s="2"/>
      <c r="AM181" s="2"/>
    </row>
    <row r="182" spans="1:46" s="8" customFormat="1" ht="12" customHeight="1">
      <c r="A182" s="8" t="s">
        <v>19413</v>
      </c>
      <c r="B182" s="16">
        <v>47</v>
      </c>
      <c r="C182" s="8" t="s">
        <v>20</v>
      </c>
      <c r="D182" s="8" t="s">
        <v>37</v>
      </c>
      <c r="E182" s="8" t="s">
        <v>19466</v>
      </c>
      <c r="F182" s="17">
        <v>42297</v>
      </c>
      <c r="G182" s="8" t="s">
        <v>19415</v>
      </c>
      <c r="H182" s="8" t="s">
        <v>19416</v>
      </c>
      <c r="I182" s="8" t="s">
        <v>367</v>
      </c>
      <c r="J182" s="16"/>
      <c r="K182" s="2"/>
      <c r="L182" s="8" t="s">
        <v>4205</v>
      </c>
      <c r="M182" s="8" t="s">
        <v>395</v>
      </c>
      <c r="P182" s="8" t="s">
        <v>405</v>
      </c>
      <c r="Q182" s="12" t="s">
        <v>19414</v>
      </c>
      <c r="S182" s="8" t="s">
        <v>18</v>
      </c>
      <c r="V182" s="2"/>
      <c r="W182" s="2"/>
      <c r="X182" s="2"/>
      <c r="Y182" s="2"/>
      <c r="Z182" s="2"/>
      <c r="AA182" s="2"/>
      <c r="AB182" s="2"/>
      <c r="AC182" s="2"/>
      <c r="AD182" s="2"/>
      <c r="AE182" s="2"/>
      <c r="AF182" s="2"/>
      <c r="AG182" s="2"/>
      <c r="AH182" s="2"/>
      <c r="AI182" s="2"/>
      <c r="AJ182" s="2"/>
      <c r="AK182" s="2"/>
      <c r="AL182" s="2"/>
      <c r="AM182" s="2"/>
    </row>
    <row r="183" spans="1:46" s="8" customFormat="1" ht="12" customHeight="1">
      <c r="A183" s="8" t="s">
        <v>19285</v>
      </c>
      <c r="B183" s="16">
        <v>39</v>
      </c>
      <c r="C183" s="8" t="s">
        <v>20</v>
      </c>
      <c r="D183" s="8" t="s">
        <v>85</v>
      </c>
      <c r="E183" s="8" t="s">
        <v>19501</v>
      </c>
      <c r="F183" s="17">
        <v>42297</v>
      </c>
      <c r="G183" s="8" t="s">
        <v>19286</v>
      </c>
      <c r="H183" s="8" t="s">
        <v>158</v>
      </c>
      <c r="I183" s="8" t="s">
        <v>45</v>
      </c>
      <c r="J183" s="16" t="s">
        <v>11562</v>
      </c>
      <c r="K183" s="2" t="s">
        <v>158</v>
      </c>
      <c r="L183" s="8" t="s">
        <v>159</v>
      </c>
      <c r="M183" s="8" t="s">
        <v>27</v>
      </c>
      <c r="N183" s="8" t="s">
        <v>19529</v>
      </c>
      <c r="O183" s="8" t="s">
        <v>1018</v>
      </c>
      <c r="P183" s="8" t="s">
        <v>405</v>
      </c>
      <c r="Q183" s="12" t="s">
        <v>20740</v>
      </c>
      <c r="R183" s="8" t="s">
        <v>100</v>
      </c>
      <c r="S183" s="8" t="s">
        <v>18</v>
      </c>
      <c r="V183" s="2"/>
      <c r="W183" s="2"/>
      <c r="X183" s="2"/>
      <c r="Y183" s="2"/>
      <c r="Z183" s="2"/>
      <c r="AA183" s="2"/>
      <c r="AB183" s="2"/>
      <c r="AC183" s="2"/>
      <c r="AD183" s="2"/>
      <c r="AE183" s="2"/>
      <c r="AF183" s="2"/>
      <c r="AG183" s="2"/>
      <c r="AH183" s="2"/>
      <c r="AN183" s="2"/>
      <c r="AO183" s="2"/>
      <c r="AP183" s="2"/>
      <c r="AQ183" s="2"/>
      <c r="AR183" s="2"/>
      <c r="AS183" s="2"/>
      <c r="AT183" s="2"/>
    </row>
    <row r="184" spans="1:46" s="8" customFormat="1" ht="12" customHeight="1">
      <c r="A184" s="8" t="s">
        <v>19417</v>
      </c>
      <c r="B184" s="16">
        <v>30</v>
      </c>
      <c r="C184" s="8" t="s">
        <v>20</v>
      </c>
      <c r="D184" s="8" t="s">
        <v>37</v>
      </c>
      <c r="E184" s="8" t="s">
        <v>19467</v>
      </c>
      <c r="F184" s="17">
        <v>42297</v>
      </c>
      <c r="G184" s="8" t="s">
        <v>20741</v>
      </c>
      <c r="H184" s="8" t="s">
        <v>898</v>
      </c>
      <c r="I184" s="8" t="s">
        <v>319</v>
      </c>
      <c r="J184" s="16" t="s">
        <v>20742</v>
      </c>
      <c r="K184" s="2" t="s">
        <v>1795</v>
      </c>
      <c r="L184" s="8" t="s">
        <v>19418</v>
      </c>
      <c r="M184" s="8" t="s">
        <v>27</v>
      </c>
      <c r="N184" s="8" t="s">
        <v>20743</v>
      </c>
      <c r="O184" s="8" t="s">
        <v>404</v>
      </c>
      <c r="P184" s="8" t="s">
        <v>405</v>
      </c>
      <c r="Q184" s="12" t="s">
        <v>20744</v>
      </c>
      <c r="R184" s="8" t="s">
        <v>100</v>
      </c>
      <c r="S184" s="8" t="s">
        <v>18</v>
      </c>
      <c r="V184" s="2"/>
      <c r="W184" s="2"/>
      <c r="X184" s="2"/>
      <c r="Y184" s="2"/>
      <c r="Z184" s="2"/>
      <c r="AA184" s="2"/>
      <c r="AB184" s="2"/>
      <c r="AC184" s="2"/>
      <c r="AD184" s="2"/>
      <c r="AE184" s="2"/>
      <c r="AF184" s="2"/>
      <c r="AG184" s="2"/>
      <c r="AH184" s="2"/>
      <c r="AI184" s="2"/>
      <c r="AJ184" s="2"/>
      <c r="AK184" s="2"/>
      <c r="AL184" s="2"/>
      <c r="AM184" s="2"/>
    </row>
    <row r="185" spans="1:46" s="8" customFormat="1" ht="12" customHeight="1">
      <c r="A185" s="8" t="s">
        <v>19287</v>
      </c>
      <c r="B185" s="16">
        <v>31</v>
      </c>
      <c r="C185" s="8" t="s">
        <v>20</v>
      </c>
      <c r="D185" s="8" t="s">
        <v>85</v>
      </c>
      <c r="E185" s="8" t="s">
        <v>19502</v>
      </c>
      <c r="F185" s="17">
        <v>42295</v>
      </c>
      <c r="G185" s="8" t="s">
        <v>20748</v>
      </c>
      <c r="H185" s="8" t="s">
        <v>5387</v>
      </c>
      <c r="I185" s="8" t="s">
        <v>62</v>
      </c>
      <c r="J185" s="16" t="s">
        <v>5599</v>
      </c>
      <c r="K185" s="2" t="s">
        <v>5387</v>
      </c>
      <c r="L185" s="8" t="s">
        <v>5600</v>
      </c>
      <c r="M185" s="8" t="s">
        <v>27</v>
      </c>
      <c r="N185" s="8" t="s">
        <v>19528</v>
      </c>
      <c r="O185" s="8" t="s">
        <v>404</v>
      </c>
      <c r="P185" s="8" t="s">
        <v>405</v>
      </c>
      <c r="Q185" s="12" t="s">
        <v>20749</v>
      </c>
      <c r="R185" s="8" t="s">
        <v>100</v>
      </c>
      <c r="S185" s="8" t="s">
        <v>28</v>
      </c>
      <c r="V185" s="2"/>
      <c r="W185" s="2"/>
      <c r="X185" s="2"/>
      <c r="Y185" s="2"/>
      <c r="Z185" s="2"/>
      <c r="AA185" s="2"/>
      <c r="AB185" s="2"/>
      <c r="AC185" s="2"/>
      <c r="AD185" s="2"/>
      <c r="AE185" s="2"/>
      <c r="AF185" s="2"/>
      <c r="AG185" s="2"/>
      <c r="AH185" s="2"/>
      <c r="AN185" s="2"/>
      <c r="AO185" s="2"/>
      <c r="AP185" s="2"/>
      <c r="AQ185" s="2"/>
      <c r="AR185" s="2"/>
      <c r="AS185" s="2"/>
      <c r="AT185" s="2"/>
    </row>
    <row r="186" spans="1:46" s="8" customFormat="1" ht="12" customHeight="1">
      <c r="A186" s="8" t="s">
        <v>19419</v>
      </c>
      <c r="B186" s="16">
        <v>50</v>
      </c>
      <c r="C186" s="8" t="s">
        <v>20</v>
      </c>
      <c r="D186" s="8" t="s">
        <v>37</v>
      </c>
      <c r="E186" s="8" t="s">
        <v>19468</v>
      </c>
      <c r="F186" s="17">
        <v>42295</v>
      </c>
      <c r="I186" s="8" t="s">
        <v>135</v>
      </c>
      <c r="J186" s="16"/>
      <c r="K186" s="2"/>
      <c r="P186" s="8" t="s">
        <v>405</v>
      </c>
      <c r="Q186" s="12" t="s">
        <v>19420</v>
      </c>
      <c r="S186" s="8" t="s">
        <v>28</v>
      </c>
      <c r="V186" s="2"/>
      <c r="W186" s="2"/>
      <c r="X186" s="2"/>
      <c r="Y186" s="2"/>
      <c r="Z186" s="2"/>
      <c r="AA186" s="2"/>
      <c r="AB186" s="2"/>
      <c r="AC186" s="2"/>
      <c r="AD186" s="2"/>
      <c r="AE186" s="2"/>
      <c r="AF186" s="2"/>
      <c r="AG186" s="2"/>
      <c r="AH186" s="2"/>
      <c r="AI186" s="2"/>
      <c r="AJ186" s="2"/>
      <c r="AK186" s="2"/>
      <c r="AL186" s="2"/>
      <c r="AM186" s="2"/>
    </row>
    <row r="187" spans="1:46" s="8" customFormat="1" ht="12" customHeight="1">
      <c r="A187" s="8" t="s">
        <v>19421</v>
      </c>
      <c r="B187" s="16">
        <v>28</v>
      </c>
      <c r="C187" s="8" t="s">
        <v>20</v>
      </c>
      <c r="D187" s="8" t="s">
        <v>37</v>
      </c>
      <c r="E187" s="8" t="s">
        <v>19469</v>
      </c>
      <c r="F187" s="17">
        <v>42295</v>
      </c>
      <c r="G187" s="8" t="s">
        <v>20750</v>
      </c>
      <c r="H187" s="8" t="s">
        <v>203</v>
      </c>
      <c r="I187" s="8" t="s">
        <v>45</v>
      </c>
      <c r="J187" s="16" t="s">
        <v>20751</v>
      </c>
      <c r="K187" s="2" t="s">
        <v>203</v>
      </c>
      <c r="L187" s="8" t="s">
        <v>204</v>
      </c>
      <c r="M187" s="8" t="s">
        <v>27</v>
      </c>
      <c r="N187" s="8" t="s">
        <v>20752</v>
      </c>
      <c r="O187" s="8" t="s">
        <v>404</v>
      </c>
      <c r="P187" s="8" t="s">
        <v>405</v>
      </c>
      <c r="Q187" s="12" t="s">
        <v>20753</v>
      </c>
      <c r="R187" s="8" t="s">
        <v>100</v>
      </c>
      <c r="S187" s="8" t="s">
        <v>35</v>
      </c>
      <c r="V187" s="2"/>
      <c r="W187" s="2"/>
      <c r="X187" s="2"/>
      <c r="Y187" s="2"/>
      <c r="Z187" s="2"/>
      <c r="AA187" s="2"/>
      <c r="AB187" s="2"/>
      <c r="AC187" s="2"/>
      <c r="AD187" s="2"/>
      <c r="AE187" s="2"/>
      <c r="AF187" s="2"/>
      <c r="AG187" s="2"/>
      <c r="AH187" s="2"/>
      <c r="AI187" s="2"/>
      <c r="AJ187" s="2"/>
      <c r="AK187" s="2"/>
      <c r="AL187" s="2"/>
      <c r="AM187" s="2"/>
    </row>
    <row r="188" spans="1:46" s="8" customFormat="1" ht="12">
      <c r="A188" s="8" t="s">
        <v>19328</v>
      </c>
      <c r="B188" s="16">
        <v>37</v>
      </c>
      <c r="C188" s="8" t="s">
        <v>20</v>
      </c>
      <c r="D188" s="8" t="s">
        <v>48</v>
      </c>
      <c r="E188" s="8" t="s">
        <v>19453</v>
      </c>
      <c r="F188" s="17">
        <v>42295</v>
      </c>
      <c r="I188" s="8" t="s">
        <v>73</v>
      </c>
      <c r="J188" s="16"/>
      <c r="K188" s="2"/>
      <c r="P188" s="8" t="s">
        <v>405</v>
      </c>
      <c r="Q188" s="12" t="s">
        <v>19329</v>
      </c>
      <c r="S188" s="8" t="s">
        <v>18</v>
      </c>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spans="1:46" s="8" customFormat="1" ht="12" customHeight="1">
      <c r="A189" s="8" t="s">
        <v>19288</v>
      </c>
      <c r="B189" s="16">
        <v>28</v>
      </c>
      <c r="C189" s="8" t="s">
        <v>20</v>
      </c>
      <c r="D189" s="8" t="s">
        <v>85</v>
      </c>
      <c r="E189" s="8" t="s">
        <v>19503</v>
      </c>
      <c r="F189" s="17">
        <v>42294</v>
      </c>
      <c r="G189" s="8" t="s">
        <v>20754</v>
      </c>
      <c r="H189" s="8" t="s">
        <v>1620</v>
      </c>
      <c r="I189" s="8" t="s">
        <v>408</v>
      </c>
      <c r="J189" s="16" t="s">
        <v>19517</v>
      </c>
      <c r="K189" s="2" t="s">
        <v>1620</v>
      </c>
      <c r="L189" s="8" t="s">
        <v>19289</v>
      </c>
      <c r="M189" s="8" t="s">
        <v>27</v>
      </c>
      <c r="N189" s="8" t="s">
        <v>19527</v>
      </c>
      <c r="O189" s="8" t="s">
        <v>404</v>
      </c>
      <c r="P189" s="8" t="s">
        <v>405</v>
      </c>
      <c r="Q189" s="12" t="s">
        <v>20755</v>
      </c>
      <c r="R189" s="8" t="s">
        <v>100</v>
      </c>
      <c r="S189" s="8" t="s">
        <v>28</v>
      </c>
      <c r="V189" s="2"/>
      <c r="W189" s="2"/>
      <c r="X189" s="2"/>
      <c r="Y189" s="2"/>
      <c r="Z189" s="2"/>
      <c r="AA189" s="2"/>
      <c r="AB189" s="2"/>
      <c r="AC189" s="2"/>
      <c r="AD189" s="2"/>
      <c r="AE189" s="2"/>
      <c r="AF189" s="2"/>
      <c r="AG189" s="2"/>
      <c r="AH189" s="2"/>
      <c r="AN189" s="2"/>
      <c r="AO189" s="2"/>
      <c r="AP189" s="2"/>
      <c r="AQ189" s="2"/>
      <c r="AR189" s="2"/>
      <c r="AS189" s="2"/>
      <c r="AT189" s="2"/>
    </row>
    <row r="190" spans="1:46" s="8" customFormat="1" ht="12">
      <c r="A190" s="8" t="s">
        <v>19330</v>
      </c>
      <c r="B190" s="16">
        <v>22</v>
      </c>
      <c r="C190" s="8" t="s">
        <v>20</v>
      </c>
      <c r="D190" s="8" t="s">
        <v>48</v>
      </c>
      <c r="E190" s="8" t="s">
        <v>19452</v>
      </c>
      <c r="F190" s="17">
        <v>42294</v>
      </c>
      <c r="G190" s="8" t="s">
        <v>19331</v>
      </c>
      <c r="H190" s="8" t="s">
        <v>10356</v>
      </c>
      <c r="I190" s="8" t="s">
        <v>45</v>
      </c>
      <c r="J190" s="16" t="s">
        <v>3238</v>
      </c>
      <c r="K190" s="2" t="s">
        <v>3239</v>
      </c>
      <c r="L190" s="8" t="s">
        <v>10358</v>
      </c>
      <c r="M190" s="8" t="s">
        <v>27</v>
      </c>
      <c r="N190" s="8" t="s">
        <v>20756</v>
      </c>
      <c r="O190" s="8" t="s">
        <v>404</v>
      </c>
      <c r="P190" s="8" t="s">
        <v>405</v>
      </c>
      <c r="Q190" s="12" t="s">
        <v>20757</v>
      </c>
      <c r="R190" s="8" t="s">
        <v>100</v>
      </c>
      <c r="S190" s="8" t="s">
        <v>18</v>
      </c>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spans="1:46" s="8" customFormat="1" ht="12" customHeight="1">
      <c r="A191" s="8" t="s">
        <v>19293</v>
      </c>
      <c r="B191" s="16">
        <v>18</v>
      </c>
      <c r="C191" s="8" t="s">
        <v>20</v>
      </c>
      <c r="D191" s="8" t="s">
        <v>85</v>
      </c>
      <c r="E191" s="8" t="s">
        <v>19489</v>
      </c>
      <c r="F191" s="17">
        <v>42294</v>
      </c>
      <c r="G191" s="8" t="s">
        <v>19295</v>
      </c>
      <c r="H191" s="8" t="s">
        <v>882</v>
      </c>
      <c r="I191" s="8" t="s">
        <v>247</v>
      </c>
      <c r="J191" s="16" t="s">
        <v>19515</v>
      </c>
      <c r="K191" s="2" t="s">
        <v>19516</v>
      </c>
      <c r="L191" s="8" t="s">
        <v>883</v>
      </c>
      <c r="M191" s="8" t="s">
        <v>27</v>
      </c>
      <c r="N191" s="8" t="s">
        <v>19526</v>
      </c>
      <c r="O191" s="8" t="s">
        <v>404</v>
      </c>
      <c r="P191" s="8" t="s">
        <v>405</v>
      </c>
      <c r="Q191" s="12" t="s">
        <v>19294</v>
      </c>
      <c r="R191" s="8" t="s">
        <v>100</v>
      </c>
      <c r="S191" s="8" t="s">
        <v>18</v>
      </c>
      <c r="Y191" s="2"/>
      <c r="Z191" s="2"/>
      <c r="AA191" s="2"/>
      <c r="AB191" s="2"/>
      <c r="AC191" s="2"/>
      <c r="AD191" s="2"/>
      <c r="AE191" s="2"/>
      <c r="AF191" s="2"/>
      <c r="AG191" s="2"/>
      <c r="AH191" s="2"/>
      <c r="AN191" s="2"/>
      <c r="AO191" s="2"/>
      <c r="AP191" s="2"/>
      <c r="AQ191" s="2"/>
      <c r="AR191" s="2"/>
      <c r="AS191" s="2"/>
      <c r="AT191" s="2"/>
    </row>
    <row r="192" spans="1:46" s="8" customFormat="1" ht="12">
      <c r="A192" s="8" t="s">
        <v>19290</v>
      </c>
      <c r="B192" s="16">
        <v>30</v>
      </c>
      <c r="C192" s="8" t="s">
        <v>20</v>
      </c>
      <c r="D192" s="8" t="s">
        <v>85</v>
      </c>
      <c r="E192" s="8" t="s">
        <v>19504</v>
      </c>
      <c r="F192" s="17">
        <v>42294</v>
      </c>
      <c r="G192" s="8" t="s">
        <v>19292</v>
      </c>
      <c r="H192" s="8" t="s">
        <v>6106</v>
      </c>
      <c r="I192" s="8" t="s">
        <v>45</v>
      </c>
      <c r="J192" s="16"/>
      <c r="K192" s="2"/>
      <c r="L192" s="8" t="s">
        <v>19953</v>
      </c>
      <c r="M192" s="8" t="s">
        <v>27</v>
      </c>
      <c r="O192" s="8" t="s">
        <v>404</v>
      </c>
      <c r="P192" s="8" t="s">
        <v>405</v>
      </c>
      <c r="Q192" s="12" t="s">
        <v>19291</v>
      </c>
      <c r="S192" s="8" t="s">
        <v>18</v>
      </c>
      <c r="V192" s="2"/>
      <c r="W192" s="2"/>
      <c r="X192" s="2"/>
      <c r="Y192" s="2"/>
      <c r="Z192" s="2"/>
      <c r="AA192" s="2"/>
      <c r="AB192" s="2"/>
      <c r="AC192" s="2"/>
      <c r="AD192" s="2"/>
      <c r="AE192" s="2"/>
      <c r="AF192" s="2"/>
      <c r="AG192" s="2"/>
      <c r="AH192" s="2"/>
      <c r="AN192" s="2"/>
      <c r="AO192" s="2"/>
      <c r="AP192" s="2"/>
      <c r="AQ192" s="2"/>
      <c r="AR192" s="2"/>
      <c r="AS192" s="2"/>
      <c r="AT192" s="2"/>
    </row>
    <row r="193" spans="1:49" s="8" customFormat="1" ht="12">
      <c r="A193" s="8" t="s">
        <v>19296</v>
      </c>
      <c r="B193" s="16">
        <v>33</v>
      </c>
      <c r="C193" s="8" t="s">
        <v>20</v>
      </c>
      <c r="D193" s="8" t="s">
        <v>85</v>
      </c>
      <c r="E193" s="8" t="s">
        <v>19488</v>
      </c>
      <c r="F193" s="17">
        <v>42294</v>
      </c>
      <c r="G193" s="8" t="s">
        <v>19297</v>
      </c>
      <c r="H193" s="8" t="s">
        <v>1300</v>
      </c>
      <c r="I193" s="8" t="s">
        <v>675</v>
      </c>
      <c r="J193" s="16" t="s">
        <v>19514</v>
      </c>
      <c r="K193" s="2" t="s">
        <v>3031</v>
      </c>
      <c r="L193" s="8" t="s">
        <v>3442</v>
      </c>
      <c r="M193" s="8" t="s">
        <v>27</v>
      </c>
      <c r="N193" s="8" t="s">
        <v>19525</v>
      </c>
      <c r="O193" s="8" t="s">
        <v>404</v>
      </c>
      <c r="P193" s="8" t="s">
        <v>405</v>
      </c>
      <c r="Q193" s="12" t="s">
        <v>20761</v>
      </c>
      <c r="R193" s="8" t="s">
        <v>100</v>
      </c>
      <c r="S193" s="8" t="s">
        <v>35</v>
      </c>
      <c r="V193" s="2"/>
      <c r="W193" s="2"/>
      <c r="X193" s="2"/>
      <c r="Y193" s="2"/>
      <c r="Z193" s="2"/>
      <c r="AA193" s="2"/>
      <c r="AB193" s="2"/>
      <c r="AC193" s="2"/>
      <c r="AD193" s="2"/>
      <c r="AE193" s="2"/>
      <c r="AF193" s="2"/>
      <c r="AG193" s="2"/>
      <c r="AH193" s="2"/>
      <c r="AN193" s="2"/>
      <c r="AO193" s="2"/>
      <c r="AP193" s="2"/>
      <c r="AQ193" s="2"/>
      <c r="AR193" s="2"/>
      <c r="AS193" s="2"/>
      <c r="AT193" s="2"/>
    </row>
    <row r="194" spans="1:49" s="8" customFormat="1" ht="12">
      <c r="A194" s="8" t="s">
        <v>19361</v>
      </c>
      <c r="B194" s="16">
        <v>27</v>
      </c>
      <c r="C194" s="8" t="s">
        <v>20</v>
      </c>
      <c r="D194" s="8" t="s">
        <v>30</v>
      </c>
      <c r="F194" s="17">
        <v>42293</v>
      </c>
      <c r="I194" s="8" t="s">
        <v>272</v>
      </c>
      <c r="J194" s="16"/>
      <c r="K194" s="2"/>
      <c r="P194" s="8" t="s">
        <v>405</v>
      </c>
      <c r="Q194" s="12" t="s">
        <v>19362</v>
      </c>
      <c r="S194" s="8" t="s">
        <v>28</v>
      </c>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spans="1:49" s="8" customFormat="1" ht="12">
      <c r="A195" s="8" t="s">
        <v>19359</v>
      </c>
      <c r="B195" s="16">
        <v>45</v>
      </c>
      <c r="C195" s="8" t="s">
        <v>20</v>
      </c>
      <c r="D195" s="8" t="s">
        <v>30</v>
      </c>
      <c r="F195" s="17">
        <v>42293</v>
      </c>
      <c r="I195" s="8" t="s">
        <v>175</v>
      </c>
      <c r="J195" s="16"/>
      <c r="K195" s="2"/>
      <c r="P195" s="8" t="s">
        <v>405</v>
      </c>
      <c r="Q195" s="12" t="s">
        <v>19360</v>
      </c>
      <c r="S195" s="8" t="s">
        <v>28</v>
      </c>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spans="1:49" s="8" customFormat="1" ht="12">
      <c r="A196" s="8" t="s">
        <v>19332</v>
      </c>
      <c r="B196" s="16">
        <v>25</v>
      </c>
      <c r="C196" s="8" t="s">
        <v>20</v>
      </c>
      <c r="D196" s="8" t="s">
        <v>48</v>
      </c>
      <c r="F196" s="17">
        <v>42293</v>
      </c>
      <c r="G196" s="8" t="s">
        <v>20758</v>
      </c>
      <c r="H196" s="8" t="s">
        <v>16170</v>
      </c>
      <c r="I196" s="8" t="s">
        <v>45</v>
      </c>
      <c r="J196" s="16" t="s">
        <v>16171</v>
      </c>
      <c r="K196" s="2" t="s">
        <v>98</v>
      </c>
      <c r="L196" s="8" t="s">
        <v>20561</v>
      </c>
      <c r="M196" s="8" t="s">
        <v>27</v>
      </c>
      <c r="N196" s="8" t="s">
        <v>20759</v>
      </c>
      <c r="O196" s="8" t="s">
        <v>404</v>
      </c>
      <c r="P196" s="8" t="s">
        <v>405</v>
      </c>
      <c r="Q196" s="12" t="s">
        <v>20760</v>
      </c>
      <c r="R196" s="8" t="s">
        <v>100</v>
      </c>
      <c r="S196" s="8" t="s">
        <v>18</v>
      </c>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spans="1:49" s="8" customFormat="1" ht="12" customHeight="1">
      <c r="A197" s="8" t="s">
        <v>19347</v>
      </c>
      <c r="B197" s="16" t="s">
        <v>29</v>
      </c>
      <c r="C197" s="8" t="s">
        <v>20</v>
      </c>
      <c r="D197" s="8" t="s">
        <v>30</v>
      </c>
      <c r="F197" s="17">
        <v>42293</v>
      </c>
      <c r="G197" s="8" t="s">
        <v>19364</v>
      </c>
      <c r="H197" s="8" t="s">
        <v>731</v>
      </c>
      <c r="I197" s="8" t="s">
        <v>73</v>
      </c>
      <c r="J197" s="16"/>
      <c r="K197" s="2"/>
      <c r="L197" s="8" t="s">
        <v>732</v>
      </c>
      <c r="M197" s="8" t="s">
        <v>27</v>
      </c>
      <c r="P197" s="8" t="s">
        <v>405</v>
      </c>
      <c r="Q197" s="12" t="s">
        <v>19363</v>
      </c>
      <c r="S197" s="8" t="s">
        <v>28</v>
      </c>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spans="1:49" s="8" customFormat="1" ht="12" customHeight="1">
      <c r="A198" s="8" t="s">
        <v>19428</v>
      </c>
      <c r="B198" s="16">
        <v>54</v>
      </c>
      <c r="C198" s="8" t="s">
        <v>20</v>
      </c>
      <c r="D198" s="8" t="s">
        <v>37</v>
      </c>
      <c r="E198" s="8" t="s">
        <v>19473</v>
      </c>
      <c r="F198" s="17">
        <v>42292</v>
      </c>
      <c r="I198" s="8" t="s">
        <v>45</v>
      </c>
      <c r="J198" s="16"/>
      <c r="K198" s="2"/>
      <c r="P198" s="8" t="s">
        <v>405</v>
      </c>
      <c r="Q198" s="12" t="s">
        <v>19429</v>
      </c>
      <c r="S198" s="8" t="s">
        <v>18</v>
      </c>
      <c r="V198" s="2"/>
      <c r="W198" s="2"/>
      <c r="X198" s="2"/>
      <c r="Y198" s="2"/>
      <c r="Z198" s="2"/>
      <c r="AA198" s="2"/>
      <c r="AB198" s="2"/>
      <c r="AC198" s="2"/>
      <c r="AD198" s="2"/>
      <c r="AE198" s="2"/>
      <c r="AF198" s="2"/>
      <c r="AG198" s="2"/>
      <c r="AH198" s="2"/>
      <c r="AI198" s="2"/>
      <c r="AJ198" s="2"/>
      <c r="AK198" s="2"/>
      <c r="AL198" s="2"/>
      <c r="AM198" s="2"/>
      <c r="AU198" s="2"/>
      <c r="AV198" s="2"/>
      <c r="AW198" s="2"/>
    </row>
    <row r="199" spans="1:49" s="8" customFormat="1" ht="12" customHeight="1">
      <c r="A199" s="8" t="s">
        <v>19333</v>
      </c>
      <c r="B199" s="16">
        <v>27</v>
      </c>
      <c r="C199" s="8" t="s">
        <v>20</v>
      </c>
      <c r="D199" s="8" t="s">
        <v>48</v>
      </c>
      <c r="F199" s="17">
        <v>42292</v>
      </c>
      <c r="G199" s="8" t="s">
        <v>19334</v>
      </c>
      <c r="H199" s="8" t="s">
        <v>953</v>
      </c>
      <c r="I199" s="8" t="s">
        <v>45</v>
      </c>
      <c r="J199" s="16" t="s">
        <v>20762</v>
      </c>
      <c r="K199" s="2" t="s">
        <v>953</v>
      </c>
      <c r="L199" s="8" t="s">
        <v>954</v>
      </c>
      <c r="M199" s="8" t="s">
        <v>27</v>
      </c>
      <c r="N199" s="8" t="s">
        <v>20763</v>
      </c>
      <c r="O199" s="8" t="s">
        <v>404</v>
      </c>
      <c r="P199" s="8" t="s">
        <v>405</v>
      </c>
      <c r="Q199" s="12" t="s">
        <v>20764</v>
      </c>
      <c r="R199" s="8" t="s">
        <v>100</v>
      </c>
      <c r="S199" s="8" t="s">
        <v>28</v>
      </c>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spans="1:49" s="8" customFormat="1" ht="12" customHeight="1">
      <c r="A200" s="8" t="s">
        <v>19338</v>
      </c>
      <c r="B200" s="16">
        <v>27</v>
      </c>
      <c r="C200" s="8" t="s">
        <v>20</v>
      </c>
      <c r="D200" s="8" t="s">
        <v>48</v>
      </c>
      <c r="E200" s="8" t="s">
        <v>19450</v>
      </c>
      <c r="F200" s="17">
        <v>42292</v>
      </c>
      <c r="G200" s="8" t="s">
        <v>19340</v>
      </c>
      <c r="H200" s="8" t="s">
        <v>10699</v>
      </c>
      <c r="I200" s="8" t="s">
        <v>45</v>
      </c>
      <c r="J200" s="16"/>
      <c r="K200" s="2"/>
      <c r="L200" s="8" t="s">
        <v>418</v>
      </c>
      <c r="M200" s="8" t="s">
        <v>107</v>
      </c>
      <c r="P200" s="8" t="s">
        <v>405</v>
      </c>
      <c r="Q200" s="12" t="s">
        <v>19339</v>
      </c>
      <c r="S200" s="8" t="s">
        <v>18</v>
      </c>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spans="1:49" ht="12" customHeight="1">
      <c r="A201" s="8" t="s">
        <v>19335</v>
      </c>
      <c r="B201" s="16">
        <v>15</v>
      </c>
      <c r="C201" s="8" t="s">
        <v>20</v>
      </c>
      <c r="D201" s="8" t="s">
        <v>48</v>
      </c>
      <c r="E201" s="8" t="s">
        <v>19451</v>
      </c>
      <c r="F201" s="17">
        <v>42292</v>
      </c>
      <c r="G201" s="8" t="s">
        <v>19337</v>
      </c>
      <c r="H201" s="8" t="s">
        <v>1236</v>
      </c>
      <c r="I201" s="8" t="s">
        <v>62</v>
      </c>
      <c r="J201" s="16" t="s">
        <v>7061</v>
      </c>
      <c r="K201" s="2" t="s">
        <v>163</v>
      </c>
      <c r="L201" s="8" t="s">
        <v>164</v>
      </c>
      <c r="M201" s="8" t="s">
        <v>27</v>
      </c>
      <c r="N201" s="8" t="s">
        <v>20562</v>
      </c>
      <c r="O201" s="8" t="s">
        <v>404</v>
      </c>
      <c r="P201" s="8" t="s">
        <v>405</v>
      </c>
      <c r="Q201" s="12" t="s">
        <v>19336</v>
      </c>
      <c r="R201" s="8" t="s">
        <v>100</v>
      </c>
      <c r="S201" s="8" t="s">
        <v>28</v>
      </c>
      <c r="T201" s="8"/>
      <c r="U201" s="8"/>
    </row>
    <row r="202" spans="1:49" ht="12" customHeight="1">
      <c r="A202" s="8" t="s">
        <v>19298</v>
      </c>
      <c r="B202" s="16">
        <v>25</v>
      </c>
      <c r="C202" s="8" t="s">
        <v>20</v>
      </c>
      <c r="D202" s="8" t="s">
        <v>85</v>
      </c>
      <c r="E202" s="8" t="s">
        <v>19487</v>
      </c>
      <c r="F202" s="17">
        <v>42292</v>
      </c>
      <c r="G202" s="8" t="s">
        <v>19299</v>
      </c>
      <c r="H202" s="8" t="s">
        <v>1300</v>
      </c>
      <c r="I202" s="8" t="s">
        <v>69</v>
      </c>
      <c r="J202" s="16" t="s">
        <v>19513</v>
      </c>
      <c r="K202" s="2" t="s">
        <v>1301</v>
      </c>
      <c r="L202" s="8" t="s">
        <v>3442</v>
      </c>
      <c r="M202" s="8" t="s">
        <v>27</v>
      </c>
      <c r="N202" s="8" t="s">
        <v>19524</v>
      </c>
      <c r="O202" s="8" t="s">
        <v>1018</v>
      </c>
      <c r="P202" s="8" t="s">
        <v>405</v>
      </c>
      <c r="Q202" s="12" t="s">
        <v>20765</v>
      </c>
      <c r="R202" s="8" t="s">
        <v>100</v>
      </c>
      <c r="S202" s="8" t="s">
        <v>28</v>
      </c>
      <c r="T202" s="8"/>
      <c r="U202" s="8"/>
      <c r="AI202" s="8"/>
      <c r="AJ202" s="8"/>
      <c r="AK202" s="8"/>
      <c r="AL202" s="8"/>
      <c r="AM202" s="8"/>
    </row>
    <row r="203" spans="1:49" ht="12" customHeight="1">
      <c r="A203" s="8" t="s">
        <v>19422</v>
      </c>
      <c r="B203" s="16">
        <v>50</v>
      </c>
      <c r="C203" s="8" t="s">
        <v>115</v>
      </c>
      <c r="D203" s="8" t="s">
        <v>37</v>
      </c>
      <c r="E203" s="8" t="s">
        <v>19470</v>
      </c>
      <c r="F203" s="17">
        <v>42292</v>
      </c>
      <c r="G203" s="8" t="s">
        <v>20766</v>
      </c>
      <c r="H203" s="8" t="s">
        <v>661</v>
      </c>
      <c r="I203" s="8" t="s">
        <v>272</v>
      </c>
      <c r="J203" s="16" t="s">
        <v>20767</v>
      </c>
      <c r="K203" s="2" t="s">
        <v>574</v>
      </c>
      <c r="L203" s="8" t="s">
        <v>575</v>
      </c>
      <c r="M203" s="8" t="s">
        <v>27</v>
      </c>
      <c r="N203" s="8" t="s">
        <v>20768</v>
      </c>
      <c r="O203" s="8" t="s">
        <v>1018</v>
      </c>
      <c r="P203" s="8" t="s">
        <v>405</v>
      </c>
      <c r="Q203" s="12" t="s">
        <v>20769</v>
      </c>
      <c r="R203" s="8" t="s">
        <v>100</v>
      </c>
      <c r="S203" s="8" t="s">
        <v>28</v>
      </c>
      <c r="T203" s="8"/>
      <c r="U203" s="8"/>
      <c r="AN203" s="8"/>
      <c r="AO203" s="8"/>
      <c r="AP203" s="8"/>
      <c r="AQ203" s="8"/>
      <c r="AR203" s="8"/>
      <c r="AS203" s="8"/>
      <c r="AT203" s="8"/>
    </row>
    <row r="204" spans="1:49" ht="12" customHeight="1">
      <c r="A204" s="8" t="s">
        <v>19300</v>
      </c>
      <c r="B204" s="16">
        <v>20</v>
      </c>
      <c r="C204" s="8" t="s">
        <v>20</v>
      </c>
      <c r="D204" s="8" t="s">
        <v>85</v>
      </c>
      <c r="E204" s="8" t="s">
        <v>19486</v>
      </c>
      <c r="F204" s="17">
        <v>42292</v>
      </c>
      <c r="G204" s="8" t="s">
        <v>19302</v>
      </c>
      <c r="H204" s="8" t="s">
        <v>731</v>
      </c>
      <c r="I204" s="8" t="s">
        <v>73</v>
      </c>
      <c r="L204" s="8" t="s">
        <v>732</v>
      </c>
      <c r="M204" s="8" t="s">
        <v>27</v>
      </c>
      <c r="O204" s="8" t="s">
        <v>404</v>
      </c>
      <c r="P204" s="8" t="s">
        <v>405</v>
      </c>
      <c r="Q204" s="12" t="s">
        <v>19301</v>
      </c>
      <c r="S204" s="8" t="s">
        <v>28</v>
      </c>
      <c r="T204" s="8"/>
      <c r="U204" s="8"/>
      <c r="AI204" s="13"/>
      <c r="AJ204" s="13"/>
      <c r="AK204" s="13"/>
      <c r="AL204" s="13"/>
      <c r="AM204" s="13"/>
    </row>
    <row r="205" spans="1:49" ht="12" customHeight="1">
      <c r="A205" s="8" t="s">
        <v>19423</v>
      </c>
      <c r="B205" s="16">
        <v>31</v>
      </c>
      <c r="C205" s="8" t="s">
        <v>20</v>
      </c>
      <c r="D205" s="8" t="s">
        <v>37</v>
      </c>
      <c r="E205" s="8" t="s">
        <v>19471</v>
      </c>
      <c r="F205" s="17">
        <v>42292</v>
      </c>
      <c r="G205" s="8" t="s">
        <v>20770</v>
      </c>
      <c r="H205" s="8" t="s">
        <v>992</v>
      </c>
      <c r="I205" s="8" t="s">
        <v>69</v>
      </c>
      <c r="J205" s="16" t="s">
        <v>20771</v>
      </c>
      <c r="K205" s="2" t="s">
        <v>105</v>
      </c>
      <c r="L205" s="8" t="s">
        <v>20772</v>
      </c>
      <c r="M205" s="8" t="s">
        <v>27</v>
      </c>
      <c r="N205" s="8" t="s">
        <v>20773</v>
      </c>
      <c r="O205" s="8" t="s">
        <v>404</v>
      </c>
      <c r="P205" s="8" t="s">
        <v>405</v>
      </c>
      <c r="Q205" s="12" t="s">
        <v>20774</v>
      </c>
      <c r="R205" s="8" t="s">
        <v>100</v>
      </c>
      <c r="S205" s="8" t="s">
        <v>28</v>
      </c>
      <c r="T205" s="8"/>
      <c r="U205" s="8"/>
      <c r="AN205" s="8"/>
      <c r="AO205" s="8"/>
      <c r="AP205" s="8"/>
      <c r="AQ205" s="8"/>
      <c r="AR205" s="8"/>
      <c r="AS205" s="8"/>
      <c r="AT205" s="8"/>
    </row>
    <row r="206" spans="1:49" ht="12" customHeight="1">
      <c r="A206" s="8" t="s">
        <v>19424</v>
      </c>
      <c r="B206" s="16">
        <v>35</v>
      </c>
      <c r="C206" s="8" t="s">
        <v>20</v>
      </c>
      <c r="D206" s="8" t="s">
        <v>37</v>
      </c>
      <c r="E206" s="8" t="s">
        <v>19472</v>
      </c>
      <c r="F206" s="17">
        <v>42292</v>
      </c>
      <c r="G206" s="8" t="s">
        <v>19425</v>
      </c>
      <c r="H206" s="8" t="s">
        <v>19426</v>
      </c>
      <c r="I206" s="8" t="s">
        <v>306</v>
      </c>
      <c r="J206" s="16" t="s">
        <v>20775</v>
      </c>
      <c r="K206" s="2" t="s">
        <v>1221</v>
      </c>
      <c r="L206" s="8" t="s">
        <v>19427</v>
      </c>
      <c r="M206" s="8" t="s">
        <v>27</v>
      </c>
      <c r="N206" s="8" t="s">
        <v>20776</v>
      </c>
      <c r="O206" s="8" t="s">
        <v>404</v>
      </c>
      <c r="P206" s="8" t="s">
        <v>405</v>
      </c>
      <c r="Q206" s="12" t="s">
        <v>20777</v>
      </c>
      <c r="R206" s="8" t="s">
        <v>29</v>
      </c>
      <c r="S206" s="8" t="s">
        <v>28</v>
      </c>
      <c r="T206" s="8"/>
      <c r="U206" s="8"/>
      <c r="AN206" s="8"/>
      <c r="AO206" s="8"/>
      <c r="AP206" s="8"/>
      <c r="AQ206" s="8"/>
      <c r="AR206" s="8"/>
      <c r="AS206" s="8"/>
      <c r="AT206" s="8"/>
    </row>
    <row r="207" spans="1:49" ht="12" customHeight="1">
      <c r="A207" s="8" t="s">
        <v>19430</v>
      </c>
      <c r="B207" s="16">
        <v>27</v>
      </c>
      <c r="C207" s="8" t="s">
        <v>20</v>
      </c>
      <c r="D207" s="8" t="s">
        <v>37</v>
      </c>
      <c r="E207" s="8" t="s">
        <v>19474</v>
      </c>
      <c r="F207" s="17">
        <v>42291</v>
      </c>
      <c r="G207" s="8" t="s">
        <v>20778</v>
      </c>
      <c r="H207" s="8" t="s">
        <v>20779</v>
      </c>
      <c r="I207" s="8" t="s">
        <v>175</v>
      </c>
      <c r="J207" s="16" t="s">
        <v>20780</v>
      </c>
      <c r="K207" s="2" t="s">
        <v>1128</v>
      </c>
      <c r="L207" s="8" t="s">
        <v>19431</v>
      </c>
      <c r="M207" s="8" t="s">
        <v>27</v>
      </c>
      <c r="N207" s="8" t="s">
        <v>20781</v>
      </c>
      <c r="O207" s="8" t="s">
        <v>404</v>
      </c>
      <c r="P207" s="8" t="s">
        <v>405</v>
      </c>
      <c r="Q207" s="12" t="s">
        <v>20782</v>
      </c>
      <c r="R207" s="8" t="s">
        <v>100</v>
      </c>
      <c r="S207" s="8" t="s">
        <v>28</v>
      </c>
      <c r="T207" s="8"/>
      <c r="U207" s="8"/>
      <c r="AN207" s="8"/>
      <c r="AO207" s="8"/>
      <c r="AP207" s="8"/>
      <c r="AQ207" s="8"/>
      <c r="AR207" s="8"/>
      <c r="AS207" s="8"/>
      <c r="AT207" s="8"/>
    </row>
    <row r="208" spans="1:49" ht="12" customHeight="1">
      <c r="A208" s="8" t="s">
        <v>19303</v>
      </c>
      <c r="B208" s="16">
        <v>57</v>
      </c>
      <c r="C208" s="8" t="s">
        <v>20</v>
      </c>
      <c r="D208" s="8" t="s">
        <v>85</v>
      </c>
      <c r="F208" s="17">
        <v>42291</v>
      </c>
      <c r="G208" s="8" t="s">
        <v>20783</v>
      </c>
      <c r="H208" s="8" t="s">
        <v>19304</v>
      </c>
      <c r="I208" s="8" t="s">
        <v>94</v>
      </c>
      <c r="J208" s="16" t="s">
        <v>19511</v>
      </c>
      <c r="K208" s="2" t="s">
        <v>19512</v>
      </c>
      <c r="L208" s="8" t="s">
        <v>19305</v>
      </c>
      <c r="M208" s="8" t="s">
        <v>27</v>
      </c>
      <c r="N208" s="8" t="s">
        <v>19523</v>
      </c>
      <c r="O208" s="8" t="s">
        <v>404</v>
      </c>
      <c r="P208" s="8" t="s">
        <v>405</v>
      </c>
      <c r="Q208" s="12" t="s">
        <v>20784</v>
      </c>
      <c r="R208" s="8" t="s">
        <v>100</v>
      </c>
      <c r="S208" s="8" t="s">
        <v>28</v>
      </c>
      <c r="T208" s="8"/>
      <c r="U208" s="8"/>
      <c r="AI208" s="8"/>
      <c r="AJ208" s="8"/>
      <c r="AK208" s="8"/>
      <c r="AL208" s="8"/>
      <c r="AM208" s="8"/>
    </row>
    <row r="209" spans="1:46" ht="12" customHeight="1">
      <c r="A209" s="8" t="s">
        <v>19365</v>
      </c>
      <c r="B209" s="16">
        <v>59</v>
      </c>
      <c r="C209" s="8" t="s">
        <v>20</v>
      </c>
      <c r="D209" s="8" t="s">
        <v>30</v>
      </c>
      <c r="F209" s="17">
        <v>42291</v>
      </c>
      <c r="G209" s="8" t="s">
        <v>19366</v>
      </c>
      <c r="H209" s="8" t="s">
        <v>5922</v>
      </c>
      <c r="I209" s="8" t="s">
        <v>45</v>
      </c>
      <c r="J209" s="16" t="s">
        <v>5923</v>
      </c>
      <c r="K209" s="2" t="s">
        <v>65</v>
      </c>
      <c r="L209" s="8" t="s">
        <v>5924</v>
      </c>
      <c r="M209" s="8" t="s">
        <v>27</v>
      </c>
      <c r="N209" s="8" t="s">
        <v>20785</v>
      </c>
      <c r="O209" s="8" t="s">
        <v>404</v>
      </c>
      <c r="P209" s="8" t="s">
        <v>405</v>
      </c>
      <c r="Q209" s="12" t="s">
        <v>20786</v>
      </c>
      <c r="R209" s="8" t="s">
        <v>100</v>
      </c>
      <c r="S209" s="8" t="s">
        <v>28</v>
      </c>
      <c r="T209" s="8"/>
      <c r="U209" s="8"/>
    </row>
    <row r="210" spans="1:46" ht="12" customHeight="1">
      <c r="A210" s="8" t="s">
        <v>19432</v>
      </c>
      <c r="B210" s="16">
        <v>46</v>
      </c>
      <c r="C210" s="8" t="s">
        <v>115</v>
      </c>
      <c r="D210" s="8" t="s">
        <v>37</v>
      </c>
      <c r="E210" s="8" t="s">
        <v>19475</v>
      </c>
      <c r="F210" s="17">
        <v>42291</v>
      </c>
      <c r="G210" s="8" t="s">
        <v>19434</v>
      </c>
      <c r="H210" s="8" t="s">
        <v>19435</v>
      </c>
      <c r="I210" s="8" t="s">
        <v>62</v>
      </c>
      <c r="K210" s="8"/>
      <c r="L210" s="8" t="s">
        <v>19436</v>
      </c>
      <c r="M210" s="8" t="s">
        <v>27</v>
      </c>
      <c r="P210" s="8" t="s">
        <v>405</v>
      </c>
      <c r="Q210" s="12" t="s">
        <v>19433</v>
      </c>
      <c r="S210" s="8" t="s">
        <v>35</v>
      </c>
      <c r="T210" s="8"/>
      <c r="U210" s="8"/>
      <c r="AN210" s="8"/>
      <c r="AO210" s="8"/>
      <c r="AP210" s="8"/>
      <c r="AQ210" s="8"/>
      <c r="AR210" s="8"/>
      <c r="AS210" s="8"/>
      <c r="AT210" s="8"/>
    </row>
    <row r="211" spans="1:46" ht="12" customHeight="1">
      <c r="A211" s="8" t="s">
        <v>19341</v>
      </c>
      <c r="B211" s="16">
        <v>18</v>
      </c>
      <c r="C211" s="8" t="s">
        <v>20</v>
      </c>
      <c r="D211" s="8" t="s">
        <v>48</v>
      </c>
      <c r="F211" s="17">
        <v>42291</v>
      </c>
      <c r="G211" s="8" t="s">
        <v>20787</v>
      </c>
      <c r="H211" s="8" t="s">
        <v>6381</v>
      </c>
      <c r="I211" s="8" t="s">
        <v>45</v>
      </c>
      <c r="J211" s="16" t="s">
        <v>6382</v>
      </c>
      <c r="K211" s="2" t="s">
        <v>791</v>
      </c>
      <c r="L211" s="8" t="s">
        <v>6383</v>
      </c>
      <c r="M211" s="8" t="s">
        <v>27</v>
      </c>
      <c r="N211" s="8" t="s">
        <v>20788</v>
      </c>
      <c r="O211" s="8" t="s">
        <v>404</v>
      </c>
      <c r="P211" s="8" t="s">
        <v>405</v>
      </c>
      <c r="Q211" s="12" t="s">
        <v>20789</v>
      </c>
      <c r="R211" s="8" t="s">
        <v>100</v>
      </c>
      <c r="S211" s="8" t="s">
        <v>383</v>
      </c>
      <c r="T211" s="8"/>
      <c r="U211" s="8"/>
    </row>
    <row r="212" spans="1:46" ht="12" customHeight="1">
      <c r="A212" s="8" t="s">
        <v>19437</v>
      </c>
      <c r="B212" s="16">
        <v>31</v>
      </c>
      <c r="C212" s="8" t="s">
        <v>20</v>
      </c>
      <c r="D212" s="8" t="s">
        <v>37</v>
      </c>
      <c r="E212" s="8" t="s">
        <v>19476</v>
      </c>
      <c r="F212" s="17">
        <v>42289</v>
      </c>
      <c r="G212" s="8" t="s">
        <v>20792</v>
      </c>
      <c r="H212" s="8" t="s">
        <v>19438</v>
      </c>
      <c r="I212" s="8" t="s">
        <v>57</v>
      </c>
      <c r="J212" s="16" t="s">
        <v>20793</v>
      </c>
      <c r="K212" s="2" t="s">
        <v>2339</v>
      </c>
      <c r="L212" s="8" t="s">
        <v>19439</v>
      </c>
      <c r="M212" s="8" t="s">
        <v>27</v>
      </c>
      <c r="N212" s="8" t="s">
        <v>20794</v>
      </c>
      <c r="O212" s="8" t="s">
        <v>404</v>
      </c>
      <c r="P212" s="8" t="s">
        <v>405</v>
      </c>
      <c r="Q212" s="12" t="s">
        <v>20795</v>
      </c>
      <c r="R212" s="8" t="s">
        <v>100</v>
      </c>
      <c r="S212" s="8" t="s">
        <v>28</v>
      </c>
      <c r="T212" s="8"/>
      <c r="U212" s="8"/>
      <c r="AN212" s="8"/>
      <c r="AO212" s="8"/>
      <c r="AP212" s="8"/>
      <c r="AQ212" s="8"/>
      <c r="AR212" s="8"/>
      <c r="AS212" s="8"/>
      <c r="AT212" s="8"/>
    </row>
    <row r="213" spans="1:46" ht="12" customHeight="1">
      <c r="A213" s="8" t="s">
        <v>19306</v>
      </c>
      <c r="B213" s="16">
        <v>23</v>
      </c>
      <c r="C213" s="8" t="s">
        <v>20</v>
      </c>
      <c r="D213" s="8" t="s">
        <v>85</v>
      </c>
      <c r="E213" s="8" t="s">
        <v>19485</v>
      </c>
      <c r="F213" s="17">
        <v>42288</v>
      </c>
      <c r="G213" s="8" t="s">
        <v>31</v>
      </c>
      <c r="H213" s="8" t="s">
        <v>20796</v>
      </c>
      <c r="I213" s="8" t="s">
        <v>32</v>
      </c>
      <c r="J213" s="16" t="s">
        <v>20797</v>
      </c>
      <c r="K213" s="2" t="s">
        <v>33</v>
      </c>
      <c r="L213" s="8" t="s">
        <v>34</v>
      </c>
      <c r="M213" s="8" t="s">
        <v>27</v>
      </c>
      <c r="N213" s="8" t="s">
        <v>19521</v>
      </c>
      <c r="O213" s="8" t="s">
        <v>404</v>
      </c>
      <c r="P213" s="8" t="s">
        <v>405</v>
      </c>
      <c r="Q213" s="12" t="s">
        <v>20798</v>
      </c>
      <c r="R213" s="8" t="s">
        <v>100</v>
      </c>
      <c r="S213" s="8" t="s">
        <v>28</v>
      </c>
      <c r="T213" s="8"/>
      <c r="U213" s="8"/>
      <c r="V213" s="8"/>
      <c r="W213" s="8"/>
      <c r="X213" s="8"/>
      <c r="AI213" s="13"/>
      <c r="AJ213" s="13"/>
      <c r="AK213" s="13"/>
      <c r="AL213" s="13"/>
      <c r="AM213" s="13"/>
    </row>
    <row r="214" spans="1:46" ht="12" customHeight="1">
      <c r="A214" s="8" t="s">
        <v>19307</v>
      </c>
      <c r="B214" s="16">
        <v>40</v>
      </c>
      <c r="C214" s="8" t="s">
        <v>20</v>
      </c>
      <c r="D214" s="8" t="s">
        <v>85</v>
      </c>
      <c r="E214" s="8" t="s">
        <v>19484</v>
      </c>
      <c r="F214" s="17">
        <v>42288</v>
      </c>
      <c r="G214" s="8" t="s">
        <v>20790</v>
      </c>
      <c r="H214" s="8" t="s">
        <v>11183</v>
      </c>
      <c r="I214" s="8" t="s">
        <v>399</v>
      </c>
      <c r="J214" s="16" t="s">
        <v>11184</v>
      </c>
      <c r="K214" s="2" t="s">
        <v>19510</v>
      </c>
      <c r="L214" s="8" t="s">
        <v>11186</v>
      </c>
      <c r="M214" s="8" t="s">
        <v>27</v>
      </c>
      <c r="N214" s="8" t="s">
        <v>19522</v>
      </c>
      <c r="O214" s="8" t="s">
        <v>404</v>
      </c>
      <c r="P214" s="8" t="s">
        <v>405</v>
      </c>
      <c r="Q214" s="12" t="s">
        <v>20791</v>
      </c>
      <c r="R214" s="8" t="s">
        <v>100</v>
      </c>
      <c r="S214" s="8" t="s">
        <v>35</v>
      </c>
      <c r="T214" s="8"/>
      <c r="U214" s="8"/>
      <c r="AI214" s="8"/>
      <c r="AJ214" s="8"/>
      <c r="AK214" s="8"/>
      <c r="AL214" s="8"/>
      <c r="AM214" s="8"/>
    </row>
    <row r="215" spans="1:46" ht="12.75" customHeight="1">
      <c r="A215" s="8" t="s">
        <v>19345</v>
      </c>
      <c r="B215" s="16">
        <v>34</v>
      </c>
      <c r="C215" s="8" t="s">
        <v>20</v>
      </c>
      <c r="D215" s="8" t="s">
        <v>48</v>
      </c>
      <c r="F215" s="17">
        <v>42288</v>
      </c>
      <c r="G215" s="8" t="s">
        <v>20799</v>
      </c>
      <c r="H215" s="8" t="s">
        <v>313</v>
      </c>
      <c r="I215" s="8" t="s">
        <v>45</v>
      </c>
      <c r="J215" s="16" t="s">
        <v>6953</v>
      </c>
      <c r="K215" s="2" t="s">
        <v>313</v>
      </c>
      <c r="L215" s="8" t="s">
        <v>4373</v>
      </c>
      <c r="M215" s="8" t="s">
        <v>27</v>
      </c>
      <c r="N215" s="8" t="s">
        <v>20800</v>
      </c>
      <c r="O215" s="8" t="s">
        <v>404</v>
      </c>
      <c r="P215" s="8" t="s">
        <v>405</v>
      </c>
      <c r="Q215" s="12" t="s">
        <v>19346</v>
      </c>
      <c r="R215" s="8" t="s">
        <v>100</v>
      </c>
      <c r="S215" s="8" t="s">
        <v>35</v>
      </c>
      <c r="T215" s="8"/>
      <c r="U215" s="8"/>
      <c r="Y215" s="8"/>
      <c r="Z215" s="8"/>
      <c r="AA215" s="8"/>
      <c r="AB215" s="8"/>
      <c r="AC215" s="8"/>
      <c r="AD215" s="8"/>
      <c r="AE215" s="8"/>
      <c r="AF215" s="8"/>
      <c r="AG215" s="8"/>
      <c r="AH215" s="8"/>
    </row>
    <row r="216" spans="1:46" ht="12" customHeight="1">
      <c r="A216" s="8" t="s">
        <v>19</v>
      </c>
      <c r="B216" s="16">
        <v>44</v>
      </c>
      <c r="C216" s="8" t="s">
        <v>20</v>
      </c>
      <c r="D216" s="8" t="s">
        <v>21</v>
      </c>
      <c r="E216" s="8" t="s">
        <v>22</v>
      </c>
      <c r="F216" s="17">
        <v>42288</v>
      </c>
      <c r="G216" s="8" t="s">
        <v>23</v>
      </c>
      <c r="H216" s="8" t="s">
        <v>24</v>
      </c>
      <c r="I216" s="8" t="s">
        <v>25</v>
      </c>
      <c r="J216" s="16" t="s">
        <v>20801</v>
      </c>
      <c r="K216" s="2" t="s">
        <v>20802</v>
      </c>
      <c r="L216" s="8" t="s">
        <v>26</v>
      </c>
      <c r="M216" s="8" t="s">
        <v>27</v>
      </c>
      <c r="N216" s="8" t="s">
        <v>20803</v>
      </c>
      <c r="O216" s="8" t="s">
        <v>404</v>
      </c>
      <c r="P216" s="8" t="s">
        <v>405</v>
      </c>
      <c r="Q216" s="12" t="s">
        <v>20804</v>
      </c>
      <c r="R216" s="8" t="s">
        <v>100</v>
      </c>
      <c r="S216" s="8" t="s">
        <v>28</v>
      </c>
      <c r="T216" s="8"/>
      <c r="U216" s="8"/>
    </row>
    <row r="217" spans="1:46" ht="12" customHeight="1">
      <c r="A217" s="8" t="s">
        <v>19342</v>
      </c>
      <c r="B217" s="16">
        <v>43</v>
      </c>
      <c r="C217" s="8" t="s">
        <v>20</v>
      </c>
      <c r="D217" s="8" t="s">
        <v>48</v>
      </c>
      <c r="E217" s="8" t="s">
        <v>19449</v>
      </c>
      <c r="F217" s="17">
        <v>42288</v>
      </c>
      <c r="G217" s="8" t="s">
        <v>20805</v>
      </c>
      <c r="H217" s="8" t="s">
        <v>803</v>
      </c>
      <c r="I217" s="8" t="s">
        <v>73</v>
      </c>
      <c r="J217" s="16" t="s">
        <v>20806</v>
      </c>
      <c r="K217" s="2" t="s">
        <v>804</v>
      </c>
      <c r="L217" s="8" t="s">
        <v>19344</v>
      </c>
      <c r="M217" s="8" t="s">
        <v>27</v>
      </c>
      <c r="N217" s="8" t="s">
        <v>20807</v>
      </c>
      <c r="O217" s="8" t="s">
        <v>404</v>
      </c>
      <c r="P217" s="8" t="s">
        <v>405</v>
      </c>
      <c r="Q217" s="12" t="s">
        <v>19343</v>
      </c>
      <c r="R217" s="8" t="s">
        <v>100</v>
      </c>
      <c r="S217" s="8" t="s">
        <v>28</v>
      </c>
      <c r="T217" s="8"/>
      <c r="U217" s="8"/>
    </row>
    <row r="218" spans="1:46" ht="12.75" customHeight="1">
      <c r="A218" s="8" t="s">
        <v>19347</v>
      </c>
      <c r="B218" s="16">
        <v>38</v>
      </c>
      <c r="C218" s="8" t="s">
        <v>20</v>
      </c>
      <c r="D218" s="8" t="s">
        <v>30</v>
      </c>
      <c r="F218" s="17">
        <v>42288</v>
      </c>
      <c r="I218" s="8" t="s">
        <v>46</v>
      </c>
      <c r="P218" s="8" t="s">
        <v>405</v>
      </c>
      <c r="Q218" s="12" t="s">
        <v>19367</v>
      </c>
      <c r="S218" s="8" t="s">
        <v>18</v>
      </c>
      <c r="T218" s="8"/>
      <c r="U218" s="8"/>
    </row>
    <row r="219" spans="1:46" ht="12" customHeight="1">
      <c r="A219" s="8" t="s">
        <v>19368</v>
      </c>
      <c r="B219" s="16">
        <v>35</v>
      </c>
      <c r="C219" s="8" t="s">
        <v>20</v>
      </c>
      <c r="D219" s="8" t="s">
        <v>48</v>
      </c>
      <c r="E219" s="8" t="s">
        <v>19454</v>
      </c>
      <c r="F219" s="17">
        <v>42287</v>
      </c>
      <c r="G219" s="8" t="s">
        <v>20808</v>
      </c>
      <c r="H219" s="8" t="s">
        <v>19369</v>
      </c>
      <c r="I219" s="8" t="s">
        <v>44</v>
      </c>
      <c r="J219" s="16" t="s">
        <v>20809</v>
      </c>
      <c r="K219" s="2" t="s">
        <v>20810</v>
      </c>
      <c r="L219" s="8" t="s">
        <v>19370</v>
      </c>
      <c r="M219" s="8" t="s">
        <v>27</v>
      </c>
      <c r="N219" s="8" t="s">
        <v>20811</v>
      </c>
      <c r="O219" s="8" t="s">
        <v>404</v>
      </c>
      <c r="P219" s="8" t="s">
        <v>405</v>
      </c>
      <c r="Q219" s="12" t="s">
        <v>20812</v>
      </c>
      <c r="R219" s="8" t="s">
        <v>100</v>
      </c>
      <c r="S219" s="8" t="s">
        <v>35</v>
      </c>
      <c r="T219" s="8"/>
      <c r="U219" s="8"/>
    </row>
    <row r="220" spans="1:46" ht="12" customHeight="1">
      <c r="A220" s="8" t="s">
        <v>19442</v>
      </c>
      <c r="B220" s="16">
        <v>49</v>
      </c>
      <c r="C220" s="8" t="s">
        <v>20</v>
      </c>
      <c r="D220" s="8" t="s">
        <v>37</v>
      </c>
      <c r="E220" s="8" t="s">
        <v>19478</v>
      </c>
      <c r="F220" s="17">
        <v>42287</v>
      </c>
      <c r="G220" s="8" t="s">
        <v>19443</v>
      </c>
      <c r="H220" s="8" t="s">
        <v>711</v>
      </c>
      <c r="I220" s="8" t="s">
        <v>46</v>
      </c>
      <c r="J220" s="16" t="s">
        <v>20813</v>
      </c>
      <c r="K220" s="2" t="s">
        <v>532</v>
      </c>
      <c r="L220" s="8" t="s">
        <v>19444</v>
      </c>
      <c r="M220" s="8" t="s">
        <v>27</v>
      </c>
      <c r="N220" s="8" t="s">
        <v>20814</v>
      </c>
      <c r="O220" s="8" t="s">
        <v>404</v>
      </c>
      <c r="P220" s="8" t="s">
        <v>405</v>
      </c>
      <c r="Q220" s="12" t="s">
        <v>20815</v>
      </c>
      <c r="R220" s="8" t="s">
        <v>29</v>
      </c>
      <c r="S220" s="8" t="s">
        <v>383</v>
      </c>
      <c r="T220" s="8"/>
      <c r="U220" s="8"/>
      <c r="AN220" s="8"/>
      <c r="AO220" s="8"/>
      <c r="AP220" s="8"/>
      <c r="AQ220" s="8"/>
      <c r="AR220" s="8"/>
      <c r="AS220" s="8"/>
      <c r="AT220" s="8"/>
    </row>
    <row r="221" spans="1:46" ht="12" customHeight="1">
      <c r="A221" s="8" t="s">
        <v>36</v>
      </c>
      <c r="B221" s="16">
        <v>31</v>
      </c>
      <c r="C221" s="8" t="s">
        <v>20</v>
      </c>
      <c r="D221" s="8" t="s">
        <v>37</v>
      </c>
      <c r="E221" s="8" t="s">
        <v>38</v>
      </c>
      <c r="F221" s="17">
        <v>42287</v>
      </c>
      <c r="G221" s="8" t="s">
        <v>39</v>
      </c>
      <c r="H221" s="8" t="s">
        <v>40</v>
      </c>
      <c r="I221" s="8" t="s">
        <v>41</v>
      </c>
      <c r="J221" s="16" t="s">
        <v>20816</v>
      </c>
      <c r="K221" s="2" t="s">
        <v>42</v>
      </c>
      <c r="L221" s="8" t="s">
        <v>43</v>
      </c>
      <c r="M221" s="8" t="s">
        <v>27</v>
      </c>
      <c r="N221" s="8" t="s">
        <v>20817</v>
      </c>
      <c r="O221" s="8" t="s">
        <v>404</v>
      </c>
      <c r="P221" s="8" t="s">
        <v>405</v>
      </c>
      <c r="Q221" s="12" t="s">
        <v>20818</v>
      </c>
      <c r="R221" s="8" t="s">
        <v>100</v>
      </c>
      <c r="S221" s="8" t="s">
        <v>28</v>
      </c>
      <c r="T221" s="8"/>
      <c r="U221" s="8"/>
      <c r="AN221" s="8"/>
      <c r="AO221" s="8"/>
      <c r="AP221" s="8"/>
      <c r="AQ221" s="8"/>
      <c r="AR221" s="8"/>
      <c r="AS221" s="8"/>
      <c r="AT221" s="8"/>
    </row>
    <row r="222" spans="1:46" ht="12" customHeight="1">
      <c r="A222" s="8" t="s">
        <v>19440</v>
      </c>
      <c r="B222" s="16">
        <v>38</v>
      </c>
      <c r="C222" s="8" t="s">
        <v>20</v>
      </c>
      <c r="D222" s="8" t="s">
        <v>37</v>
      </c>
      <c r="E222" s="8" t="s">
        <v>19477</v>
      </c>
      <c r="F222" s="17">
        <v>42287</v>
      </c>
      <c r="G222" s="8" t="s">
        <v>20819</v>
      </c>
      <c r="H222" s="8" t="s">
        <v>19441</v>
      </c>
      <c r="I222" s="8" t="s">
        <v>45</v>
      </c>
      <c r="J222" s="16" t="s">
        <v>20820</v>
      </c>
      <c r="K222" s="2" t="s">
        <v>313</v>
      </c>
      <c r="L222" s="8" t="s">
        <v>20510</v>
      </c>
      <c r="M222" s="8" t="s">
        <v>27</v>
      </c>
      <c r="N222" s="8" t="s">
        <v>20821</v>
      </c>
      <c r="O222" s="8" t="s">
        <v>404</v>
      </c>
      <c r="P222" s="8" t="s">
        <v>405</v>
      </c>
      <c r="Q222" s="12" t="s">
        <v>20822</v>
      </c>
      <c r="R222" s="8" t="s">
        <v>100</v>
      </c>
      <c r="S222" s="8" t="s">
        <v>35</v>
      </c>
      <c r="T222" s="8"/>
      <c r="U222" s="8"/>
      <c r="AN222" s="8"/>
      <c r="AO222" s="8"/>
      <c r="AP222" s="8"/>
      <c r="AQ222" s="8"/>
      <c r="AR222" s="8"/>
      <c r="AS222" s="8"/>
      <c r="AT222" s="8"/>
    </row>
    <row r="223" spans="1:46" ht="12" customHeight="1">
      <c r="A223" s="8" t="s">
        <v>47</v>
      </c>
      <c r="B223" s="16">
        <v>19</v>
      </c>
      <c r="C223" s="8" t="s">
        <v>20</v>
      </c>
      <c r="D223" s="8" t="s">
        <v>48</v>
      </c>
      <c r="E223" s="8" t="s">
        <v>49</v>
      </c>
      <c r="F223" s="17">
        <v>42286</v>
      </c>
      <c r="G223" s="8" t="s">
        <v>50</v>
      </c>
      <c r="H223" s="8" t="s">
        <v>51</v>
      </c>
      <c r="I223" s="8" t="s">
        <v>52</v>
      </c>
      <c r="J223" s="16" t="s">
        <v>20823</v>
      </c>
      <c r="K223" s="2" t="s">
        <v>53</v>
      </c>
      <c r="L223" s="8" t="s">
        <v>54</v>
      </c>
      <c r="M223" s="8" t="s">
        <v>27</v>
      </c>
      <c r="N223" s="8" t="s">
        <v>20824</v>
      </c>
      <c r="O223" s="8" t="s">
        <v>404</v>
      </c>
      <c r="P223" s="8" t="s">
        <v>405</v>
      </c>
      <c r="Q223" s="12" t="s">
        <v>20825</v>
      </c>
      <c r="R223" s="8" t="s">
        <v>100</v>
      </c>
      <c r="S223" s="8" t="s">
        <v>28</v>
      </c>
      <c r="T223" s="8"/>
      <c r="U223" s="8"/>
    </row>
    <row r="224" spans="1:46" ht="12" customHeight="1">
      <c r="A224" s="8" t="s">
        <v>19371</v>
      </c>
      <c r="B224" s="16">
        <v>53</v>
      </c>
      <c r="C224" s="8" t="s">
        <v>115</v>
      </c>
      <c r="D224" s="8" t="s">
        <v>30</v>
      </c>
      <c r="F224" s="17">
        <v>42286</v>
      </c>
      <c r="G224" s="8" t="s">
        <v>20826</v>
      </c>
      <c r="H224" s="8" t="s">
        <v>19373</v>
      </c>
      <c r="I224" s="8" t="s">
        <v>45</v>
      </c>
      <c r="J224" s="16" t="s">
        <v>20827</v>
      </c>
      <c r="K224" s="2" t="s">
        <v>791</v>
      </c>
      <c r="L224" s="8" t="s">
        <v>4508</v>
      </c>
      <c r="M224" s="8" t="s">
        <v>27</v>
      </c>
      <c r="N224" s="8" t="s">
        <v>20828</v>
      </c>
      <c r="O224" s="8" t="s">
        <v>1018</v>
      </c>
      <c r="P224" s="8" t="s">
        <v>405</v>
      </c>
      <c r="Q224" s="12" t="s">
        <v>19372</v>
      </c>
      <c r="S224" s="8" t="s">
        <v>28</v>
      </c>
      <c r="T224" s="8"/>
      <c r="U224" s="8"/>
    </row>
    <row r="225" spans="1:49" ht="12" customHeight="1">
      <c r="A225" s="8" t="s">
        <v>55</v>
      </c>
      <c r="B225" s="16">
        <v>40</v>
      </c>
      <c r="C225" s="8" t="s">
        <v>20</v>
      </c>
      <c r="D225" s="8" t="s">
        <v>37</v>
      </c>
      <c r="E225" s="8" t="s">
        <v>56</v>
      </c>
      <c r="F225" s="17">
        <v>42286</v>
      </c>
      <c r="G225" s="8" t="s">
        <v>20829</v>
      </c>
      <c r="H225" s="8" t="s">
        <v>12059</v>
      </c>
      <c r="I225" s="8" t="s">
        <v>57</v>
      </c>
      <c r="J225" s="16" t="s">
        <v>20830</v>
      </c>
      <c r="K225" s="2" t="s">
        <v>58</v>
      </c>
      <c r="L225" s="8" t="s">
        <v>20520</v>
      </c>
      <c r="M225" s="8" t="s">
        <v>27</v>
      </c>
      <c r="N225" s="8" t="s">
        <v>20831</v>
      </c>
      <c r="O225" s="8" t="s">
        <v>404</v>
      </c>
      <c r="P225" s="8" t="s">
        <v>405</v>
      </c>
      <c r="Q225" s="12" t="s">
        <v>59</v>
      </c>
      <c r="R225" s="8" t="s">
        <v>100</v>
      </c>
      <c r="S225" s="8" t="s">
        <v>28</v>
      </c>
      <c r="T225" s="8"/>
      <c r="U225" s="8"/>
      <c r="AN225" s="8"/>
      <c r="AO225" s="8"/>
      <c r="AP225" s="8"/>
      <c r="AQ225" s="8"/>
      <c r="AR225" s="8"/>
      <c r="AS225" s="8"/>
      <c r="AT225" s="8"/>
    </row>
    <row r="226" spans="1:49" ht="12" customHeight="1">
      <c r="A226" s="8" t="s">
        <v>60</v>
      </c>
      <c r="B226" s="16">
        <v>46</v>
      </c>
      <c r="C226" s="8" t="s">
        <v>20</v>
      </c>
      <c r="D226" s="8" t="s">
        <v>48</v>
      </c>
      <c r="F226" s="17">
        <v>42284</v>
      </c>
      <c r="G226" s="8" t="s">
        <v>20832</v>
      </c>
      <c r="H226" s="8" t="s">
        <v>61</v>
      </c>
      <c r="I226" s="8" t="s">
        <v>62</v>
      </c>
      <c r="J226" s="16" t="s">
        <v>17934</v>
      </c>
      <c r="K226" s="2" t="s">
        <v>5387</v>
      </c>
      <c r="L226" s="8" t="s">
        <v>63</v>
      </c>
      <c r="M226" s="8" t="s">
        <v>27</v>
      </c>
      <c r="N226" s="8" t="s">
        <v>20833</v>
      </c>
      <c r="O226" s="8" t="s">
        <v>1018</v>
      </c>
      <c r="P226" s="8" t="s">
        <v>405</v>
      </c>
      <c r="Q226" s="12" t="s">
        <v>20834</v>
      </c>
      <c r="R226" s="8" t="s">
        <v>100</v>
      </c>
      <c r="S226" s="8" t="s">
        <v>28</v>
      </c>
      <c r="T226" s="8"/>
      <c r="U226" s="8"/>
    </row>
    <row r="227" spans="1:49" ht="12" customHeight="1">
      <c r="A227" s="8" t="s">
        <v>64</v>
      </c>
      <c r="B227" s="16">
        <v>39</v>
      </c>
      <c r="C227" s="8" t="s">
        <v>20</v>
      </c>
      <c r="D227" s="8" t="s">
        <v>37</v>
      </c>
      <c r="F227" s="17">
        <v>42283</v>
      </c>
      <c r="G227" s="8" t="s">
        <v>20835</v>
      </c>
      <c r="H227" s="8" t="s">
        <v>65</v>
      </c>
      <c r="I227" s="8" t="s">
        <v>45</v>
      </c>
      <c r="J227" s="16" t="s">
        <v>20836</v>
      </c>
      <c r="K227" s="2" t="s">
        <v>65</v>
      </c>
      <c r="L227" s="8" t="s">
        <v>66</v>
      </c>
      <c r="M227" s="8" t="s">
        <v>27</v>
      </c>
      <c r="N227" s="8" t="s">
        <v>20837</v>
      </c>
      <c r="O227" s="8" t="s">
        <v>404</v>
      </c>
      <c r="P227" s="8" t="s">
        <v>405</v>
      </c>
      <c r="Q227" s="12" t="s">
        <v>20838</v>
      </c>
      <c r="R227" s="8" t="s">
        <v>559</v>
      </c>
      <c r="S227" s="8" t="s">
        <v>18</v>
      </c>
      <c r="T227" s="8"/>
      <c r="U227" s="8"/>
      <c r="V227" s="8"/>
      <c r="W227" s="8"/>
      <c r="X227" s="8"/>
      <c r="AN227" s="8"/>
      <c r="AO227" s="8"/>
      <c r="AP227" s="8"/>
      <c r="AQ227" s="8"/>
      <c r="AR227" s="8"/>
      <c r="AS227" s="8"/>
      <c r="AT227" s="8"/>
    </row>
    <row r="228" spans="1:49" ht="12" customHeight="1">
      <c r="A228" s="8" t="s">
        <v>71</v>
      </c>
      <c r="B228" s="16">
        <v>51</v>
      </c>
      <c r="C228" s="8" t="s">
        <v>20</v>
      </c>
      <c r="D228" s="8" t="s">
        <v>37</v>
      </c>
      <c r="E228" s="8" t="s">
        <v>19446</v>
      </c>
      <c r="F228" s="17">
        <v>42282</v>
      </c>
      <c r="G228" s="8" t="s">
        <v>20839</v>
      </c>
      <c r="H228" s="8" t="s">
        <v>72</v>
      </c>
      <c r="I228" s="8" t="s">
        <v>73</v>
      </c>
      <c r="J228" s="16" t="s">
        <v>20840</v>
      </c>
      <c r="K228" s="2" t="s">
        <v>74</v>
      </c>
      <c r="L228" s="8" t="s">
        <v>75</v>
      </c>
      <c r="M228" s="8" t="s">
        <v>27</v>
      </c>
      <c r="N228" s="8" t="s">
        <v>20841</v>
      </c>
      <c r="O228" s="8" t="s">
        <v>404</v>
      </c>
      <c r="P228" s="8" t="s">
        <v>405</v>
      </c>
      <c r="Q228" s="12" t="s">
        <v>76</v>
      </c>
      <c r="R228" s="8" t="s">
        <v>100</v>
      </c>
      <c r="S228" s="8" t="s">
        <v>28</v>
      </c>
      <c r="T228" s="8"/>
      <c r="U228" s="8"/>
      <c r="AN228" s="8"/>
      <c r="AO228" s="8"/>
      <c r="AP228" s="8"/>
      <c r="AQ228" s="8"/>
      <c r="AR228" s="8"/>
      <c r="AS228" s="8"/>
      <c r="AT228" s="8"/>
      <c r="AU228" s="8"/>
      <c r="AV228" s="8"/>
      <c r="AW228" s="8"/>
    </row>
    <row r="229" spans="1:49" ht="12.75" customHeight="1">
      <c r="A229" s="8" t="s">
        <v>77</v>
      </c>
      <c r="B229" s="16">
        <v>50</v>
      </c>
      <c r="C229" s="8" t="s">
        <v>20</v>
      </c>
      <c r="D229" s="8" t="s">
        <v>37</v>
      </c>
      <c r="E229" s="8" t="s">
        <v>78</v>
      </c>
      <c r="F229" s="17">
        <v>42282</v>
      </c>
      <c r="G229" s="8" t="s">
        <v>79</v>
      </c>
      <c r="H229" s="8" t="s">
        <v>80</v>
      </c>
      <c r="I229" s="8" t="s">
        <v>81</v>
      </c>
      <c r="J229" s="16" t="s">
        <v>20842</v>
      </c>
      <c r="K229" s="2" t="s">
        <v>42</v>
      </c>
      <c r="L229" s="8" t="s">
        <v>82</v>
      </c>
      <c r="M229" s="8" t="s">
        <v>27</v>
      </c>
      <c r="N229" s="8" t="s">
        <v>20843</v>
      </c>
      <c r="O229" s="8" t="s">
        <v>404</v>
      </c>
      <c r="P229" s="8" t="s">
        <v>405</v>
      </c>
      <c r="Q229" s="12" t="s">
        <v>83</v>
      </c>
      <c r="R229" s="8" t="s">
        <v>100</v>
      </c>
      <c r="S229" s="8" t="s">
        <v>28</v>
      </c>
      <c r="T229" s="8"/>
      <c r="U229" s="8"/>
      <c r="AN229" s="8"/>
      <c r="AO229" s="8"/>
      <c r="AP229" s="8"/>
      <c r="AQ229" s="8"/>
      <c r="AR229" s="8"/>
      <c r="AS229" s="8"/>
      <c r="AT229" s="8"/>
      <c r="AU229" s="8"/>
      <c r="AV229" s="8"/>
      <c r="AW229" s="8"/>
    </row>
    <row r="230" spans="1:49" ht="12" customHeight="1">
      <c r="A230" s="8" t="s">
        <v>90</v>
      </c>
      <c r="B230" s="16">
        <v>27</v>
      </c>
      <c r="C230" s="8" t="s">
        <v>20</v>
      </c>
      <c r="D230" s="8" t="s">
        <v>37</v>
      </c>
      <c r="E230" s="8" t="s">
        <v>91</v>
      </c>
      <c r="F230" s="17">
        <v>42281</v>
      </c>
      <c r="G230" s="8" t="s">
        <v>92</v>
      </c>
      <c r="H230" s="8" t="s">
        <v>93</v>
      </c>
      <c r="I230" s="8" t="s">
        <v>94</v>
      </c>
      <c r="J230" s="16" t="s">
        <v>7982</v>
      </c>
      <c r="K230" s="2" t="s">
        <v>95</v>
      </c>
      <c r="L230" s="8" t="s">
        <v>96</v>
      </c>
      <c r="M230" s="8" t="s">
        <v>27</v>
      </c>
      <c r="N230" s="8" t="s">
        <v>20844</v>
      </c>
      <c r="O230" s="8" t="s">
        <v>404</v>
      </c>
      <c r="P230" s="8" t="s">
        <v>405</v>
      </c>
      <c r="Q230" s="12" t="s">
        <v>20845</v>
      </c>
      <c r="R230" s="8" t="s">
        <v>559</v>
      </c>
      <c r="S230" s="8" t="s">
        <v>28</v>
      </c>
      <c r="T230" s="8"/>
      <c r="U230" s="8"/>
      <c r="AN230" s="8"/>
      <c r="AO230" s="8"/>
      <c r="AP230" s="8"/>
      <c r="AQ230" s="8"/>
      <c r="AR230" s="8"/>
      <c r="AS230" s="8"/>
      <c r="AT230" s="8"/>
      <c r="AU230" s="8"/>
      <c r="AV230" s="8"/>
      <c r="AW230" s="8"/>
    </row>
    <row r="231" spans="1:49" ht="12" customHeight="1">
      <c r="A231" s="8" t="s">
        <v>84</v>
      </c>
      <c r="B231" s="16">
        <v>31</v>
      </c>
      <c r="C231" s="8" t="s">
        <v>20</v>
      </c>
      <c r="D231" s="8" t="s">
        <v>85</v>
      </c>
      <c r="E231" s="8" t="s">
        <v>86</v>
      </c>
      <c r="F231" s="17">
        <v>42281</v>
      </c>
      <c r="G231" s="8" t="s">
        <v>20846</v>
      </c>
      <c r="H231" s="8" t="s">
        <v>87</v>
      </c>
      <c r="I231" s="8" t="s">
        <v>44</v>
      </c>
      <c r="J231" s="16" t="s">
        <v>6672</v>
      </c>
      <c r="K231" s="2" t="s">
        <v>88</v>
      </c>
      <c r="L231" s="8" t="s">
        <v>89</v>
      </c>
      <c r="M231" s="8" t="s">
        <v>27</v>
      </c>
      <c r="N231" s="8" t="s">
        <v>20847</v>
      </c>
      <c r="O231" s="8" t="s">
        <v>404</v>
      </c>
      <c r="P231" s="8" t="s">
        <v>405</v>
      </c>
      <c r="Q231" s="12" t="s">
        <v>20848</v>
      </c>
      <c r="R231" s="8" t="s">
        <v>100</v>
      </c>
      <c r="S231" s="8" t="s">
        <v>28</v>
      </c>
      <c r="T231" s="8"/>
      <c r="U231" s="8"/>
      <c r="AI231" s="8"/>
      <c r="AJ231" s="8"/>
      <c r="AK231" s="8"/>
      <c r="AL231" s="8"/>
      <c r="AM231" s="8"/>
      <c r="AU231" s="8"/>
      <c r="AV231" s="8"/>
      <c r="AW231" s="8"/>
    </row>
    <row r="232" spans="1:49" ht="12" customHeight="1">
      <c r="A232" s="8" t="s">
        <v>101</v>
      </c>
      <c r="B232" s="16">
        <v>22</v>
      </c>
      <c r="C232" s="8" t="s">
        <v>20</v>
      </c>
      <c r="D232" s="8" t="s">
        <v>85</v>
      </c>
      <c r="E232" s="8" t="s">
        <v>102</v>
      </c>
      <c r="F232" s="17">
        <v>42280</v>
      </c>
      <c r="G232" s="8" t="s">
        <v>103</v>
      </c>
      <c r="H232" s="8" t="s">
        <v>104</v>
      </c>
      <c r="I232" s="8" t="s">
        <v>69</v>
      </c>
      <c r="J232" s="16">
        <v>44112</v>
      </c>
      <c r="K232" s="2" t="s">
        <v>105</v>
      </c>
      <c r="L232" s="8" t="s">
        <v>106</v>
      </c>
      <c r="M232" s="8" t="s">
        <v>107</v>
      </c>
      <c r="O232" s="8" t="s">
        <v>404</v>
      </c>
      <c r="P232" s="8" t="s">
        <v>405</v>
      </c>
      <c r="Q232" s="12" t="s">
        <v>108</v>
      </c>
      <c r="S232" s="8" t="s">
        <v>18</v>
      </c>
      <c r="T232" s="8"/>
      <c r="U232" s="8"/>
      <c r="AI232" s="8"/>
      <c r="AJ232" s="8"/>
      <c r="AK232" s="8"/>
      <c r="AL232" s="8"/>
      <c r="AM232" s="8"/>
      <c r="AU232" s="8"/>
      <c r="AV232" s="8"/>
      <c r="AW232" s="8"/>
    </row>
    <row r="233" spans="1:49" s="8" customFormat="1" ht="12" customHeight="1">
      <c r="A233" s="8" t="s">
        <v>20668</v>
      </c>
      <c r="B233" s="16">
        <v>45</v>
      </c>
      <c r="C233" s="8" t="s">
        <v>20</v>
      </c>
      <c r="D233" s="8" t="s">
        <v>37</v>
      </c>
      <c r="F233" s="17">
        <v>42280</v>
      </c>
      <c r="G233" s="8" t="s">
        <v>97</v>
      </c>
      <c r="H233" s="8" t="s">
        <v>98</v>
      </c>
      <c r="I233" s="8" t="s">
        <v>45</v>
      </c>
      <c r="J233" s="16" t="s">
        <v>20849</v>
      </c>
      <c r="K233" s="2" t="s">
        <v>98</v>
      </c>
      <c r="L233" s="8" t="s">
        <v>99</v>
      </c>
      <c r="M233" s="8" t="s">
        <v>27</v>
      </c>
      <c r="N233" s="8" t="s">
        <v>20850</v>
      </c>
      <c r="O233" s="8" t="s">
        <v>404</v>
      </c>
      <c r="P233" s="8" t="s">
        <v>405</v>
      </c>
      <c r="Q233" s="12" t="s">
        <v>20851</v>
      </c>
      <c r="R233" s="8" t="s">
        <v>29</v>
      </c>
      <c r="S233" s="8" t="s">
        <v>18</v>
      </c>
      <c r="V233" s="2"/>
      <c r="W233" s="2"/>
      <c r="X233" s="2"/>
      <c r="Y233" s="2"/>
      <c r="Z233" s="2"/>
      <c r="AA233" s="2"/>
      <c r="AB233" s="2"/>
      <c r="AC233" s="2"/>
      <c r="AD233" s="2"/>
      <c r="AE233" s="2"/>
      <c r="AF233" s="2"/>
      <c r="AG233" s="2"/>
      <c r="AH233" s="2"/>
      <c r="AI233" s="2"/>
      <c r="AJ233" s="2"/>
      <c r="AK233" s="2"/>
      <c r="AL233" s="2"/>
      <c r="AM233" s="2"/>
    </row>
    <row r="234" spans="1:49" s="8" customFormat="1" ht="12">
      <c r="A234" s="8" t="s">
        <v>121</v>
      </c>
      <c r="B234" s="16">
        <v>28</v>
      </c>
      <c r="C234" s="8" t="s">
        <v>20</v>
      </c>
      <c r="D234" s="8" t="s">
        <v>48</v>
      </c>
      <c r="E234" s="8" t="s">
        <v>122</v>
      </c>
      <c r="F234" s="17">
        <v>42279</v>
      </c>
      <c r="G234" s="8" t="s">
        <v>20852</v>
      </c>
      <c r="H234" s="8" t="s">
        <v>123</v>
      </c>
      <c r="I234" s="8" t="s">
        <v>124</v>
      </c>
      <c r="J234" s="16" t="s">
        <v>12343</v>
      </c>
      <c r="K234" s="2" t="s">
        <v>125</v>
      </c>
      <c r="M234" s="8" t="s">
        <v>27</v>
      </c>
      <c r="N234" s="8" t="s">
        <v>20853</v>
      </c>
      <c r="O234" s="8" t="s">
        <v>404</v>
      </c>
      <c r="P234" s="8" t="s">
        <v>405</v>
      </c>
      <c r="Q234" s="12" t="s">
        <v>20854</v>
      </c>
      <c r="R234" s="8" t="s">
        <v>100</v>
      </c>
      <c r="S234" s="8" t="s">
        <v>28</v>
      </c>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spans="1:49" s="8" customFormat="1" ht="12" customHeight="1">
      <c r="A235" s="8" t="s">
        <v>126</v>
      </c>
      <c r="B235" s="16">
        <v>29</v>
      </c>
      <c r="C235" s="8" t="s">
        <v>20</v>
      </c>
      <c r="D235" s="8" t="s">
        <v>37</v>
      </c>
      <c r="E235" s="8" t="s">
        <v>19448</v>
      </c>
      <c r="F235" s="17">
        <v>42279</v>
      </c>
      <c r="G235" s="8" t="s">
        <v>20855</v>
      </c>
      <c r="H235" s="8" t="s">
        <v>128</v>
      </c>
      <c r="I235" s="8" t="s">
        <v>73</v>
      </c>
      <c r="J235" s="16" t="s">
        <v>20856</v>
      </c>
      <c r="K235" s="2" t="s">
        <v>129</v>
      </c>
      <c r="L235" s="8" t="s">
        <v>130</v>
      </c>
      <c r="M235" s="8" t="s">
        <v>27</v>
      </c>
      <c r="N235" s="8" t="s">
        <v>20857</v>
      </c>
      <c r="O235" s="8" t="s">
        <v>554</v>
      </c>
      <c r="P235" s="8" t="s">
        <v>405</v>
      </c>
      <c r="Q235" s="12" t="s">
        <v>20858</v>
      </c>
      <c r="R235" s="8" t="s">
        <v>100</v>
      </c>
      <c r="S235" s="8" t="s">
        <v>35</v>
      </c>
      <c r="V235" s="2"/>
      <c r="W235" s="2"/>
      <c r="X235" s="2"/>
      <c r="Y235" s="2"/>
      <c r="Z235" s="2"/>
      <c r="AA235" s="2"/>
      <c r="AB235" s="2"/>
      <c r="AC235" s="2"/>
      <c r="AD235" s="2"/>
      <c r="AE235" s="2"/>
      <c r="AF235" s="2"/>
      <c r="AG235" s="2"/>
      <c r="AH235" s="2"/>
      <c r="AI235" s="2"/>
      <c r="AJ235" s="2"/>
      <c r="AK235" s="2"/>
      <c r="AL235" s="2"/>
      <c r="AM235" s="2"/>
    </row>
    <row r="236" spans="1:49" s="8" customFormat="1" ht="12">
      <c r="A236" s="8" t="s">
        <v>19445</v>
      </c>
      <c r="B236" s="16">
        <v>29</v>
      </c>
      <c r="C236" s="8" t="s">
        <v>20</v>
      </c>
      <c r="D236" s="8" t="s">
        <v>37</v>
      </c>
      <c r="F236" s="17">
        <v>42279</v>
      </c>
      <c r="G236" s="8" t="s">
        <v>127</v>
      </c>
      <c r="H236" s="8" t="s">
        <v>128</v>
      </c>
      <c r="I236" s="8" t="s">
        <v>73</v>
      </c>
      <c r="J236" s="16"/>
      <c r="K236" s="2"/>
      <c r="L236" s="8" t="s">
        <v>130</v>
      </c>
      <c r="M236" s="8" t="s">
        <v>27</v>
      </c>
      <c r="P236" s="8" t="s">
        <v>405</v>
      </c>
      <c r="Q236" s="12" t="s">
        <v>131</v>
      </c>
      <c r="S236" s="8" t="s">
        <v>35</v>
      </c>
      <c r="V236" s="2"/>
      <c r="W236" s="2"/>
      <c r="X236" s="2"/>
      <c r="Y236" s="2"/>
      <c r="Z236" s="2"/>
      <c r="AA236" s="2"/>
      <c r="AB236" s="2"/>
      <c r="AC236" s="2"/>
      <c r="AD236" s="2"/>
      <c r="AE236" s="2"/>
      <c r="AF236" s="2"/>
      <c r="AG236" s="2"/>
      <c r="AH236" s="2"/>
      <c r="AI236" s="2"/>
      <c r="AJ236" s="2"/>
      <c r="AK236" s="2"/>
      <c r="AL236" s="2"/>
      <c r="AM236" s="2"/>
      <c r="AU236" s="2"/>
      <c r="AV236" s="2"/>
      <c r="AW236" s="2"/>
    </row>
    <row r="237" spans="1:49" s="8" customFormat="1" ht="12">
      <c r="A237" s="8" t="s">
        <v>114</v>
      </c>
      <c r="B237" s="16">
        <v>55</v>
      </c>
      <c r="C237" s="8" t="s">
        <v>115</v>
      </c>
      <c r="D237" s="8" t="s">
        <v>37</v>
      </c>
      <c r="E237" s="8" t="s">
        <v>19447</v>
      </c>
      <c r="F237" s="17">
        <v>42279</v>
      </c>
      <c r="G237" s="8" t="s">
        <v>116</v>
      </c>
      <c r="H237" s="8" t="s">
        <v>117</v>
      </c>
      <c r="I237" s="8" t="s">
        <v>118</v>
      </c>
      <c r="J237" s="16" t="s">
        <v>5220</v>
      </c>
      <c r="K237" s="2" t="s">
        <v>119</v>
      </c>
      <c r="L237" s="8" t="s">
        <v>120</v>
      </c>
      <c r="M237" s="8" t="s">
        <v>27</v>
      </c>
      <c r="N237" s="8" t="s">
        <v>20859</v>
      </c>
      <c r="O237" s="8" t="s">
        <v>404</v>
      </c>
      <c r="P237" s="8" t="s">
        <v>405</v>
      </c>
      <c r="Q237" s="12" t="s">
        <v>20860</v>
      </c>
      <c r="R237" s="8" t="s">
        <v>559</v>
      </c>
      <c r="S237" s="8" t="s">
        <v>28</v>
      </c>
      <c r="V237" s="2"/>
      <c r="W237" s="2"/>
      <c r="X237" s="2"/>
      <c r="Y237" s="2"/>
      <c r="Z237" s="2"/>
      <c r="AA237" s="2"/>
      <c r="AB237" s="2"/>
      <c r="AC237" s="2"/>
      <c r="AD237" s="2"/>
      <c r="AE237" s="2"/>
      <c r="AF237" s="2"/>
      <c r="AG237" s="2"/>
      <c r="AH237" s="2"/>
      <c r="AI237" s="2"/>
      <c r="AJ237" s="2"/>
      <c r="AK237" s="2"/>
      <c r="AL237" s="2"/>
      <c r="AM237" s="2"/>
    </row>
    <row r="238" spans="1:49" s="8" customFormat="1" ht="12">
      <c r="A238" s="8" t="s">
        <v>19347</v>
      </c>
      <c r="B238" s="16" t="s">
        <v>29</v>
      </c>
      <c r="C238" s="8" t="s">
        <v>29</v>
      </c>
      <c r="D238" s="8" t="s">
        <v>30</v>
      </c>
      <c r="F238" s="17">
        <v>42279</v>
      </c>
      <c r="G238" s="8" t="s">
        <v>109</v>
      </c>
      <c r="H238" s="8" t="s">
        <v>110</v>
      </c>
      <c r="I238" s="8" t="s">
        <v>45</v>
      </c>
      <c r="J238" s="16">
        <v>92376</v>
      </c>
      <c r="K238" s="2" t="s">
        <v>111</v>
      </c>
      <c r="L238" s="8" t="s">
        <v>112</v>
      </c>
      <c r="M238" s="8" t="s">
        <v>27</v>
      </c>
      <c r="P238" s="8" t="s">
        <v>405</v>
      </c>
      <c r="Q238" s="12" t="s">
        <v>113</v>
      </c>
      <c r="S238" s="8" t="s">
        <v>28</v>
      </c>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spans="1:49" s="8" customFormat="1" ht="15" customHeight="1">
      <c r="A239" s="8" t="s">
        <v>132</v>
      </c>
      <c r="B239" s="16">
        <v>37</v>
      </c>
      <c r="C239" s="8" t="s">
        <v>20</v>
      </c>
      <c r="D239" s="8" t="s">
        <v>37</v>
      </c>
      <c r="E239" s="8" t="s">
        <v>133</v>
      </c>
      <c r="F239" s="17">
        <v>42277</v>
      </c>
      <c r="G239" s="8" t="s">
        <v>20368</v>
      </c>
      <c r="H239" s="8" t="s">
        <v>134</v>
      </c>
      <c r="I239" s="8" t="s">
        <v>135</v>
      </c>
      <c r="J239" s="16" t="s">
        <v>20369</v>
      </c>
      <c r="K239" s="2" t="s">
        <v>136</v>
      </c>
      <c r="L239" s="8" t="s">
        <v>137</v>
      </c>
      <c r="M239" s="8" t="s">
        <v>27</v>
      </c>
      <c r="N239" s="8" t="s">
        <v>20370</v>
      </c>
      <c r="O239" s="8" t="s">
        <v>404</v>
      </c>
      <c r="P239" s="8" t="s">
        <v>405</v>
      </c>
      <c r="Q239" s="12" t="s">
        <v>20371</v>
      </c>
      <c r="R239" s="8" t="s">
        <v>100</v>
      </c>
      <c r="S239" s="8" t="s">
        <v>18</v>
      </c>
      <c r="V239" s="2"/>
      <c r="W239" s="2"/>
      <c r="X239" s="2"/>
      <c r="Y239" s="2"/>
      <c r="Z239" s="2"/>
      <c r="AA239" s="2"/>
      <c r="AB239" s="2"/>
      <c r="AC239" s="2"/>
      <c r="AD239" s="2"/>
      <c r="AE239" s="2"/>
      <c r="AF239" s="2"/>
      <c r="AG239" s="2"/>
      <c r="AH239" s="2"/>
      <c r="AI239" s="2"/>
      <c r="AJ239" s="2"/>
      <c r="AK239" s="2"/>
      <c r="AL239" s="2"/>
      <c r="AM239" s="2"/>
      <c r="AU239" s="13"/>
      <c r="AV239" s="13"/>
      <c r="AW239" s="13"/>
    </row>
    <row r="240" spans="1:49" s="8" customFormat="1" ht="12" customHeight="1">
      <c r="A240" s="8" t="s">
        <v>138</v>
      </c>
      <c r="B240" s="16">
        <v>40</v>
      </c>
      <c r="C240" s="8" t="s">
        <v>20</v>
      </c>
      <c r="D240" s="8" t="s">
        <v>37</v>
      </c>
      <c r="E240" s="8" t="s">
        <v>139</v>
      </c>
      <c r="F240" s="17">
        <v>42277</v>
      </c>
      <c r="I240" s="8" t="s">
        <v>73</v>
      </c>
      <c r="J240" s="16"/>
      <c r="P240" s="8" t="s">
        <v>405</v>
      </c>
      <c r="Q240" s="10" t="str">
        <f>HYPERLINK("http://www.kristv.com/story/30147782/texas-rangers-investigating-aransas-co-death","http://www.kristv.com/story/30147782/texas-rangers-investigating-aransas-co-death")</f>
        <v>http://www.kristv.com/story/30147782/texas-rangers-investigating-aransas-co-death</v>
      </c>
      <c r="S240" s="8" t="s">
        <v>28</v>
      </c>
      <c r="V240" s="2"/>
      <c r="W240" s="2"/>
      <c r="X240" s="2"/>
      <c r="Y240" s="2"/>
      <c r="Z240" s="2"/>
      <c r="AA240" s="2"/>
      <c r="AB240" s="2"/>
      <c r="AC240" s="2"/>
      <c r="AD240" s="2"/>
      <c r="AE240" s="2"/>
      <c r="AF240" s="2"/>
      <c r="AG240" s="2"/>
      <c r="AH240" s="2"/>
      <c r="AI240" s="2"/>
      <c r="AJ240" s="2"/>
      <c r="AK240" s="2"/>
      <c r="AL240" s="2"/>
      <c r="AM240" s="2"/>
    </row>
    <row r="241" spans="1:49" s="8" customFormat="1" ht="12" customHeight="1">
      <c r="A241" s="8" t="s">
        <v>148</v>
      </c>
      <c r="B241" s="16">
        <v>28</v>
      </c>
      <c r="C241" s="8" t="s">
        <v>20</v>
      </c>
      <c r="D241" s="8" t="s">
        <v>85</v>
      </c>
      <c r="E241" s="8" t="s">
        <v>149</v>
      </c>
      <c r="F241" s="17">
        <v>42276</v>
      </c>
      <c r="G241" s="8" t="s">
        <v>150</v>
      </c>
      <c r="H241" s="8" t="s">
        <v>151</v>
      </c>
      <c r="I241" s="8" t="s">
        <v>152</v>
      </c>
      <c r="J241" s="16" t="s">
        <v>20372</v>
      </c>
      <c r="K241" s="2" t="s">
        <v>153</v>
      </c>
      <c r="L241" s="8" t="s">
        <v>154</v>
      </c>
      <c r="M241" s="8" t="s">
        <v>27</v>
      </c>
      <c r="N241" s="8" t="s">
        <v>19520</v>
      </c>
      <c r="O241" s="8" t="s">
        <v>1018</v>
      </c>
      <c r="P241" s="8" t="s">
        <v>405</v>
      </c>
      <c r="Q241" s="12" t="s">
        <v>20373</v>
      </c>
      <c r="R241" s="8" t="s">
        <v>100</v>
      </c>
      <c r="S241" s="8" t="s">
        <v>28</v>
      </c>
      <c r="V241" s="2"/>
      <c r="W241" s="2"/>
      <c r="X241" s="2"/>
      <c r="Y241" s="2"/>
      <c r="Z241" s="2"/>
      <c r="AA241" s="2"/>
      <c r="AB241" s="2"/>
      <c r="AC241" s="2"/>
      <c r="AD241" s="2"/>
      <c r="AE241" s="2"/>
      <c r="AF241" s="2"/>
      <c r="AG241" s="2"/>
      <c r="AH241" s="2"/>
      <c r="AN241" s="2"/>
      <c r="AO241" s="2"/>
      <c r="AP241" s="2"/>
      <c r="AQ241" s="2"/>
      <c r="AR241" s="2"/>
      <c r="AS241" s="2"/>
      <c r="AT241" s="2"/>
    </row>
    <row r="242" spans="1:49" s="8" customFormat="1" ht="12" customHeight="1">
      <c r="A242" s="8" t="s">
        <v>140</v>
      </c>
      <c r="B242" s="16">
        <v>46</v>
      </c>
      <c r="C242" s="8" t="s">
        <v>20</v>
      </c>
      <c r="D242" s="8" t="s">
        <v>141</v>
      </c>
      <c r="E242" s="8" t="s">
        <v>142</v>
      </c>
      <c r="F242" s="17">
        <v>42276</v>
      </c>
      <c r="G242" s="8" t="s">
        <v>143</v>
      </c>
      <c r="H242" s="8" t="s">
        <v>144</v>
      </c>
      <c r="I242" s="8" t="s">
        <v>145</v>
      </c>
      <c r="J242" s="16" t="s">
        <v>5454</v>
      </c>
      <c r="K242" s="2" t="s">
        <v>146</v>
      </c>
      <c r="L242" s="8" t="s">
        <v>147</v>
      </c>
      <c r="M242" s="8" t="s">
        <v>27</v>
      </c>
      <c r="N242" s="8" t="s">
        <v>20374</v>
      </c>
      <c r="O242" s="8" t="s">
        <v>404</v>
      </c>
      <c r="P242" s="8" t="s">
        <v>405</v>
      </c>
      <c r="Q242" s="12" t="s">
        <v>20375</v>
      </c>
      <c r="R242" s="8" t="s">
        <v>100</v>
      </c>
      <c r="S242" s="8" t="s">
        <v>28</v>
      </c>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spans="1:49" ht="12" customHeight="1">
      <c r="A243" s="8" t="s">
        <v>157</v>
      </c>
      <c r="B243" s="16">
        <v>59</v>
      </c>
      <c r="C243" s="8" t="s">
        <v>20</v>
      </c>
      <c r="D243" s="8" t="s">
        <v>48</v>
      </c>
      <c r="F243" s="17">
        <v>42275</v>
      </c>
      <c r="G243" s="8" t="s">
        <v>20376</v>
      </c>
      <c r="H243" s="8" t="s">
        <v>158</v>
      </c>
      <c r="I243" s="8" t="s">
        <v>45</v>
      </c>
      <c r="J243" s="16" t="s">
        <v>13192</v>
      </c>
      <c r="K243" s="2" t="s">
        <v>158</v>
      </c>
      <c r="L243" s="8" t="s">
        <v>159</v>
      </c>
      <c r="M243" s="8" t="s">
        <v>27</v>
      </c>
      <c r="N243" s="8" t="s">
        <v>20377</v>
      </c>
      <c r="O243" s="8" t="s">
        <v>1018</v>
      </c>
      <c r="P243" s="8" t="s">
        <v>405</v>
      </c>
      <c r="Q243" s="12" t="s">
        <v>20378</v>
      </c>
      <c r="R243" s="8" t="s">
        <v>100</v>
      </c>
      <c r="S243" s="8" t="s">
        <v>18</v>
      </c>
      <c r="T243" s="8"/>
      <c r="U243" s="8"/>
      <c r="AU243" s="8"/>
      <c r="AV243" s="8"/>
      <c r="AW243" s="8"/>
    </row>
    <row r="244" spans="1:49" s="8" customFormat="1" ht="12" customHeight="1">
      <c r="A244" s="8" t="s">
        <v>160</v>
      </c>
      <c r="B244" s="16">
        <v>31</v>
      </c>
      <c r="C244" s="8" t="s">
        <v>20</v>
      </c>
      <c r="D244" s="8" t="s">
        <v>85</v>
      </c>
      <c r="E244" s="8" t="s">
        <v>161</v>
      </c>
      <c r="F244" s="17">
        <v>42275</v>
      </c>
      <c r="G244" s="8" t="s">
        <v>20379</v>
      </c>
      <c r="H244" s="8" t="s">
        <v>162</v>
      </c>
      <c r="I244" s="8" t="s">
        <v>62</v>
      </c>
      <c r="J244" s="16" t="s">
        <v>20380</v>
      </c>
      <c r="K244" s="2" t="s">
        <v>163</v>
      </c>
      <c r="L244" s="8" t="s">
        <v>164</v>
      </c>
      <c r="M244" s="8" t="s">
        <v>27</v>
      </c>
      <c r="N244" s="8" t="s">
        <v>20381</v>
      </c>
      <c r="O244" s="8" t="s">
        <v>404</v>
      </c>
      <c r="P244" s="8" t="s">
        <v>405</v>
      </c>
      <c r="Q244" s="12" t="s">
        <v>20382</v>
      </c>
      <c r="R244" s="8" t="s">
        <v>100</v>
      </c>
      <c r="S244" s="8" t="s">
        <v>18</v>
      </c>
      <c r="V244" s="2"/>
      <c r="W244" s="2"/>
      <c r="X244" s="2"/>
      <c r="Y244" s="2"/>
      <c r="Z244" s="2"/>
      <c r="AA244" s="2"/>
      <c r="AB244" s="2"/>
      <c r="AC244" s="2"/>
      <c r="AD244" s="2"/>
      <c r="AE244" s="2"/>
      <c r="AF244" s="2"/>
      <c r="AG244" s="2"/>
      <c r="AH244" s="2"/>
      <c r="AN244" s="2"/>
      <c r="AO244" s="2"/>
      <c r="AP244" s="2"/>
      <c r="AQ244" s="2"/>
      <c r="AR244" s="2"/>
      <c r="AS244" s="2"/>
      <c r="AT244" s="2"/>
    </row>
    <row r="245" spans="1:49" s="13" customFormat="1" ht="12" customHeight="1">
      <c r="A245" s="8" t="s">
        <v>155</v>
      </c>
      <c r="B245" s="16">
        <v>33</v>
      </c>
      <c r="C245" s="8" t="s">
        <v>20</v>
      </c>
      <c r="D245" s="8" t="s">
        <v>48</v>
      </c>
      <c r="E245" s="8" t="s">
        <v>156</v>
      </c>
      <c r="F245" s="17">
        <v>42275</v>
      </c>
      <c r="G245" s="8"/>
      <c r="H245" s="8"/>
      <c r="I245" s="8" t="s">
        <v>45</v>
      </c>
      <c r="J245" s="16"/>
      <c r="K245" s="8"/>
      <c r="L245" s="8"/>
      <c r="M245" s="8"/>
      <c r="N245" s="8"/>
      <c r="O245" s="8"/>
      <c r="P245" s="8" t="s">
        <v>405</v>
      </c>
      <c r="Q245" s="10"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R245" s="8"/>
      <c r="S245" s="8" t="s">
        <v>28</v>
      </c>
      <c r="T245" s="8"/>
      <c r="U245" s="8"/>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8"/>
      <c r="AV245" s="8"/>
      <c r="AW245" s="8"/>
    </row>
    <row r="246" spans="1:49" s="8" customFormat="1" ht="12" customHeight="1">
      <c r="A246" s="8" t="s">
        <v>173</v>
      </c>
      <c r="B246" s="16">
        <v>43</v>
      </c>
      <c r="C246" s="8" t="s">
        <v>20</v>
      </c>
      <c r="D246" s="8" t="s">
        <v>30</v>
      </c>
      <c r="F246" s="17">
        <v>42274</v>
      </c>
      <c r="G246" s="8" t="s">
        <v>20383</v>
      </c>
      <c r="H246" s="8" t="s">
        <v>174</v>
      </c>
      <c r="I246" s="8" t="s">
        <v>175</v>
      </c>
      <c r="J246" s="16" t="s">
        <v>20384</v>
      </c>
      <c r="K246" s="2" t="s">
        <v>176</v>
      </c>
      <c r="L246" s="8" t="s">
        <v>177</v>
      </c>
      <c r="M246" s="8" t="s">
        <v>27</v>
      </c>
      <c r="N246" s="8" t="s">
        <v>20385</v>
      </c>
      <c r="O246" s="8" t="s">
        <v>404</v>
      </c>
      <c r="P246" s="8" t="s">
        <v>405</v>
      </c>
      <c r="Q246" s="12" t="s">
        <v>20386</v>
      </c>
      <c r="R246" s="8" t="s">
        <v>100</v>
      </c>
      <c r="S246" s="8" t="s">
        <v>28</v>
      </c>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spans="1:49" s="8" customFormat="1" ht="12" customHeight="1">
      <c r="A247" s="8" t="s">
        <v>170</v>
      </c>
      <c r="B247" s="16">
        <v>37</v>
      </c>
      <c r="C247" s="8" t="s">
        <v>115</v>
      </c>
      <c r="D247" s="8" t="s">
        <v>48</v>
      </c>
      <c r="E247" s="8" t="s">
        <v>171</v>
      </c>
      <c r="F247" s="17">
        <v>42274</v>
      </c>
      <c r="G247" s="8" t="s">
        <v>172</v>
      </c>
      <c r="H247" s="8" t="s">
        <v>98</v>
      </c>
      <c r="I247" s="8" t="s">
        <v>45</v>
      </c>
      <c r="J247" s="16" t="s">
        <v>20387</v>
      </c>
      <c r="K247" s="2" t="s">
        <v>98</v>
      </c>
      <c r="L247" s="8" t="s">
        <v>99</v>
      </c>
      <c r="M247" s="8" t="s">
        <v>27</v>
      </c>
      <c r="N247" s="8" t="s">
        <v>20388</v>
      </c>
      <c r="O247" s="8" t="s">
        <v>404</v>
      </c>
      <c r="P247" s="8" t="s">
        <v>405</v>
      </c>
      <c r="Q247" s="12" t="s">
        <v>20389</v>
      </c>
      <c r="R247" s="8" t="s">
        <v>29</v>
      </c>
      <c r="S247" s="8" t="s">
        <v>28</v>
      </c>
      <c r="V247" s="2"/>
      <c r="W247" s="2"/>
      <c r="X247" s="2"/>
      <c r="Y247" s="2"/>
      <c r="Z247" s="2"/>
      <c r="AA247" s="2"/>
      <c r="AB247" s="2"/>
      <c r="AC247" s="2"/>
      <c r="AD247" s="2"/>
      <c r="AE247" s="2"/>
      <c r="AF247" s="2"/>
      <c r="AG247" s="2"/>
      <c r="AH247" s="2"/>
      <c r="AN247" s="2"/>
      <c r="AO247" s="2"/>
      <c r="AP247" s="2"/>
      <c r="AQ247" s="2"/>
      <c r="AR247" s="2"/>
      <c r="AS247" s="2"/>
      <c r="AT247" s="2"/>
    </row>
    <row r="248" spans="1:49" s="8" customFormat="1" ht="12" customHeight="1">
      <c r="A248" s="8" t="s">
        <v>165</v>
      </c>
      <c r="B248" s="16">
        <v>40</v>
      </c>
      <c r="C248" s="8" t="s">
        <v>20</v>
      </c>
      <c r="D248" s="8" t="s">
        <v>48</v>
      </c>
      <c r="E248" s="8" t="s">
        <v>166</v>
      </c>
      <c r="F248" s="17">
        <v>42274</v>
      </c>
      <c r="G248" s="8" t="s">
        <v>20390</v>
      </c>
      <c r="H248" s="8" t="s">
        <v>167</v>
      </c>
      <c r="I248" s="8" t="s">
        <v>73</v>
      </c>
      <c r="J248" s="16" t="s">
        <v>20391</v>
      </c>
      <c r="K248" s="2" t="s">
        <v>168</v>
      </c>
      <c r="L248" s="8" t="s">
        <v>169</v>
      </c>
      <c r="M248" s="8" t="s">
        <v>27</v>
      </c>
      <c r="N248" s="8" t="s">
        <v>20392</v>
      </c>
      <c r="O248" s="8" t="s">
        <v>404</v>
      </c>
      <c r="P248" s="8" t="s">
        <v>405</v>
      </c>
      <c r="Q248" s="12" t="s">
        <v>20393</v>
      </c>
      <c r="R248" s="8" t="s">
        <v>100</v>
      </c>
      <c r="S248" s="8" t="s">
        <v>28</v>
      </c>
      <c r="V248" s="2"/>
      <c r="W248" s="2"/>
      <c r="X248" s="2"/>
      <c r="Y248" s="2"/>
      <c r="Z248" s="2"/>
      <c r="AA248" s="2"/>
      <c r="AB248" s="2"/>
      <c r="AC248" s="2"/>
      <c r="AD248" s="2"/>
      <c r="AE248" s="2"/>
      <c r="AF248" s="2"/>
      <c r="AG248" s="2"/>
      <c r="AH248" s="2"/>
      <c r="AN248" s="2"/>
      <c r="AO248" s="2"/>
      <c r="AP248" s="2"/>
      <c r="AQ248" s="2"/>
      <c r="AR248" s="2"/>
      <c r="AS248" s="2"/>
      <c r="AT248" s="2"/>
    </row>
    <row r="249" spans="1:49" s="8" customFormat="1" ht="12" customHeight="1">
      <c r="A249" s="8" t="s">
        <v>194</v>
      </c>
      <c r="B249" s="16">
        <v>23</v>
      </c>
      <c r="C249" s="8" t="s">
        <v>20</v>
      </c>
      <c r="D249" s="8" t="s">
        <v>48</v>
      </c>
      <c r="E249" s="8" t="s">
        <v>195</v>
      </c>
      <c r="F249" s="17">
        <v>42273</v>
      </c>
      <c r="G249" s="8" t="s">
        <v>196</v>
      </c>
      <c r="H249" s="8" t="s">
        <v>197</v>
      </c>
      <c r="I249" s="8" t="s">
        <v>198</v>
      </c>
      <c r="J249" s="16" t="s">
        <v>13577</v>
      </c>
      <c r="K249" s="2" t="s">
        <v>794</v>
      </c>
      <c r="L249" s="8" t="s">
        <v>199</v>
      </c>
      <c r="M249" s="8" t="s">
        <v>27</v>
      </c>
      <c r="N249" s="8" t="s">
        <v>20394</v>
      </c>
      <c r="O249" s="8" t="s">
        <v>404</v>
      </c>
      <c r="P249" s="8" t="s">
        <v>405</v>
      </c>
      <c r="Q249" s="12" t="s">
        <v>20395</v>
      </c>
      <c r="R249" s="8" t="s">
        <v>100</v>
      </c>
      <c r="S249" s="8" t="s">
        <v>28</v>
      </c>
      <c r="V249" s="2"/>
      <c r="W249" s="2"/>
      <c r="X249" s="2"/>
      <c r="Y249" s="2"/>
      <c r="Z249" s="2"/>
      <c r="AA249" s="2"/>
      <c r="AB249" s="2"/>
      <c r="AC249" s="2"/>
      <c r="AD249" s="2"/>
      <c r="AE249" s="2"/>
      <c r="AF249" s="2"/>
      <c r="AG249" s="2"/>
      <c r="AH249" s="2"/>
      <c r="AN249" s="2"/>
      <c r="AO249" s="2"/>
      <c r="AP249" s="2"/>
      <c r="AQ249" s="2"/>
      <c r="AR249" s="2"/>
      <c r="AS249" s="2"/>
      <c r="AT249" s="2"/>
    </row>
    <row r="250" spans="1:49" s="8" customFormat="1" ht="12" customHeight="1">
      <c r="A250" s="8" t="s">
        <v>190</v>
      </c>
      <c r="B250" s="16">
        <v>46</v>
      </c>
      <c r="C250" s="8" t="s">
        <v>20</v>
      </c>
      <c r="D250" s="8" t="s">
        <v>85</v>
      </c>
      <c r="E250" s="8" t="s">
        <v>191</v>
      </c>
      <c r="F250" s="17">
        <v>42273</v>
      </c>
      <c r="G250" s="8" t="s">
        <v>20396</v>
      </c>
      <c r="H250" s="8" t="s">
        <v>192</v>
      </c>
      <c r="I250" s="8" t="s">
        <v>25</v>
      </c>
      <c r="J250" s="16" t="s">
        <v>20397</v>
      </c>
      <c r="K250" s="2" t="s">
        <v>3789</v>
      </c>
      <c r="L250" s="8" t="s">
        <v>193</v>
      </c>
      <c r="M250" s="8" t="s">
        <v>27</v>
      </c>
      <c r="N250" s="8" t="s">
        <v>20398</v>
      </c>
      <c r="O250" s="8" t="s">
        <v>404</v>
      </c>
      <c r="P250" s="8" t="s">
        <v>405</v>
      </c>
      <c r="Q250" s="12" t="s">
        <v>20399</v>
      </c>
      <c r="R250" s="8" t="s">
        <v>100</v>
      </c>
      <c r="S250" s="8" t="s">
        <v>35</v>
      </c>
      <c r="V250" s="2"/>
      <c r="W250" s="2"/>
      <c r="X250" s="2"/>
      <c r="Y250" s="2"/>
      <c r="Z250" s="2"/>
      <c r="AA250" s="2"/>
      <c r="AB250" s="2"/>
      <c r="AC250" s="2"/>
      <c r="AD250" s="2"/>
      <c r="AE250" s="2"/>
      <c r="AF250" s="2"/>
      <c r="AG250" s="2"/>
      <c r="AH250" s="2"/>
      <c r="AN250" s="2"/>
      <c r="AO250" s="2"/>
      <c r="AP250" s="2"/>
      <c r="AQ250" s="2"/>
      <c r="AR250" s="2"/>
      <c r="AS250" s="2"/>
      <c r="AT250" s="2"/>
    </row>
    <row r="251" spans="1:49" s="8" customFormat="1" ht="12" customHeight="1">
      <c r="A251" s="8" t="s">
        <v>185</v>
      </c>
      <c r="B251" s="16" t="s">
        <v>186</v>
      </c>
      <c r="C251" s="8" t="s">
        <v>115</v>
      </c>
      <c r="D251" s="8" t="s">
        <v>37</v>
      </c>
      <c r="E251" s="8" t="s">
        <v>187</v>
      </c>
      <c r="F251" s="17">
        <v>42273</v>
      </c>
      <c r="G251" s="8" t="s">
        <v>20400</v>
      </c>
      <c r="H251" s="8" t="s">
        <v>2098</v>
      </c>
      <c r="I251" s="8" t="s">
        <v>175</v>
      </c>
      <c r="J251" s="16" t="s">
        <v>2099</v>
      </c>
      <c r="K251" s="2" t="s">
        <v>2100</v>
      </c>
      <c r="L251" s="8" t="s">
        <v>20401</v>
      </c>
      <c r="M251" s="8" t="s">
        <v>383</v>
      </c>
      <c r="N251" s="8" t="s">
        <v>20402</v>
      </c>
      <c r="O251" s="8" t="s">
        <v>404</v>
      </c>
      <c r="P251" s="8" t="s">
        <v>405</v>
      </c>
      <c r="Q251" s="12" t="s">
        <v>20403</v>
      </c>
      <c r="R251" s="8" t="s">
        <v>100</v>
      </c>
      <c r="S251" s="8" t="s">
        <v>28</v>
      </c>
      <c r="V251" s="2"/>
      <c r="W251" s="2"/>
      <c r="X251" s="2"/>
      <c r="Y251" s="2"/>
      <c r="Z251" s="2"/>
      <c r="AA251" s="2"/>
      <c r="AB251" s="2"/>
      <c r="AC251" s="2"/>
      <c r="AD251" s="2"/>
      <c r="AE251" s="2"/>
      <c r="AF251" s="2"/>
      <c r="AG251" s="2"/>
      <c r="AH251" s="2"/>
      <c r="AI251" s="2"/>
      <c r="AJ251" s="2"/>
      <c r="AK251" s="2"/>
      <c r="AL251" s="2"/>
      <c r="AM251" s="2"/>
      <c r="AU251" s="2"/>
      <c r="AV251" s="2"/>
      <c r="AW251" s="2"/>
    </row>
    <row r="252" spans="1:49" s="8" customFormat="1" ht="12" customHeight="1">
      <c r="A252" s="8" t="s">
        <v>183</v>
      </c>
      <c r="B252" s="16">
        <v>17</v>
      </c>
      <c r="C252" s="8" t="s">
        <v>115</v>
      </c>
      <c r="D252" s="8" t="s">
        <v>37</v>
      </c>
      <c r="E252" s="8" t="s">
        <v>184</v>
      </c>
      <c r="F252" s="17">
        <v>42273</v>
      </c>
      <c r="G252" s="8" t="s">
        <v>20400</v>
      </c>
      <c r="H252" s="8" t="s">
        <v>2098</v>
      </c>
      <c r="I252" s="8" t="s">
        <v>175</v>
      </c>
      <c r="J252" s="16" t="s">
        <v>2099</v>
      </c>
      <c r="K252" s="2" t="s">
        <v>2100</v>
      </c>
      <c r="L252" s="8" t="s">
        <v>20401</v>
      </c>
      <c r="M252" s="8" t="s">
        <v>383</v>
      </c>
      <c r="N252" s="8" t="s">
        <v>20404</v>
      </c>
      <c r="O252" s="8" t="s">
        <v>404</v>
      </c>
      <c r="P252" s="8" t="s">
        <v>405</v>
      </c>
      <c r="Q252" s="12" t="s">
        <v>20403</v>
      </c>
      <c r="R252" s="8" t="s">
        <v>100</v>
      </c>
      <c r="S252" s="8" t="s">
        <v>28</v>
      </c>
      <c r="V252" s="2"/>
      <c r="W252" s="2"/>
      <c r="X252" s="2"/>
      <c r="Y252" s="2"/>
      <c r="Z252" s="2"/>
      <c r="AA252" s="2"/>
      <c r="AB252" s="2"/>
      <c r="AC252" s="2"/>
      <c r="AD252" s="2"/>
      <c r="AE252" s="2"/>
      <c r="AF252" s="2"/>
      <c r="AG252" s="2"/>
      <c r="AH252" s="2"/>
      <c r="AI252" s="2"/>
      <c r="AJ252" s="2"/>
      <c r="AK252" s="2"/>
      <c r="AL252" s="2"/>
      <c r="AM252" s="2"/>
      <c r="AU252" s="2"/>
      <c r="AV252" s="2"/>
      <c r="AW252" s="2"/>
    </row>
    <row r="253" spans="1:49" s="8" customFormat="1" ht="12" customHeight="1">
      <c r="A253" s="8" t="s">
        <v>200</v>
      </c>
      <c r="B253" s="16">
        <v>40</v>
      </c>
      <c r="C253" s="8" t="s">
        <v>20</v>
      </c>
      <c r="D253" s="8" t="s">
        <v>48</v>
      </c>
      <c r="E253" s="8" t="s">
        <v>201</v>
      </c>
      <c r="F253" s="17">
        <v>42272</v>
      </c>
      <c r="G253" s="8" t="s">
        <v>202</v>
      </c>
      <c r="H253" s="8" t="s">
        <v>203</v>
      </c>
      <c r="I253" s="8" t="s">
        <v>45</v>
      </c>
      <c r="J253" s="16" t="s">
        <v>15862</v>
      </c>
      <c r="K253" s="8" t="s">
        <v>203</v>
      </c>
      <c r="L253" s="8" t="s">
        <v>204</v>
      </c>
      <c r="M253" s="8" t="s">
        <v>27</v>
      </c>
      <c r="N253" s="8" t="s">
        <v>20865</v>
      </c>
      <c r="O253" s="8" t="s">
        <v>404</v>
      </c>
      <c r="P253" s="8" t="s">
        <v>405</v>
      </c>
      <c r="Q253" s="10" t="str">
        <f>HYPERLINK("http://www.fresnobee.com/news/local/crime/article37140321.html","http://www.fresnobee.com/news/local/crime/article37140321.html")</f>
        <v>http://www.fresnobee.com/news/local/crime/article37140321.html</v>
      </c>
      <c r="R253" s="8" t="s">
        <v>100</v>
      </c>
      <c r="S253" s="8" t="s">
        <v>18</v>
      </c>
      <c r="V253" s="2"/>
      <c r="W253" s="2"/>
      <c r="X253" s="2"/>
      <c r="Y253" s="2"/>
      <c r="Z253" s="2"/>
      <c r="AA253" s="2"/>
      <c r="AB253" s="2"/>
      <c r="AC253" s="2"/>
      <c r="AD253" s="2"/>
      <c r="AE253" s="2"/>
      <c r="AF253" s="2"/>
      <c r="AG253" s="2"/>
      <c r="AH253" s="2"/>
      <c r="AN253" s="2"/>
      <c r="AO253" s="2"/>
      <c r="AP253" s="2"/>
      <c r="AQ253" s="2"/>
      <c r="AR253" s="2"/>
      <c r="AS253" s="2"/>
      <c r="AT253" s="2"/>
      <c r="AU253" s="2"/>
      <c r="AV253" s="2"/>
      <c r="AW253" s="2"/>
    </row>
    <row r="254" spans="1:49" s="8" customFormat="1" ht="12" customHeight="1">
      <c r="A254" s="8" t="s">
        <v>188</v>
      </c>
      <c r="B254" s="16">
        <v>33</v>
      </c>
      <c r="C254" s="8" t="s">
        <v>20</v>
      </c>
      <c r="D254" s="8" t="s">
        <v>85</v>
      </c>
      <c r="F254" s="17">
        <v>42272</v>
      </c>
      <c r="G254" s="8" t="s">
        <v>189</v>
      </c>
      <c r="H254" s="8" t="s">
        <v>87</v>
      </c>
      <c r="I254" s="8" t="s">
        <v>44</v>
      </c>
      <c r="J254" s="16" t="s">
        <v>20405</v>
      </c>
      <c r="K254" s="2" t="s">
        <v>88</v>
      </c>
      <c r="L254" s="8" t="s">
        <v>89</v>
      </c>
      <c r="M254" s="8" t="s">
        <v>27</v>
      </c>
      <c r="N254" s="8" t="s">
        <v>20406</v>
      </c>
      <c r="O254" s="8" t="s">
        <v>404</v>
      </c>
      <c r="P254" s="8" t="s">
        <v>405</v>
      </c>
      <c r="Q254" s="12" t="s">
        <v>20407</v>
      </c>
      <c r="R254" s="8" t="s">
        <v>100</v>
      </c>
      <c r="S254" s="8" t="s">
        <v>28</v>
      </c>
      <c r="V254" s="2"/>
      <c r="W254" s="2"/>
      <c r="X254" s="2"/>
      <c r="Y254" s="2"/>
      <c r="Z254" s="2"/>
      <c r="AA254" s="2"/>
      <c r="AB254" s="2"/>
      <c r="AC254" s="2"/>
      <c r="AD254" s="2"/>
      <c r="AE254" s="2"/>
      <c r="AF254" s="2"/>
      <c r="AG254" s="2"/>
      <c r="AH254" s="2"/>
      <c r="AN254" s="2"/>
      <c r="AO254" s="2"/>
      <c r="AP254" s="2"/>
      <c r="AQ254" s="2"/>
      <c r="AR254" s="2"/>
      <c r="AS254" s="2"/>
      <c r="AT254" s="2"/>
      <c r="AU254" s="2"/>
      <c r="AV254" s="2"/>
      <c r="AW254" s="2"/>
    </row>
    <row r="255" spans="1:49" s="8" customFormat="1" ht="12">
      <c r="A255" s="8" t="s">
        <v>178</v>
      </c>
      <c r="B255" s="16">
        <v>45</v>
      </c>
      <c r="C255" s="8" t="s">
        <v>20</v>
      </c>
      <c r="D255" s="8" t="s">
        <v>37</v>
      </c>
      <c r="E255" s="8" t="s">
        <v>179</v>
      </c>
      <c r="F255" s="17">
        <v>42272</v>
      </c>
      <c r="G255" s="8" t="s">
        <v>20408</v>
      </c>
      <c r="H255" s="8" t="s">
        <v>180</v>
      </c>
      <c r="I255" s="8" t="s">
        <v>124</v>
      </c>
      <c r="J255" s="16" t="s">
        <v>20409</v>
      </c>
      <c r="K255" s="2" t="s">
        <v>181</v>
      </c>
      <c r="L255" s="8" t="s">
        <v>182</v>
      </c>
      <c r="M255" s="8" t="s">
        <v>27</v>
      </c>
      <c r="N255" s="8" t="s">
        <v>20410</v>
      </c>
      <c r="O255" s="8" t="s">
        <v>404</v>
      </c>
      <c r="P255" s="8" t="s">
        <v>405</v>
      </c>
      <c r="Q255" s="12" t="s">
        <v>20411</v>
      </c>
      <c r="R255" s="8" t="s">
        <v>100</v>
      </c>
      <c r="S255" s="8" t="s">
        <v>28</v>
      </c>
      <c r="V255" s="2"/>
      <c r="W255" s="2"/>
      <c r="X255" s="2"/>
      <c r="Y255" s="2"/>
      <c r="Z255" s="2"/>
      <c r="AA255" s="2"/>
      <c r="AB255" s="2"/>
      <c r="AC255" s="2"/>
      <c r="AD255" s="2"/>
      <c r="AE255" s="2"/>
      <c r="AF255" s="2"/>
      <c r="AG255" s="2"/>
      <c r="AH255" s="2"/>
      <c r="AI255" s="2"/>
      <c r="AJ255" s="2"/>
      <c r="AK255" s="2"/>
      <c r="AL255" s="2"/>
      <c r="AM255" s="2"/>
      <c r="AU255" s="2"/>
      <c r="AV255" s="2"/>
      <c r="AW255" s="2"/>
    </row>
    <row r="256" spans="1:49" ht="12" customHeight="1">
      <c r="A256" s="8" t="s">
        <v>205</v>
      </c>
      <c r="B256" s="16">
        <v>21</v>
      </c>
      <c r="C256" s="8" t="s">
        <v>20</v>
      </c>
      <c r="D256" s="8" t="s">
        <v>37</v>
      </c>
      <c r="E256" s="8" t="s">
        <v>206</v>
      </c>
      <c r="F256" s="17">
        <v>42272</v>
      </c>
      <c r="G256" s="8" t="s">
        <v>20412</v>
      </c>
      <c r="H256" s="8" t="s">
        <v>207</v>
      </c>
      <c r="I256" s="8" t="s">
        <v>69</v>
      </c>
      <c r="J256" s="16" t="s">
        <v>20413</v>
      </c>
      <c r="K256" s="2" t="s">
        <v>3506</v>
      </c>
      <c r="L256" s="8" t="s">
        <v>208</v>
      </c>
      <c r="M256" s="8" t="s">
        <v>27</v>
      </c>
      <c r="N256" s="8" t="s">
        <v>20414</v>
      </c>
      <c r="O256" s="8" t="s">
        <v>404</v>
      </c>
      <c r="P256" s="8" t="s">
        <v>405</v>
      </c>
      <c r="Q256" s="12" t="s">
        <v>20415</v>
      </c>
      <c r="R256" s="8" t="s">
        <v>100</v>
      </c>
      <c r="S256" s="8" t="s">
        <v>18</v>
      </c>
      <c r="T256" s="8"/>
      <c r="U256" s="8"/>
      <c r="AN256" s="8"/>
      <c r="AO256" s="8"/>
      <c r="AP256" s="8"/>
      <c r="AQ256" s="8"/>
      <c r="AR256" s="8"/>
      <c r="AS256" s="8"/>
      <c r="AT256" s="8"/>
    </row>
    <row r="257" spans="1:46" ht="12" customHeight="1">
      <c r="A257" s="8" t="s">
        <v>214</v>
      </c>
      <c r="B257" s="16">
        <v>42</v>
      </c>
      <c r="C257" s="8" t="s">
        <v>20</v>
      </c>
      <c r="D257" s="8" t="s">
        <v>85</v>
      </c>
      <c r="E257" s="8" t="s">
        <v>215</v>
      </c>
      <c r="F257" s="17">
        <v>42271</v>
      </c>
      <c r="G257" s="8" t="s">
        <v>20416</v>
      </c>
      <c r="H257" s="8" t="s">
        <v>216</v>
      </c>
      <c r="I257" s="8" t="s">
        <v>62</v>
      </c>
      <c r="J257" s="16" t="s">
        <v>20417</v>
      </c>
      <c r="K257" s="2" t="s">
        <v>163</v>
      </c>
      <c r="L257" s="8" t="s">
        <v>164</v>
      </c>
      <c r="M257" s="8" t="s">
        <v>27</v>
      </c>
      <c r="N257" s="8" t="s">
        <v>20418</v>
      </c>
      <c r="O257" s="8" t="s">
        <v>404</v>
      </c>
      <c r="P257" s="8" t="s">
        <v>405</v>
      </c>
      <c r="Q257" s="12" t="s">
        <v>20419</v>
      </c>
      <c r="R257" s="8" t="s">
        <v>559</v>
      </c>
      <c r="S257" s="8" t="s">
        <v>28</v>
      </c>
      <c r="T257" s="8"/>
      <c r="U257" s="8"/>
      <c r="AI257" s="8"/>
      <c r="AJ257" s="8"/>
      <c r="AK257" s="8"/>
      <c r="AL257" s="8"/>
      <c r="AM257" s="8"/>
    </row>
    <row r="258" spans="1:46" ht="12" customHeight="1">
      <c r="A258" s="8" t="s">
        <v>209</v>
      </c>
      <c r="B258" s="16">
        <v>17</v>
      </c>
      <c r="C258" s="8" t="s">
        <v>20</v>
      </c>
      <c r="D258" s="8" t="s">
        <v>37</v>
      </c>
      <c r="E258" s="8" t="s">
        <v>210</v>
      </c>
      <c r="F258" s="17">
        <v>42271</v>
      </c>
      <c r="G258" s="8" t="s">
        <v>20420</v>
      </c>
      <c r="H258" s="8" t="s">
        <v>211</v>
      </c>
      <c r="I258" s="8" t="s">
        <v>212</v>
      </c>
      <c r="J258" s="16" t="s">
        <v>13316</v>
      </c>
      <c r="K258" s="2" t="s">
        <v>865</v>
      </c>
      <c r="L258" s="8" t="s">
        <v>213</v>
      </c>
      <c r="M258" s="8" t="s">
        <v>27</v>
      </c>
      <c r="N258" s="8" t="s">
        <v>20421</v>
      </c>
      <c r="O258" s="8" t="s">
        <v>404</v>
      </c>
      <c r="P258" s="8" t="s">
        <v>405</v>
      </c>
      <c r="Q258" s="12" t="s">
        <v>20422</v>
      </c>
      <c r="R258" s="8" t="s">
        <v>100</v>
      </c>
      <c r="S258" s="8" t="s">
        <v>28</v>
      </c>
      <c r="T258" s="8"/>
      <c r="U258" s="8"/>
      <c r="AN258" s="8"/>
      <c r="AO258" s="8"/>
      <c r="AP258" s="8"/>
      <c r="AQ258" s="8"/>
      <c r="AR258" s="8"/>
      <c r="AS258" s="8"/>
      <c r="AT258" s="8"/>
    </row>
    <row r="259" spans="1:46" ht="12.75" customHeight="1">
      <c r="A259" s="8" t="s">
        <v>222</v>
      </c>
      <c r="B259" s="16">
        <v>30</v>
      </c>
      <c r="C259" s="8" t="s">
        <v>20</v>
      </c>
      <c r="D259" s="8" t="s">
        <v>141</v>
      </c>
      <c r="E259" s="8" t="s">
        <v>223</v>
      </c>
      <c r="F259" s="17">
        <v>42271</v>
      </c>
      <c r="G259" s="8" t="s">
        <v>20423</v>
      </c>
      <c r="H259" s="8" t="s">
        <v>224</v>
      </c>
      <c r="I259" s="8" t="s">
        <v>135</v>
      </c>
      <c r="J259" s="16" t="s">
        <v>20424</v>
      </c>
      <c r="K259" s="2" t="s">
        <v>3639</v>
      </c>
      <c r="L259" s="8" t="s">
        <v>4976</v>
      </c>
      <c r="M259" s="8" t="s">
        <v>27</v>
      </c>
      <c r="N259" s="8" t="s">
        <v>20425</v>
      </c>
      <c r="O259" s="8" t="s">
        <v>404</v>
      </c>
      <c r="P259" s="8" t="s">
        <v>405</v>
      </c>
      <c r="Q259" s="12" t="s">
        <v>20426</v>
      </c>
      <c r="R259" s="8" t="s">
        <v>559</v>
      </c>
      <c r="S259" s="8" t="s">
        <v>28</v>
      </c>
      <c r="T259" s="8"/>
      <c r="U259" s="8"/>
    </row>
    <row r="260" spans="1:46" ht="12" customHeight="1">
      <c r="A260" s="8" t="s">
        <v>217</v>
      </c>
      <c r="B260" s="16">
        <v>53</v>
      </c>
      <c r="C260" s="8" t="s">
        <v>20</v>
      </c>
      <c r="D260" s="8" t="s">
        <v>30</v>
      </c>
      <c r="F260" s="17">
        <v>42271</v>
      </c>
      <c r="G260" s="8" t="s">
        <v>218</v>
      </c>
      <c r="H260" s="8" t="s">
        <v>219</v>
      </c>
      <c r="I260" s="8" t="s">
        <v>220</v>
      </c>
      <c r="J260" s="16" t="s">
        <v>20427</v>
      </c>
      <c r="K260" s="2" t="s">
        <v>424</v>
      </c>
      <c r="L260" s="8" t="s">
        <v>221</v>
      </c>
      <c r="M260" s="8" t="s">
        <v>383</v>
      </c>
      <c r="N260" s="8" t="s">
        <v>20428</v>
      </c>
      <c r="O260" s="8" t="s">
        <v>404</v>
      </c>
      <c r="P260" s="8" t="s">
        <v>405</v>
      </c>
      <c r="Q260" s="12" t="s">
        <v>20429</v>
      </c>
      <c r="R260" s="8" t="s">
        <v>100</v>
      </c>
      <c r="S260" s="8" t="s">
        <v>18</v>
      </c>
      <c r="T260" s="8"/>
      <c r="U260" s="8"/>
    </row>
    <row r="261" spans="1:46" ht="12.75" customHeight="1">
      <c r="A261" s="8" t="s">
        <v>225</v>
      </c>
      <c r="B261" s="16">
        <v>28</v>
      </c>
      <c r="C261" s="8" t="s">
        <v>20</v>
      </c>
      <c r="D261" s="8" t="s">
        <v>85</v>
      </c>
      <c r="E261" s="8" t="s">
        <v>226</v>
      </c>
      <c r="F261" s="17">
        <v>42270</v>
      </c>
      <c r="G261" s="8" t="s">
        <v>20430</v>
      </c>
      <c r="H261" s="8" t="s">
        <v>227</v>
      </c>
      <c r="I261" s="8" t="s">
        <v>228</v>
      </c>
      <c r="J261" s="16" t="s">
        <v>20431</v>
      </c>
      <c r="K261" s="2" t="s">
        <v>3858</v>
      </c>
      <c r="L261" s="8" t="s">
        <v>229</v>
      </c>
      <c r="M261" s="8" t="s">
        <v>27</v>
      </c>
      <c r="N261" s="8" t="s">
        <v>20432</v>
      </c>
      <c r="O261" s="8" t="s">
        <v>404</v>
      </c>
      <c r="P261" s="8" t="s">
        <v>405</v>
      </c>
      <c r="Q261" s="12" t="s">
        <v>20433</v>
      </c>
      <c r="R261" s="8" t="s">
        <v>100</v>
      </c>
      <c r="S261" s="8" t="s">
        <v>28</v>
      </c>
      <c r="T261" s="8"/>
      <c r="U261" s="8"/>
      <c r="AI261" s="8"/>
      <c r="AJ261" s="8"/>
      <c r="AK261" s="8"/>
      <c r="AL261" s="8"/>
      <c r="AM261" s="8"/>
    </row>
    <row r="262" spans="1:46" ht="12" customHeight="1">
      <c r="A262" s="8" t="s">
        <v>235</v>
      </c>
      <c r="B262" s="16">
        <v>35</v>
      </c>
      <c r="C262" s="8" t="s">
        <v>20</v>
      </c>
      <c r="D262" s="8" t="s">
        <v>37</v>
      </c>
      <c r="E262" s="8" t="s">
        <v>236</v>
      </c>
      <c r="F262" s="17">
        <v>42270</v>
      </c>
      <c r="G262" s="8" t="s">
        <v>237</v>
      </c>
      <c r="H262" s="8" t="s">
        <v>238</v>
      </c>
      <c r="I262" s="8" t="s">
        <v>73</v>
      </c>
      <c r="J262" s="16" t="s">
        <v>20434</v>
      </c>
      <c r="K262" s="2" t="s">
        <v>20435</v>
      </c>
      <c r="L262" s="8" t="s">
        <v>239</v>
      </c>
      <c r="M262" s="8" t="s">
        <v>27</v>
      </c>
      <c r="N262" s="8" t="s">
        <v>20436</v>
      </c>
      <c r="O262" s="8" t="s">
        <v>404</v>
      </c>
      <c r="P262" s="8" t="s">
        <v>405</v>
      </c>
      <c r="Q262" s="12" t="s">
        <v>20437</v>
      </c>
      <c r="R262" s="8" t="s">
        <v>100</v>
      </c>
      <c r="S262" s="8" t="s">
        <v>28</v>
      </c>
      <c r="T262" s="8"/>
      <c r="U262" s="8"/>
      <c r="AN262" s="8"/>
      <c r="AO262" s="8"/>
      <c r="AP262" s="8"/>
      <c r="AQ262" s="8"/>
      <c r="AR262" s="8"/>
      <c r="AS262" s="8"/>
      <c r="AT262" s="8"/>
    </row>
    <row r="263" spans="1:46" ht="12.75" customHeight="1">
      <c r="A263" s="8" t="s">
        <v>230</v>
      </c>
      <c r="B263" s="16">
        <v>19</v>
      </c>
      <c r="C263" s="8" t="s">
        <v>20</v>
      </c>
      <c r="D263" s="8" t="s">
        <v>85</v>
      </c>
      <c r="E263" s="8" t="s">
        <v>231</v>
      </c>
      <c r="F263" s="17">
        <v>42270</v>
      </c>
      <c r="G263" s="8" t="s">
        <v>232</v>
      </c>
      <c r="H263" s="8" t="s">
        <v>233</v>
      </c>
      <c r="I263" s="8" t="s">
        <v>52</v>
      </c>
      <c r="J263" s="16" t="s">
        <v>20438</v>
      </c>
      <c r="K263" s="2" t="s">
        <v>1608</v>
      </c>
      <c r="L263" s="8" t="s">
        <v>234</v>
      </c>
      <c r="M263" s="8" t="s">
        <v>27</v>
      </c>
      <c r="N263" s="8" t="s">
        <v>20439</v>
      </c>
      <c r="O263" s="8" t="s">
        <v>404</v>
      </c>
      <c r="P263" s="8" t="s">
        <v>405</v>
      </c>
      <c r="Q263" s="12" t="s">
        <v>20440</v>
      </c>
      <c r="R263" s="8" t="s">
        <v>100</v>
      </c>
      <c r="S263" s="8" t="s">
        <v>18</v>
      </c>
      <c r="T263" s="8"/>
      <c r="U263" s="8"/>
      <c r="AI263" s="8"/>
      <c r="AJ263" s="8"/>
      <c r="AK263" s="8"/>
      <c r="AL263" s="8"/>
      <c r="AM263" s="8"/>
    </row>
    <row r="264" spans="1:46" ht="12" customHeight="1">
      <c r="A264" s="8" t="s">
        <v>245</v>
      </c>
      <c r="B264" s="16">
        <v>45</v>
      </c>
      <c r="C264" s="8" t="s">
        <v>20</v>
      </c>
      <c r="D264" s="8" t="s">
        <v>37</v>
      </c>
      <c r="F264" s="17">
        <v>42270</v>
      </c>
      <c r="G264" s="8" t="s">
        <v>20441</v>
      </c>
      <c r="H264" s="8" t="s">
        <v>246</v>
      </c>
      <c r="I264" s="8" t="s">
        <v>247</v>
      </c>
      <c r="J264" s="16" t="s">
        <v>20442</v>
      </c>
      <c r="K264" s="2" t="s">
        <v>20443</v>
      </c>
      <c r="L264" s="8" t="s">
        <v>248</v>
      </c>
      <c r="M264" s="8" t="s">
        <v>27</v>
      </c>
      <c r="N264" s="8" t="s">
        <v>20444</v>
      </c>
      <c r="O264" s="8" t="s">
        <v>404</v>
      </c>
      <c r="P264" s="8" t="s">
        <v>405</v>
      </c>
      <c r="Q264" s="12" t="s">
        <v>20445</v>
      </c>
      <c r="R264" s="8" t="s">
        <v>100</v>
      </c>
      <c r="S264" s="8" t="s">
        <v>28</v>
      </c>
      <c r="T264" s="8"/>
      <c r="U264" s="8"/>
      <c r="AN264" s="8"/>
      <c r="AO264" s="8"/>
      <c r="AP264" s="8"/>
      <c r="AQ264" s="8"/>
      <c r="AR264" s="8"/>
      <c r="AS264" s="8"/>
      <c r="AT264" s="8"/>
    </row>
    <row r="265" spans="1:46" ht="12.75" customHeight="1">
      <c r="A265" s="8" t="s">
        <v>240</v>
      </c>
      <c r="B265" s="16">
        <v>48</v>
      </c>
      <c r="C265" s="8" t="s">
        <v>20</v>
      </c>
      <c r="D265" s="8" t="s">
        <v>85</v>
      </c>
      <c r="E265" s="8" t="s">
        <v>241</v>
      </c>
      <c r="F265" s="17">
        <v>42270</v>
      </c>
      <c r="G265" s="8" t="s">
        <v>20446</v>
      </c>
      <c r="H265" s="8" t="s">
        <v>242</v>
      </c>
      <c r="I265" s="8" t="s">
        <v>243</v>
      </c>
      <c r="J265" s="16" t="s">
        <v>10421</v>
      </c>
      <c r="K265" s="2" t="s">
        <v>617</v>
      </c>
      <c r="L265" s="8" t="s">
        <v>244</v>
      </c>
      <c r="M265" s="8" t="s">
        <v>27</v>
      </c>
      <c r="N265" s="8" t="s">
        <v>20447</v>
      </c>
      <c r="O265" s="8" t="s">
        <v>404</v>
      </c>
      <c r="P265" s="8" t="s">
        <v>405</v>
      </c>
      <c r="Q265" s="12" t="s">
        <v>20448</v>
      </c>
      <c r="R265" s="8" t="s">
        <v>100</v>
      </c>
      <c r="S265" s="8" t="s">
        <v>28</v>
      </c>
      <c r="T265" s="8"/>
      <c r="U265" s="8"/>
      <c r="AI265" s="8"/>
      <c r="AJ265" s="8"/>
      <c r="AK265" s="8"/>
      <c r="AL265" s="8"/>
      <c r="AM265" s="8"/>
    </row>
    <row r="266" spans="1:46" ht="12" customHeight="1">
      <c r="A266" s="8" t="s">
        <v>249</v>
      </c>
      <c r="B266" s="16">
        <v>32</v>
      </c>
      <c r="C266" s="8" t="s">
        <v>20</v>
      </c>
      <c r="D266" s="8" t="s">
        <v>85</v>
      </c>
      <c r="E266" s="8" t="s">
        <v>250</v>
      </c>
      <c r="F266" s="17">
        <v>42269</v>
      </c>
      <c r="G266" s="8" t="s">
        <v>20449</v>
      </c>
      <c r="H266" s="8" t="s">
        <v>727</v>
      </c>
      <c r="I266" s="8" t="s">
        <v>45</v>
      </c>
      <c r="J266" s="16" t="s">
        <v>8817</v>
      </c>
      <c r="K266" s="2" t="s">
        <v>608</v>
      </c>
      <c r="L266" s="8" t="s">
        <v>252</v>
      </c>
      <c r="M266" s="8" t="s">
        <v>27</v>
      </c>
      <c r="N266" s="8" t="s">
        <v>20450</v>
      </c>
      <c r="O266" s="8" t="s">
        <v>1018</v>
      </c>
      <c r="P266" s="8" t="s">
        <v>405</v>
      </c>
      <c r="Q266" s="12" t="s">
        <v>20451</v>
      </c>
      <c r="R266" s="8" t="s">
        <v>100</v>
      </c>
      <c r="S266" s="8" t="s">
        <v>28</v>
      </c>
      <c r="T266" s="6"/>
      <c r="U266" s="8"/>
      <c r="AI266" s="8"/>
      <c r="AJ266" s="8"/>
      <c r="AK266" s="8"/>
      <c r="AL266" s="8"/>
      <c r="AM266" s="8"/>
    </row>
    <row r="267" spans="1:46" ht="12" customHeight="1">
      <c r="A267" s="8" t="s">
        <v>270</v>
      </c>
      <c r="B267" s="16">
        <v>26</v>
      </c>
      <c r="C267" s="8" t="s">
        <v>20</v>
      </c>
      <c r="D267" s="8" t="s">
        <v>30</v>
      </c>
      <c r="F267" s="17">
        <v>42269</v>
      </c>
      <c r="G267" s="8" t="s">
        <v>20452</v>
      </c>
      <c r="H267" s="8" t="s">
        <v>271</v>
      </c>
      <c r="I267" s="8" t="s">
        <v>272</v>
      </c>
      <c r="J267" s="16" t="s">
        <v>8573</v>
      </c>
      <c r="K267" s="2" t="s">
        <v>574</v>
      </c>
      <c r="L267" s="8" t="s">
        <v>273</v>
      </c>
      <c r="M267" s="8" t="s">
        <v>27</v>
      </c>
      <c r="N267" s="8" t="s">
        <v>20453</v>
      </c>
      <c r="O267" s="8" t="s">
        <v>404</v>
      </c>
      <c r="P267" s="8" t="s">
        <v>405</v>
      </c>
      <c r="Q267" s="12" t="s">
        <v>20454</v>
      </c>
      <c r="R267" s="8" t="s">
        <v>100</v>
      </c>
      <c r="S267" s="8" t="s">
        <v>28</v>
      </c>
      <c r="T267" s="8"/>
      <c r="U267" s="8"/>
    </row>
    <row r="268" spans="1:46" ht="12" customHeight="1">
      <c r="A268" s="8" t="s">
        <v>265</v>
      </c>
      <c r="B268" s="16">
        <v>33</v>
      </c>
      <c r="C268" s="8" t="s">
        <v>20</v>
      </c>
      <c r="D268" s="8" t="s">
        <v>37</v>
      </c>
      <c r="E268" s="8" t="s">
        <v>266</v>
      </c>
      <c r="F268" s="17">
        <v>42269</v>
      </c>
      <c r="G268" s="8" t="s">
        <v>267</v>
      </c>
      <c r="H268" s="8" t="s">
        <v>268</v>
      </c>
      <c r="I268" s="8" t="s">
        <v>62</v>
      </c>
      <c r="J268" s="16" t="s">
        <v>20455</v>
      </c>
      <c r="K268" s="2" t="s">
        <v>12400</v>
      </c>
      <c r="L268" s="8" t="s">
        <v>269</v>
      </c>
      <c r="M268" s="8" t="s">
        <v>27</v>
      </c>
      <c r="N268" s="8" t="s">
        <v>20456</v>
      </c>
      <c r="O268" s="8" t="s">
        <v>1018</v>
      </c>
      <c r="P268" s="8" t="s">
        <v>405</v>
      </c>
      <c r="Q268" s="12" t="s">
        <v>20457</v>
      </c>
      <c r="R268" s="8" t="s">
        <v>100</v>
      </c>
      <c r="S268" s="8" t="s">
        <v>28</v>
      </c>
      <c r="T268" s="8"/>
      <c r="U268" s="8"/>
      <c r="AN268" s="8"/>
      <c r="AO268" s="8"/>
      <c r="AP268" s="8"/>
      <c r="AQ268" s="8"/>
      <c r="AR268" s="8"/>
      <c r="AS268" s="8"/>
      <c r="AT268" s="8"/>
    </row>
    <row r="269" spans="1:46" ht="12" customHeight="1">
      <c r="A269" s="8" t="s">
        <v>253</v>
      </c>
      <c r="B269" s="16">
        <v>55</v>
      </c>
      <c r="C269" s="8" t="s">
        <v>20</v>
      </c>
      <c r="D269" s="8" t="s">
        <v>30</v>
      </c>
      <c r="F269" s="17">
        <v>42269</v>
      </c>
      <c r="G269" s="8" t="s">
        <v>254</v>
      </c>
      <c r="H269" s="8" t="s">
        <v>255</v>
      </c>
      <c r="I269" s="8" t="s">
        <v>45</v>
      </c>
      <c r="K269" s="8"/>
      <c r="L269" s="8" t="s">
        <v>256</v>
      </c>
      <c r="M269" s="8" t="s">
        <v>27</v>
      </c>
      <c r="P269" s="8" t="s">
        <v>405</v>
      </c>
      <c r="Q269" s="10" t="str">
        <f>HYPERLINK("http://www.redding.com/news/local-news/happy-valley-road-closing-in-search-for-armed-suspect","http://www.redding.com/news/local-news/happy-valley-road-closing-in-search-for-armed-suspect")</f>
        <v>http://www.redding.com/news/local-news/happy-valley-road-closing-in-search-for-armed-suspect</v>
      </c>
      <c r="S269" s="8" t="s">
        <v>35</v>
      </c>
      <c r="T269" s="8"/>
      <c r="U269" s="8"/>
    </row>
    <row r="270" spans="1:46" ht="12.75" customHeight="1">
      <c r="A270" s="8" t="s">
        <v>261</v>
      </c>
      <c r="B270" s="16">
        <v>26</v>
      </c>
      <c r="C270" s="8" t="s">
        <v>20</v>
      </c>
      <c r="D270" s="8" t="s">
        <v>37</v>
      </c>
      <c r="E270" s="8" t="s">
        <v>262</v>
      </c>
      <c r="F270" s="17">
        <v>42269</v>
      </c>
      <c r="G270" s="8" t="s">
        <v>20458</v>
      </c>
      <c r="H270" s="8" t="s">
        <v>263</v>
      </c>
      <c r="I270" s="8" t="s">
        <v>62</v>
      </c>
      <c r="J270" s="16" t="s">
        <v>20459</v>
      </c>
      <c r="K270" s="2" t="s">
        <v>3940</v>
      </c>
      <c r="L270" s="8" t="s">
        <v>264</v>
      </c>
      <c r="M270" s="8" t="s">
        <v>27</v>
      </c>
      <c r="N270" s="8" t="s">
        <v>20460</v>
      </c>
      <c r="O270" s="8" t="s">
        <v>404</v>
      </c>
      <c r="P270" s="8" t="s">
        <v>405</v>
      </c>
      <c r="Q270" s="12" t="s">
        <v>20461</v>
      </c>
      <c r="R270" s="8" t="s">
        <v>100</v>
      </c>
      <c r="S270" s="8" t="s">
        <v>28</v>
      </c>
      <c r="T270" s="8"/>
      <c r="U270" s="8"/>
      <c r="AN270" s="8"/>
      <c r="AO270" s="8"/>
      <c r="AP270" s="8"/>
      <c r="AQ270" s="8"/>
      <c r="AR270" s="8"/>
      <c r="AS270" s="8"/>
      <c r="AT270" s="8"/>
    </row>
    <row r="271" spans="1:46" ht="12.75" customHeight="1">
      <c r="A271" s="8" t="s">
        <v>257</v>
      </c>
      <c r="B271" s="16">
        <v>34</v>
      </c>
      <c r="C271" s="8" t="s">
        <v>20</v>
      </c>
      <c r="D271" s="8" t="s">
        <v>48</v>
      </c>
      <c r="E271" s="8" t="s">
        <v>258</v>
      </c>
      <c r="F271" s="17">
        <v>42268</v>
      </c>
      <c r="G271" s="8" t="s">
        <v>20462</v>
      </c>
      <c r="H271" s="8" t="s">
        <v>259</v>
      </c>
      <c r="I271" s="8" t="s">
        <v>62</v>
      </c>
      <c r="J271" s="16" t="s">
        <v>20463</v>
      </c>
      <c r="K271" s="2" t="s">
        <v>1881</v>
      </c>
      <c r="L271" s="8" t="s">
        <v>260</v>
      </c>
      <c r="M271" s="8" t="s">
        <v>27</v>
      </c>
      <c r="N271" s="8" t="s">
        <v>20464</v>
      </c>
      <c r="O271" s="8" t="s">
        <v>404</v>
      </c>
      <c r="P271" s="8" t="s">
        <v>405</v>
      </c>
      <c r="Q271" s="12" t="s">
        <v>20465</v>
      </c>
      <c r="R271" s="8" t="s">
        <v>100</v>
      </c>
      <c r="S271" s="8" t="s">
        <v>18</v>
      </c>
      <c r="T271" s="6"/>
      <c r="U271" s="8"/>
      <c r="AI271" s="8"/>
      <c r="AJ271" s="8"/>
      <c r="AK271" s="8"/>
      <c r="AL271" s="8"/>
      <c r="AM271" s="8"/>
    </row>
    <row r="272" spans="1:46" ht="12.75" customHeight="1">
      <c r="A272" s="8" t="s">
        <v>281</v>
      </c>
      <c r="B272" s="16">
        <v>21</v>
      </c>
      <c r="C272" s="8" t="s">
        <v>20</v>
      </c>
      <c r="D272" s="8" t="s">
        <v>37</v>
      </c>
      <c r="E272" s="8" t="s">
        <v>282</v>
      </c>
      <c r="F272" s="17">
        <v>42268</v>
      </c>
      <c r="G272" s="8" t="s">
        <v>20466</v>
      </c>
      <c r="H272" s="8" t="s">
        <v>283</v>
      </c>
      <c r="I272" s="8" t="s">
        <v>73</v>
      </c>
      <c r="J272" s="16" t="s">
        <v>17406</v>
      </c>
      <c r="K272" s="2" t="s">
        <v>7091</v>
      </c>
      <c r="L272" s="8" t="s">
        <v>284</v>
      </c>
      <c r="M272" s="8" t="s">
        <v>27</v>
      </c>
      <c r="N272" s="8" t="s">
        <v>20467</v>
      </c>
      <c r="O272" s="8" t="s">
        <v>404</v>
      </c>
      <c r="P272" s="8" t="s">
        <v>405</v>
      </c>
      <c r="Q272" s="12" t="s">
        <v>20468</v>
      </c>
      <c r="R272" s="8" t="s">
        <v>100</v>
      </c>
      <c r="S272" s="8" t="s">
        <v>28</v>
      </c>
      <c r="T272" s="6"/>
      <c r="U272" s="8"/>
      <c r="AN272" s="8"/>
      <c r="AO272" s="8"/>
      <c r="AP272" s="8"/>
      <c r="AQ272" s="8"/>
      <c r="AR272" s="8"/>
      <c r="AS272" s="8"/>
      <c r="AT272" s="8"/>
    </row>
    <row r="273" spans="1:46" ht="12" customHeight="1">
      <c r="A273" s="8" t="s">
        <v>285</v>
      </c>
      <c r="B273" s="16">
        <v>24</v>
      </c>
      <c r="C273" s="8" t="s">
        <v>20</v>
      </c>
      <c r="D273" s="8" t="s">
        <v>48</v>
      </c>
      <c r="E273" s="8" t="s">
        <v>286</v>
      </c>
      <c r="F273" s="17">
        <v>42268</v>
      </c>
      <c r="G273" s="8" t="s">
        <v>287</v>
      </c>
      <c r="H273" s="8" t="s">
        <v>288</v>
      </c>
      <c r="I273" s="8" t="s">
        <v>73</v>
      </c>
      <c r="J273" s="16" t="s">
        <v>20469</v>
      </c>
      <c r="K273" s="2" t="s">
        <v>288</v>
      </c>
      <c r="L273" s="8" t="s">
        <v>289</v>
      </c>
      <c r="M273" s="8" t="s">
        <v>27</v>
      </c>
      <c r="N273" s="8" t="s">
        <v>20470</v>
      </c>
      <c r="O273" s="8" t="s">
        <v>404</v>
      </c>
      <c r="P273" s="8" t="s">
        <v>405</v>
      </c>
      <c r="Q273" s="12" t="s">
        <v>20471</v>
      </c>
      <c r="R273" s="8" t="s">
        <v>559</v>
      </c>
      <c r="S273" s="8" t="s">
        <v>28</v>
      </c>
      <c r="T273" s="8"/>
      <c r="U273" s="8"/>
      <c r="AI273" s="8"/>
      <c r="AJ273" s="8"/>
      <c r="AK273" s="8"/>
      <c r="AL273" s="8"/>
      <c r="AM273" s="8"/>
    </row>
    <row r="274" spans="1:46" ht="12" customHeight="1">
      <c r="A274" s="8" t="s">
        <v>67</v>
      </c>
      <c r="B274" s="16">
        <v>27</v>
      </c>
      <c r="C274" s="8" t="s">
        <v>20</v>
      </c>
      <c r="D274" s="8" t="s">
        <v>21</v>
      </c>
      <c r="E274" s="8" t="s">
        <v>68</v>
      </c>
      <c r="F274" s="17">
        <v>42268</v>
      </c>
      <c r="G274" s="8" t="s">
        <v>20472</v>
      </c>
      <c r="H274" s="8" t="s">
        <v>207</v>
      </c>
      <c r="I274" s="8" t="s">
        <v>69</v>
      </c>
      <c r="J274" s="16" t="s">
        <v>20473</v>
      </c>
      <c r="K274" s="2" t="s">
        <v>3506</v>
      </c>
      <c r="L274" s="8" t="s">
        <v>208</v>
      </c>
      <c r="M274" s="8" t="s">
        <v>27</v>
      </c>
      <c r="N274" s="8" t="s">
        <v>20474</v>
      </c>
      <c r="O274" s="8" t="s">
        <v>404</v>
      </c>
      <c r="P274" s="8" t="s">
        <v>405</v>
      </c>
      <c r="Q274" s="12" t="s">
        <v>70</v>
      </c>
      <c r="R274" s="8" t="s">
        <v>100</v>
      </c>
      <c r="S274" s="8" t="s">
        <v>35</v>
      </c>
      <c r="T274" s="8"/>
      <c r="U274" s="8"/>
      <c r="Y274" s="8"/>
      <c r="Z274" s="8"/>
      <c r="AA274" s="8"/>
      <c r="AB274" s="8"/>
      <c r="AC274" s="8"/>
      <c r="AD274" s="8"/>
      <c r="AE274" s="8"/>
      <c r="AF274" s="8"/>
      <c r="AG274" s="8"/>
      <c r="AH274" s="8"/>
    </row>
    <row r="275" spans="1:46" ht="12" customHeight="1">
      <c r="A275" s="8" t="s">
        <v>274</v>
      </c>
      <c r="B275" s="16">
        <v>23</v>
      </c>
      <c r="C275" s="8" t="s">
        <v>115</v>
      </c>
      <c r="D275" s="8" t="s">
        <v>37</v>
      </c>
      <c r="E275" s="8" t="s">
        <v>275</v>
      </c>
      <c r="F275" s="17">
        <v>42268</v>
      </c>
      <c r="G275" s="8" t="s">
        <v>276</v>
      </c>
      <c r="H275" s="8" t="s">
        <v>277</v>
      </c>
      <c r="I275" s="8" t="s">
        <v>45</v>
      </c>
      <c r="J275" s="16" t="s">
        <v>5923</v>
      </c>
      <c r="K275" s="2" t="s">
        <v>65</v>
      </c>
      <c r="L275" s="8" t="s">
        <v>278</v>
      </c>
      <c r="M275" s="8" t="s">
        <v>27</v>
      </c>
      <c r="N275" s="8" t="s">
        <v>20475</v>
      </c>
      <c r="O275" s="8" t="s">
        <v>404</v>
      </c>
      <c r="P275" s="8" t="s">
        <v>405</v>
      </c>
      <c r="Q275" s="12" t="s">
        <v>20476</v>
      </c>
      <c r="R275" s="8" t="s">
        <v>100</v>
      </c>
      <c r="S275" s="8" t="s">
        <v>28</v>
      </c>
      <c r="T275" s="8"/>
      <c r="U275" s="8"/>
      <c r="Y275" s="8"/>
      <c r="Z275" s="8"/>
      <c r="AA275" s="8"/>
      <c r="AB275" s="8"/>
      <c r="AC275" s="8"/>
      <c r="AD275" s="8"/>
      <c r="AE275" s="8"/>
      <c r="AF275" s="8"/>
      <c r="AG275" s="8"/>
      <c r="AH275" s="8"/>
      <c r="AN275" s="8"/>
      <c r="AO275" s="8"/>
      <c r="AP275" s="8"/>
      <c r="AQ275" s="8"/>
      <c r="AR275" s="8"/>
      <c r="AS275" s="8"/>
      <c r="AT275" s="8"/>
    </row>
    <row r="276" spans="1:46" ht="12" customHeight="1">
      <c r="A276" s="8" t="s">
        <v>279</v>
      </c>
      <c r="B276" s="16">
        <v>27</v>
      </c>
      <c r="C276" s="8" t="s">
        <v>20</v>
      </c>
      <c r="D276" s="8" t="s">
        <v>37</v>
      </c>
      <c r="E276" s="8" t="s">
        <v>280</v>
      </c>
      <c r="F276" s="17">
        <v>42268</v>
      </c>
      <c r="G276" s="8" t="s">
        <v>276</v>
      </c>
      <c r="H276" s="8" t="s">
        <v>277</v>
      </c>
      <c r="I276" s="8" t="s">
        <v>45</v>
      </c>
      <c r="J276" s="16" t="s">
        <v>5923</v>
      </c>
      <c r="K276" s="2" t="s">
        <v>65</v>
      </c>
      <c r="L276" s="8" t="s">
        <v>278</v>
      </c>
      <c r="M276" s="8" t="s">
        <v>27</v>
      </c>
      <c r="N276" s="8" t="s">
        <v>20477</v>
      </c>
      <c r="O276" s="8" t="s">
        <v>404</v>
      </c>
      <c r="P276" s="8" t="s">
        <v>405</v>
      </c>
      <c r="Q276" s="12" t="s">
        <v>20476</v>
      </c>
      <c r="R276" s="8" t="s">
        <v>100</v>
      </c>
      <c r="S276" s="8" t="s">
        <v>28</v>
      </c>
      <c r="T276" s="8"/>
      <c r="U276" s="8"/>
      <c r="Y276" s="8"/>
      <c r="Z276" s="8"/>
      <c r="AA276" s="8"/>
      <c r="AB276" s="8"/>
      <c r="AC276" s="8"/>
      <c r="AD276" s="8"/>
      <c r="AE276" s="8"/>
      <c r="AF276" s="8"/>
      <c r="AG276" s="8"/>
      <c r="AH276" s="8"/>
      <c r="AN276" s="8"/>
      <c r="AO276" s="8"/>
      <c r="AP276" s="8"/>
      <c r="AQ276" s="8"/>
      <c r="AR276" s="8"/>
      <c r="AS276" s="8"/>
      <c r="AT276" s="8"/>
    </row>
    <row r="277" spans="1:46" ht="12.75" customHeight="1">
      <c r="A277" s="8" t="s">
        <v>290</v>
      </c>
      <c r="B277" s="16">
        <v>56</v>
      </c>
      <c r="C277" s="8" t="s">
        <v>20</v>
      </c>
      <c r="D277" s="8" t="s">
        <v>37</v>
      </c>
      <c r="E277" s="8" t="s">
        <v>291</v>
      </c>
      <c r="F277" s="17">
        <v>42267</v>
      </c>
      <c r="G277" s="8" t="s">
        <v>20478</v>
      </c>
      <c r="H277" s="8" t="s">
        <v>292</v>
      </c>
      <c r="I277" s="8" t="s">
        <v>220</v>
      </c>
      <c r="J277" s="16" t="s">
        <v>20479</v>
      </c>
      <c r="K277" s="2" t="s">
        <v>1205</v>
      </c>
      <c r="L277" s="8" t="s">
        <v>20862</v>
      </c>
      <c r="M277" s="8" t="s">
        <v>27</v>
      </c>
      <c r="N277" s="8" t="s">
        <v>20480</v>
      </c>
      <c r="O277" s="8" t="s">
        <v>404</v>
      </c>
      <c r="P277" s="8" t="s">
        <v>405</v>
      </c>
      <c r="Q277" s="12" t="s">
        <v>20481</v>
      </c>
      <c r="R277" s="8" t="s">
        <v>100</v>
      </c>
      <c r="S277" s="8" t="s">
        <v>28</v>
      </c>
      <c r="T277" s="8"/>
      <c r="U277" s="8"/>
      <c r="AN277" s="8"/>
      <c r="AO277" s="8"/>
      <c r="AP277" s="8"/>
      <c r="AQ277" s="8"/>
      <c r="AR277" s="8"/>
      <c r="AS277" s="8"/>
      <c r="AT277" s="8"/>
    </row>
    <row r="278" spans="1:46" ht="12" customHeight="1">
      <c r="A278" s="8" t="s">
        <v>293</v>
      </c>
      <c r="B278" s="16">
        <v>48</v>
      </c>
      <c r="C278" s="8" t="s">
        <v>115</v>
      </c>
      <c r="D278" s="8" t="s">
        <v>30</v>
      </c>
      <c r="F278" s="17">
        <v>42267</v>
      </c>
      <c r="G278" s="8" t="s">
        <v>20482</v>
      </c>
      <c r="H278" s="8" t="s">
        <v>294</v>
      </c>
      <c r="I278" s="8" t="s">
        <v>57</v>
      </c>
      <c r="J278" s="16" t="s">
        <v>19613</v>
      </c>
      <c r="K278" s="2" t="s">
        <v>10234</v>
      </c>
      <c r="L278" s="8" t="s">
        <v>295</v>
      </c>
      <c r="M278" s="8" t="s">
        <v>383</v>
      </c>
      <c r="N278" s="8" t="s">
        <v>20483</v>
      </c>
      <c r="O278" s="8" t="s">
        <v>404</v>
      </c>
      <c r="P278" s="8" t="s">
        <v>405</v>
      </c>
      <c r="Q278" s="12" t="s">
        <v>20484</v>
      </c>
      <c r="R278" s="8" t="s">
        <v>100</v>
      </c>
      <c r="S278" s="8" t="s">
        <v>18</v>
      </c>
      <c r="T278" s="8"/>
      <c r="U278" s="8"/>
    </row>
    <row r="279" spans="1:46" ht="12" customHeight="1">
      <c r="A279" s="8" t="s">
        <v>296</v>
      </c>
      <c r="B279" s="16">
        <v>23</v>
      </c>
      <c r="C279" s="8" t="s">
        <v>20</v>
      </c>
      <c r="D279" s="8" t="s">
        <v>37</v>
      </c>
      <c r="E279" s="8" t="s">
        <v>297</v>
      </c>
      <c r="F279" s="17">
        <v>42267</v>
      </c>
      <c r="G279" s="8" t="s">
        <v>298</v>
      </c>
      <c r="H279" s="8" t="s">
        <v>299</v>
      </c>
      <c r="I279" s="8" t="s">
        <v>247</v>
      </c>
      <c r="J279" s="16" t="s">
        <v>20485</v>
      </c>
      <c r="K279" s="2" t="s">
        <v>4819</v>
      </c>
      <c r="L279" s="8" t="s">
        <v>300</v>
      </c>
      <c r="M279" s="8" t="s">
        <v>27</v>
      </c>
      <c r="N279" s="8" t="s">
        <v>20486</v>
      </c>
      <c r="O279" s="8" t="s">
        <v>404</v>
      </c>
      <c r="P279" s="8" t="s">
        <v>405</v>
      </c>
      <c r="Q279" s="12" t="s">
        <v>20487</v>
      </c>
      <c r="R279" s="8" t="s">
        <v>100</v>
      </c>
      <c r="S279" s="8" t="s">
        <v>28</v>
      </c>
      <c r="T279" s="8"/>
      <c r="U279" s="8"/>
      <c r="AN279" s="8"/>
      <c r="AO279" s="8"/>
      <c r="AP279" s="8"/>
      <c r="AQ279" s="8"/>
      <c r="AR279" s="8"/>
      <c r="AS279" s="8"/>
      <c r="AT279" s="8"/>
    </row>
    <row r="280" spans="1:46" ht="12.75" customHeight="1">
      <c r="A280" s="8" t="s">
        <v>303</v>
      </c>
      <c r="B280" s="16">
        <v>50</v>
      </c>
      <c r="C280" s="8" t="s">
        <v>20</v>
      </c>
      <c r="D280" s="8" t="s">
        <v>141</v>
      </c>
      <c r="E280" s="8" t="s">
        <v>304</v>
      </c>
      <c r="F280" s="17">
        <v>42266</v>
      </c>
      <c r="G280" s="8" t="s">
        <v>20488</v>
      </c>
      <c r="H280" s="8" t="s">
        <v>305</v>
      </c>
      <c r="I280" s="8" t="s">
        <v>306</v>
      </c>
      <c r="J280" s="16" t="s">
        <v>20489</v>
      </c>
      <c r="K280" s="2" t="s">
        <v>2169</v>
      </c>
      <c r="L280" s="8" t="s">
        <v>307</v>
      </c>
      <c r="M280" s="8" t="s">
        <v>3189</v>
      </c>
      <c r="N280" s="8" t="s">
        <v>20490</v>
      </c>
      <c r="O280" s="8" t="s">
        <v>404</v>
      </c>
      <c r="P280" s="8" t="s">
        <v>405</v>
      </c>
      <c r="Q280" s="12" t="s">
        <v>20491</v>
      </c>
      <c r="R280" s="8" t="s">
        <v>100</v>
      </c>
      <c r="S280" s="8" t="s">
        <v>18</v>
      </c>
      <c r="T280" s="8"/>
      <c r="U280" s="8"/>
    </row>
    <row r="281" spans="1:46" ht="12" customHeight="1">
      <c r="A281" s="8" t="s">
        <v>301</v>
      </c>
      <c r="B281" s="16">
        <v>46</v>
      </c>
      <c r="C281" s="8" t="s">
        <v>20</v>
      </c>
      <c r="D281" s="8" t="s">
        <v>37</v>
      </c>
      <c r="E281" s="8" t="s">
        <v>302</v>
      </c>
      <c r="F281" s="17">
        <v>42266</v>
      </c>
      <c r="G281" s="8" t="s">
        <v>20492</v>
      </c>
      <c r="H281" s="8" t="s">
        <v>20493</v>
      </c>
      <c r="I281" s="8" t="s">
        <v>25</v>
      </c>
      <c r="J281" s="16" t="s">
        <v>20494</v>
      </c>
      <c r="K281" s="2" t="s">
        <v>18162</v>
      </c>
      <c r="L281" s="8" t="s">
        <v>20495</v>
      </c>
      <c r="M281" s="8" t="s">
        <v>27</v>
      </c>
      <c r="N281" s="8" t="s">
        <v>20496</v>
      </c>
      <c r="O281" s="8" t="s">
        <v>404</v>
      </c>
      <c r="P281" s="8" t="s">
        <v>405</v>
      </c>
      <c r="Q281" s="12" t="s">
        <v>20497</v>
      </c>
      <c r="R281" s="8" t="s">
        <v>29</v>
      </c>
      <c r="S281" s="8" t="s">
        <v>28</v>
      </c>
      <c r="T281" s="8"/>
      <c r="U281" s="8"/>
      <c r="AN281" s="8"/>
      <c r="AO281" s="8"/>
      <c r="AP281" s="8"/>
      <c r="AQ281" s="8"/>
      <c r="AR281" s="8"/>
      <c r="AS281" s="8"/>
      <c r="AT281" s="8"/>
    </row>
    <row r="282" spans="1:46" ht="12" customHeight="1">
      <c r="A282" s="8" t="s">
        <v>320</v>
      </c>
      <c r="B282" s="16">
        <v>47</v>
      </c>
      <c r="C282" s="8" t="s">
        <v>20</v>
      </c>
      <c r="D282" s="8" t="s">
        <v>37</v>
      </c>
      <c r="E282" s="8" t="s">
        <v>321</v>
      </c>
      <c r="F282" s="17">
        <v>42265</v>
      </c>
      <c r="G282" s="8" t="s">
        <v>20498</v>
      </c>
      <c r="H282" s="8" t="s">
        <v>322</v>
      </c>
      <c r="I282" s="8" t="s">
        <v>323</v>
      </c>
      <c r="J282" s="16" t="s">
        <v>20499</v>
      </c>
      <c r="K282" s="2" t="s">
        <v>20500</v>
      </c>
      <c r="L282" s="8" t="s">
        <v>324</v>
      </c>
      <c r="M282" s="8" t="s">
        <v>27</v>
      </c>
      <c r="N282" s="8" t="s">
        <v>20501</v>
      </c>
      <c r="O282" s="8" t="s">
        <v>404</v>
      </c>
      <c r="P282" s="8" t="s">
        <v>405</v>
      </c>
      <c r="Q282" s="12" t="s">
        <v>20502</v>
      </c>
      <c r="R282" s="8" t="s">
        <v>100</v>
      </c>
      <c r="S282" s="8" t="s">
        <v>35</v>
      </c>
      <c r="T282" s="8"/>
      <c r="U282" s="8"/>
      <c r="AN282" s="8"/>
      <c r="AO282" s="8"/>
      <c r="AP282" s="8"/>
      <c r="AQ282" s="8"/>
      <c r="AR282" s="8"/>
      <c r="AS282" s="8"/>
      <c r="AT282" s="8"/>
    </row>
    <row r="283" spans="1:46" ht="12" customHeight="1">
      <c r="A283" s="8" t="s">
        <v>311</v>
      </c>
      <c r="B283" s="16">
        <v>32</v>
      </c>
      <c r="C283" s="8" t="s">
        <v>20</v>
      </c>
      <c r="D283" s="8" t="s">
        <v>37</v>
      </c>
      <c r="E283" s="8" t="s">
        <v>312</v>
      </c>
      <c r="F283" s="17">
        <v>42265</v>
      </c>
      <c r="G283" s="8" t="s">
        <v>20509</v>
      </c>
      <c r="H283" s="8" t="s">
        <v>313</v>
      </c>
      <c r="I283" s="8" t="s">
        <v>45</v>
      </c>
      <c r="J283" s="16" t="s">
        <v>4372</v>
      </c>
      <c r="K283" s="2" t="s">
        <v>313</v>
      </c>
      <c r="L283" s="8" t="s">
        <v>20510</v>
      </c>
      <c r="M283" s="8" t="s">
        <v>27</v>
      </c>
      <c r="N283" s="8" t="s">
        <v>20511</v>
      </c>
      <c r="O283" s="8" t="s">
        <v>404</v>
      </c>
      <c r="P283" s="8" t="s">
        <v>405</v>
      </c>
      <c r="Q283" s="12" t="s">
        <v>20512</v>
      </c>
      <c r="R283" s="8" t="s">
        <v>100</v>
      </c>
      <c r="S283" s="8" t="s">
        <v>18</v>
      </c>
      <c r="T283" s="8"/>
      <c r="U283" s="8"/>
      <c r="AN283" s="8"/>
      <c r="AO283" s="8"/>
      <c r="AP283" s="8"/>
      <c r="AQ283" s="8"/>
      <c r="AR283" s="8"/>
      <c r="AS283" s="8"/>
      <c r="AT283" s="8"/>
    </row>
    <row r="284" spans="1:46" ht="12" customHeight="1">
      <c r="A284" s="8" t="s">
        <v>309</v>
      </c>
      <c r="B284" s="16">
        <v>57</v>
      </c>
      <c r="C284" s="8" t="s">
        <v>20</v>
      </c>
      <c r="D284" s="8" t="s">
        <v>37</v>
      </c>
      <c r="E284" s="8" t="s">
        <v>310</v>
      </c>
      <c r="F284" s="17">
        <v>42265</v>
      </c>
      <c r="G284" s="8" t="s">
        <v>20503</v>
      </c>
      <c r="H284" s="8" t="s">
        <v>20504</v>
      </c>
      <c r="I284" s="8" t="s">
        <v>94</v>
      </c>
      <c r="J284" s="16" t="s">
        <v>20505</v>
      </c>
      <c r="K284" s="2" t="s">
        <v>119</v>
      </c>
      <c r="L284" s="8" t="s">
        <v>20506</v>
      </c>
      <c r="M284" s="8" t="s">
        <v>27</v>
      </c>
      <c r="N284" s="8" t="s">
        <v>20507</v>
      </c>
      <c r="O284" s="8" t="s">
        <v>404</v>
      </c>
      <c r="P284" s="8" t="s">
        <v>405</v>
      </c>
      <c r="Q284" s="12" t="s">
        <v>20508</v>
      </c>
      <c r="R284" s="8" t="s">
        <v>29</v>
      </c>
      <c r="S284" s="8" t="s">
        <v>28</v>
      </c>
      <c r="T284" s="8"/>
      <c r="U284" s="8"/>
      <c r="AN284" s="8"/>
      <c r="AO284" s="8"/>
      <c r="AP284" s="8"/>
      <c r="AQ284" s="8"/>
      <c r="AR284" s="8"/>
      <c r="AS284" s="8"/>
      <c r="AT284" s="8"/>
    </row>
    <row r="285" spans="1:46" ht="12" customHeight="1">
      <c r="A285" s="8" t="s">
        <v>315</v>
      </c>
      <c r="B285" s="16">
        <v>61</v>
      </c>
      <c r="C285" s="8" t="s">
        <v>20</v>
      </c>
      <c r="D285" s="8" t="s">
        <v>37</v>
      </c>
      <c r="E285" s="8" t="s">
        <v>316</v>
      </c>
      <c r="F285" s="17">
        <v>42264</v>
      </c>
      <c r="G285" s="8" t="s">
        <v>317</v>
      </c>
      <c r="H285" s="8" t="s">
        <v>318</v>
      </c>
      <c r="I285" s="8" t="s">
        <v>319</v>
      </c>
      <c r="J285" s="16" t="s">
        <v>20513</v>
      </c>
      <c r="K285" s="2" t="s">
        <v>20514</v>
      </c>
      <c r="L285" s="8" t="s">
        <v>20515</v>
      </c>
      <c r="M285" s="8" t="s">
        <v>27</v>
      </c>
      <c r="N285" s="8" t="s">
        <v>20516</v>
      </c>
      <c r="O285" s="8" t="s">
        <v>404</v>
      </c>
      <c r="P285" s="8" t="s">
        <v>405</v>
      </c>
      <c r="Q285" s="12" t="s">
        <v>20517</v>
      </c>
      <c r="R285" s="8" t="s">
        <v>100</v>
      </c>
      <c r="S285" s="8" t="s">
        <v>28</v>
      </c>
      <c r="T285" s="8"/>
      <c r="U285" s="8"/>
      <c r="AN285" s="8"/>
      <c r="AO285" s="8"/>
      <c r="AP285" s="8"/>
      <c r="AQ285" s="8"/>
      <c r="AR285" s="8"/>
      <c r="AS285" s="8"/>
      <c r="AT285" s="8"/>
    </row>
    <row r="286" spans="1:46" ht="12" customHeight="1">
      <c r="A286" s="8" t="s">
        <v>326</v>
      </c>
      <c r="B286" s="16">
        <v>50</v>
      </c>
      <c r="C286" s="8" t="s">
        <v>20</v>
      </c>
      <c r="D286" s="8" t="s">
        <v>37</v>
      </c>
      <c r="E286" s="8" t="s">
        <v>327</v>
      </c>
      <c r="F286" s="17">
        <v>42264</v>
      </c>
      <c r="G286" s="8" t="s">
        <v>328</v>
      </c>
      <c r="H286" s="8" t="s">
        <v>329</v>
      </c>
      <c r="I286" s="8" t="s">
        <v>57</v>
      </c>
      <c r="J286" s="16" t="s">
        <v>20518</v>
      </c>
      <c r="K286" s="2" t="s">
        <v>20519</v>
      </c>
      <c r="L286" s="8" t="s">
        <v>20520</v>
      </c>
      <c r="M286" s="8" t="s">
        <v>27</v>
      </c>
      <c r="N286" s="8" t="s">
        <v>20521</v>
      </c>
      <c r="O286" s="8" t="s">
        <v>1018</v>
      </c>
      <c r="P286" s="8" t="s">
        <v>405</v>
      </c>
      <c r="Q286" s="12" t="s">
        <v>20522</v>
      </c>
      <c r="R286" s="8" t="s">
        <v>972</v>
      </c>
      <c r="S286" s="8" t="s">
        <v>28</v>
      </c>
      <c r="T286" s="6"/>
      <c r="U286" s="8"/>
      <c r="AN286" s="8"/>
      <c r="AO286" s="8"/>
      <c r="AP286" s="8"/>
      <c r="AQ286" s="8"/>
      <c r="AR286" s="8"/>
      <c r="AS286" s="8"/>
      <c r="AT286" s="8"/>
    </row>
    <row r="287" spans="1:46" ht="12" customHeight="1">
      <c r="A287" s="8" t="s">
        <v>336</v>
      </c>
      <c r="B287" s="16">
        <v>19</v>
      </c>
      <c r="C287" s="8" t="s">
        <v>20</v>
      </c>
      <c r="D287" s="8" t="s">
        <v>48</v>
      </c>
      <c r="E287" s="8" t="s">
        <v>337</v>
      </c>
      <c r="F287" s="17">
        <v>42263</v>
      </c>
      <c r="G287" s="8" t="s">
        <v>338</v>
      </c>
      <c r="H287" s="8" t="s">
        <v>110</v>
      </c>
      <c r="I287" s="8" t="s">
        <v>45</v>
      </c>
      <c r="L287" s="8" t="s">
        <v>112</v>
      </c>
      <c r="M287" s="8" t="s">
        <v>107</v>
      </c>
      <c r="P287" s="8" t="s">
        <v>405</v>
      </c>
      <c r="Q287" s="12" t="str">
        <f>HYPERLINK("http://www.pe.com/articles/camacho-780442-anda-police.html","http://www.pe.com/articles/camacho-780442-anda-police.html")</f>
        <v>http://www.pe.com/articles/camacho-780442-anda-police.html</v>
      </c>
      <c r="S287" s="8" t="s">
        <v>18</v>
      </c>
      <c r="T287" s="8"/>
      <c r="U287" s="8"/>
      <c r="AI287" s="8"/>
      <c r="AJ287" s="8"/>
      <c r="AK287" s="8"/>
      <c r="AL287" s="8"/>
      <c r="AM287" s="8"/>
    </row>
    <row r="288" spans="1:46" ht="12.75" customHeight="1">
      <c r="A288" s="8" t="s">
        <v>341</v>
      </c>
      <c r="B288" s="16">
        <v>27</v>
      </c>
      <c r="C288" s="8" t="s">
        <v>20</v>
      </c>
      <c r="D288" s="8" t="s">
        <v>85</v>
      </c>
      <c r="E288" s="8" t="s">
        <v>342</v>
      </c>
      <c r="F288" s="17">
        <v>42263</v>
      </c>
      <c r="G288" s="8" t="s">
        <v>20523</v>
      </c>
      <c r="H288" s="8" t="s">
        <v>343</v>
      </c>
      <c r="I288" s="8" t="s">
        <v>25</v>
      </c>
      <c r="J288" s="16" t="s">
        <v>20524</v>
      </c>
      <c r="K288" s="2" t="s">
        <v>3162</v>
      </c>
      <c r="L288" s="8" t="s">
        <v>20861</v>
      </c>
      <c r="M288" s="8" t="s">
        <v>27</v>
      </c>
      <c r="N288" s="8" t="s">
        <v>20525</v>
      </c>
      <c r="O288" s="8" t="s">
        <v>404</v>
      </c>
      <c r="P288" s="8" t="s">
        <v>405</v>
      </c>
      <c r="Q288" s="12" t="s">
        <v>20526</v>
      </c>
      <c r="R288" s="8" t="s">
        <v>29</v>
      </c>
      <c r="S288" s="8" t="s">
        <v>28</v>
      </c>
      <c r="T288" s="8"/>
      <c r="U288" s="8"/>
      <c r="AI288" s="8"/>
      <c r="AJ288" s="8"/>
      <c r="AK288" s="8"/>
      <c r="AL288" s="8"/>
      <c r="AM288" s="8"/>
    </row>
    <row r="289" spans="1:46" ht="12" customHeight="1">
      <c r="A289" s="8" t="s">
        <v>325</v>
      </c>
      <c r="B289" s="16">
        <v>39</v>
      </c>
      <c r="C289" s="8" t="s">
        <v>20</v>
      </c>
      <c r="D289" s="8" t="s">
        <v>48</v>
      </c>
      <c r="F289" s="17">
        <v>42263</v>
      </c>
      <c r="G289" s="8" t="s">
        <v>20527</v>
      </c>
      <c r="H289" s="8" t="s">
        <v>98</v>
      </c>
      <c r="I289" s="8" t="s">
        <v>45</v>
      </c>
      <c r="J289" s="16" t="s">
        <v>20528</v>
      </c>
      <c r="K289" s="2" t="s">
        <v>98</v>
      </c>
      <c r="L289" s="8" t="s">
        <v>99</v>
      </c>
      <c r="M289" s="8" t="s">
        <v>27</v>
      </c>
      <c r="N289" s="8" t="s">
        <v>20529</v>
      </c>
      <c r="O289" s="8" t="s">
        <v>1018</v>
      </c>
      <c r="P289" s="8" t="s">
        <v>405</v>
      </c>
      <c r="Q289" s="12" t="s">
        <v>20530</v>
      </c>
      <c r="R289" s="8" t="s">
        <v>100</v>
      </c>
      <c r="S289" s="8" t="s">
        <v>28</v>
      </c>
      <c r="T289" s="6"/>
      <c r="U289" s="8"/>
      <c r="AI289" s="8"/>
      <c r="AJ289" s="8"/>
      <c r="AK289" s="8"/>
      <c r="AL289" s="8"/>
      <c r="AM289" s="8"/>
    </row>
    <row r="290" spans="1:46" ht="12" customHeight="1">
      <c r="A290" s="8" t="s">
        <v>339</v>
      </c>
      <c r="B290" s="16">
        <v>51</v>
      </c>
      <c r="C290" s="8" t="s">
        <v>20</v>
      </c>
      <c r="D290" s="8" t="s">
        <v>48</v>
      </c>
      <c r="F290" s="17">
        <v>42263</v>
      </c>
      <c r="G290" s="8" t="s">
        <v>340</v>
      </c>
      <c r="H290" s="8" t="s">
        <v>216</v>
      </c>
      <c r="I290" s="8" t="s">
        <v>62</v>
      </c>
      <c r="L290" s="8" t="s">
        <v>164</v>
      </c>
      <c r="M290" s="8" t="s">
        <v>27</v>
      </c>
      <c r="P290" s="8" t="s">
        <v>405</v>
      </c>
      <c r="Q290" s="12" t="str">
        <f>HYPERLINK("http://www.local10.com/news/man-killed-in-policeinvolved-shooting-in-sw-miamidade/35298042","http://www.local10.com/news/man-killed-in-policeinvolved-shooting-in-sw-miamidade/35298042")</f>
        <v>http://www.local10.com/news/man-killed-in-policeinvolved-shooting-in-sw-miamidade/35298042</v>
      </c>
      <c r="S290" s="8" t="s">
        <v>35</v>
      </c>
      <c r="T290" s="8"/>
      <c r="U290" s="8"/>
      <c r="AI290" s="8"/>
      <c r="AJ290" s="8"/>
      <c r="AK290" s="8"/>
      <c r="AL290" s="8"/>
      <c r="AM290" s="8"/>
    </row>
    <row r="291" spans="1:46" ht="12" customHeight="1">
      <c r="A291" s="8" t="s">
        <v>344</v>
      </c>
      <c r="B291" s="16">
        <v>31</v>
      </c>
      <c r="C291" s="8" t="s">
        <v>20</v>
      </c>
      <c r="D291" s="8" t="s">
        <v>37</v>
      </c>
      <c r="E291" s="8" t="s">
        <v>345</v>
      </c>
      <c r="F291" s="17">
        <v>42263</v>
      </c>
      <c r="G291" s="8" t="s">
        <v>346</v>
      </c>
      <c r="H291" s="8" t="s">
        <v>347</v>
      </c>
      <c r="I291" s="8" t="s">
        <v>145</v>
      </c>
      <c r="J291" s="16" t="s">
        <v>20531</v>
      </c>
      <c r="K291" s="2" t="s">
        <v>2087</v>
      </c>
      <c r="L291" s="8" t="s">
        <v>348</v>
      </c>
      <c r="M291" s="8" t="s">
        <v>27</v>
      </c>
      <c r="N291" s="8" t="s">
        <v>20532</v>
      </c>
      <c r="O291" s="8" t="s">
        <v>1018</v>
      </c>
      <c r="P291" s="8" t="s">
        <v>405</v>
      </c>
      <c r="Q291" s="12" t="s">
        <v>20533</v>
      </c>
      <c r="R291" s="8" t="s">
        <v>100</v>
      </c>
      <c r="S291" s="8" t="s">
        <v>28</v>
      </c>
      <c r="T291" s="6"/>
      <c r="U291" s="8"/>
      <c r="AN291" s="8"/>
      <c r="AO291" s="8"/>
      <c r="AP291" s="8"/>
      <c r="AQ291" s="8"/>
      <c r="AR291" s="8"/>
      <c r="AS291" s="8"/>
      <c r="AT291" s="8"/>
    </row>
    <row r="292" spans="1:46" ht="12" customHeight="1">
      <c r="A292" s="8" t="s">
        <v>349</v>
      </c>
      <c r="B292" s="16">
        <v>28</v>
      </c>
      <c r="C292" s="8" t="s">
        <v>20</v>
      </c>
      <c r="D292" s="8" t="s">
        <v>30</v>
      </c>
      <c r="E292" s="8" t="s">
        <v>350</v>
      </c>
      <c r="F292" s="17">
        <v>42262</v>
      </c>
      <c r="G292" s="8" t="s">
        <v>351</v>
      </c>
      <c r="H292" s="8" t="s">
        <v>352</v>
      </c>
      <c r="I292" s="8" t="s">
        <v>45</v>
      </c>
      <c r="L292" s="8" t="s">
        <v>353</v>
      </c>
      <c r="M292" s="8" t="s">
        <v>27</v>
      </c>
      <c r="P292" s="8" t="s">
        <v>405</v>
      </c>
      <c r="Q292" s="12" t="str">
        <f>HYPERLINK("http://www.vvng.com/barstow-man-killed-in-officer-involved-shooting/","http://www.vvng.com/barstow-man-killed-in-officer-involved-shooting/")</f>
        <v>http://www.vvng.com/barstow-man-killed-in-officer-involved-shooting/</v>
      </c>
      <c r="S292" s="8" t="s">
        <v>35</v>
      </c>
      <c r="T292" s="8"/>
      <c r="U292" s="8"/>
    </row>
    <row r="293" spans="1:46" ht="12" customHeight="1">
      <c r="A293" s="8" t="s">
        <v>354</v>
      </c>
      <c r="B293" s="16">
        <v>32</v>
      </c>
      <c r="C293" s="8" t="s">
        <v>20</v>
      </c>
      <c r="D293" s="8" t="s">
        <v>48</v>
      </c>
      <c r="F293" s="17">
        <v>42262</v>
      </c>
      <c r="G293" s="8" t="s">
        <v>355</v>
      </c>
      <c r="H293" s="8" t="s">
        <v>98</v>
      </c>
      <c r="I293" s="8" t="s">
        <v>45</v>
      </c>
      <c r="L293" s="8" t="s">
        <v>99</v>
      </c>
      <c r="M293" s="8" t="s">
        <v>27</v>
      </c>
      <c r="P293" s="8" t="s">
        <v>405</v>
      </c>
      <c r="Q293" s="12" t="str">
        <f>HYPERLINK("http://abc7.com/news/suspect-killed-in-panorama-city-officer-involved-shooting/986303/","http://abc7.com/news/suspect-killed-in-panorama-city-officer-involved-shooting/986303/")</f>
        <v>http://abc7.com/news/suspect-killed-in-panorama-city-officer-involved-shooting/986303/</v>
      </c>
      <c r="S293" s="8" t="s">
        <v>28</v>
      </c>
      <c r="T293" s="8"/>
      <c r="U293" s="8"/>
      <c r="AI293" s="8"/>
      <c r="AJ293" s="8"/>
      <c r="AK293" s="8"/>
      <c r="AL293" s="8"/>
      <c r="AM293" s="8"/>
    </row>
    <row r="294" spans="1:46" ht="12" customHeight="1">
      <c r="A294" s="8" t="s">
        <v>359</v>
      </c>
      <c r="B294" s="16">
        <v>21</v>
      </c>
      <c r="C294" s="8" t="s">
        <v>20</v>
      </c>
      <c r="D294" s="8" t="s">
        <v>85</v>
      </c>
      <c r="E294" s="8" t="s">
        <v>360</v>
      </c>
      <c r="F294" s="17">
        <v>42262</v>
      </c>
      <c r="G294" s="8" t="s">
        <v>20534</v>
      </c>
      <c r="H294" s="8" t="s">
        <v>361</v>
      </c>
      <c r="I294" s="8" t="s">
        <v>25</v>
      </c>
      <c r="J294" s="16" t="s">
        <v>20535</v>
      </c>
      <c r="K294" s="2" t="s">
        <v>20536</v>
      </c>
      <c r="L294" s="8" t="s">
        <v>20537</v>
      </c>
      <c r="M294" s="8" t="s">
        <v>27</v>
      </c>
      <c r="N294" s="8" t="s">
        <v>20538</v>
      </c>
      <c r="O294" s="8" t="s">
        <v>404</v>
      </c>
      <c r="P294" s="8" t="s">
        <v>405</v>
      </c>
      <c r="Q294" s="12" t="s">
        <v>20539</v>
      </c>
      <c r="R294" s="8" t="s">
        <v>29</v>
      </c>
      <c r="S294" s="8" t="s">
        <v>28</v>
      </c>
      <c r="T294" s="8"/>
      <c r="U294" s="8"/>
      <c r="AI294" s="8"/>
      <c r="AJ294" s="8"/>
      <c r="AK294" s="8"/>
      <c r="AL294" s="8"/>
      <c r="AM294" s="8"/>
    </row>
    <row r="295" spans="1:46" ht="12" customHeight="1">
      <c r="A295" s="8" t="s">
        <v>368</v>
      </c>
      <c r="B295" s="16">
        <v>52</v>
      </c>
      <c r="C295" s="8" t="s">
        <v>20</v>
      </c>
      <c r="D295" s="8" t="s">
        <v>85</v>
      </c>
      <c r="E295" s="8" t="s">
        <v>369</v>
      </c>
      <c r="F295" s="17">
        <v>42261</v>
      </c>
      <c r="G295" s="8" t="s">
        <v>19541</v>
      </c>
      <c r="H295" s="8" t="s">
        <v>153</v>
      </c>
      <c r="I295" s="8" t="s">
        <v>370</v>
      </c>
      <c r="J295" s="16">
        <v>27610</v>
      </c>
      <c r="K295" s="2" t="s">
        <v>698</v>
      </c>
      <c r="L295" s="8" t="s">
        <v>17801</v>
      </c>
      <c r="M295" s="8" t="s">
        <v>2312</v>
      </c>
      <c r="N295" s="8" t="s">
        <v>19537</v>
      </c>
      <c r="O295" s="8" t="s">
        <v>404</v>
      </c>
      <c r="P295" s="8" t="s">
        <v>405</v>
      </c>
      <c r="Q295" s="12" t="str">
        <f>HYPERLINK("http://wncn.com/2015/09/14/man-dies-while-in-custody-of-raleigh-police-investigation-underway/","http://wncn.com/2015/09/14/man-dies-while-in-custody-of-raleigh-police-investigation-underway/")</f>
        <v>http://wncn.com/2015/09/14/man-dies-while-in-custody-of-raleigh-police-investigation-underway/</v>
      </c>
      <c r="S295" s="8" t="s">
        <v>28</v>
      </c>
      <c r="T295" s="8"/>
      <c r="U295" s="8"/>
      <c r="AI295" s="8"/>
      <c r="AJ295" s="8"/>
      <c r="AK295" s="8"/>
      <c r="AL295" s="8"/>
      <c r="AM295" s="8"/>
    </row>
    <row r="296" spans="1:46" ht="12.75" customHeight="1">
      <c r="A296" s="8" t="s">
        <v>365</v>
      </c>
      <c r="B296" s="16">
        <v>49</v>
      </c>
      <c r="C296" s="8" t="s">
        <v>20</v>
      </c>
      <c r="D296" s="8" t="s">
        <v>85</v>
      </c>
      <c r="E296" s="8" t="s">
        <v>366</v>
      </c>
      <c r="F296" s="17">
        <v>42261</v>
      </c>
      <c r="G296" s="8" t="s">
        <v>19539</v>
      </c>
      <c r="H296" s="8" t="s">
        <v>1625</v>
      </c>
      <c r="I296" s="8" t="s">
        <v>367</v>
      </c>
      <c r="J296" s="16">
        <v>67501</v>
      </c>
      <c r="K296" s="2" t="s">
        <v>1627</v>
      </c>
      <c r="L296" s="8" t="s">
        <v>19540</v>
      </c>
      <c r="M296" s="8" t="s">
        <v>29</v>
      </c>
      <c r="N296" s="8" t="s">
        <v>19538</v>
      </c>
      <c r="O296" s="8" t="s">
        <v>404</v>
      </c>
      <c r="P296" s="8" t="s">
        <v>405</v>
      </c>
      <c r="Q296" s="12" t="str">
        <f>HYPERLINK("http://ksn.com/2015/09/14/inmate-death-reported-at-hutchinson-correctional-facility/","http://ksn.com/2015/09/14/inmate-death-reported-at-hutchinson-correctional-facility/")</f>
        <v>http://ksn.com/2015/09/14/inmate-death-reported-at-hutchinson-correctional-facility/</v>
      </c>
      <c r="S296" s="8" t="s">
        <v>28</v>
      </c>
      <c r="T296" s="6"/>
      <c r="U296" s="8"/>
      <c r="AI296" s="8"/>
      <c r="AJ296" s="8"/>
      <c r="AK296" s="8"/>
      <c r="AL296" s="8"/>
      <c r="AM296" s="8"/>
    </row>
    <row r="297" spans="1:46" ht="12.75" customHeight="1">
      <c r="A297" s="8" t="s">
        <v>379</v>
      </c>
      <c r="B297" s="16">
        <v>29</v>
      </c>
      <c r="C297" s="8" t="s">
        <v>20</v>
      </c>
      <c r="D297" s="8" t="s">
        <v>37</v>
      </c>
      <c r="E297" s="8" t="s">
        <v>380</v>
      </c>
      <c r="F297" s="17">
        <v>42260</v>
      </c>
      <c r="G297" s="8" t="s">
        <v>29</v>
      </c>
      <c r="H297" s="8" t="s">
        <v>381</v>
      </c>
      <c r="I297" s="8" t="s">
        <v>73</v>
      </c>
      <c r="L297" s="8" t="s">
        <v>382</v>
      </c>
      <c r="M297" s="8" t="s">
        <v>27</v>
      </c>
      <c r="P297" s="8" t="s">
        <v>405</v>
      </c>
      <c r="Q297" s="12"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297" s="8" t="s">
        <v>28</v>
      </c>
      <c r="T297" s="8"/>
      <c r="U297" s="8"/>
      <c r="AN297" s="8"/>
      <c r="AO297" s="8"/>
      <c r="AP297" s="8"/>
      <c r="AQ297" s="8"/>
      <c r="AR297" s="8"/>
      <c r="AS297" s="8"/>
      <c r="AT297" s="8"/>
    </row>
    <row r="298" spans="1:46" ht="12" customHeight="1">
      <c r="A298" s="8" t="s">
        <v>375</v>
      </c>
      <c r="B298" s="16">
        <v>25</v>
      </c>
      <c r="C298" s="8" t="s">
        <v>20</v>
      </c>
      <c r="D298" s="8" t="s">
        <v>85</v>
      </c>
      <c r="E298" s="8" t="s">
        <v>376</v>
      </c>
      <c r="F298" s="17">
        <v>42260</v>
      </c>
      <c r="G298" s="8" t="s">
        <v>377</v>
      </c>
      <c r="H298" s="8" t="s">
        <v>378</v>
      </c>
      <c r="I298" s="8" t="s">
        <v>319</v>
      </c>
      <c r="J298" s="16">
        <v>42038</v>
      </c>
      <c r="K298" s="2" t="s">
        <v>18697</v>
      </c>
      <c r="L298" s="8" t="s">
        <v>29</v>
      </c>
      <c r="M298" s="8" t="s">
        <v>27</v>
      </c>
      <c r="N298" s="8" t="s">
        <v>19536</v>
      </c>
      <c r="O298" s="8" t="s">
        <v>404</v>
      </c>
      <c r="P298" s="8" t="s">
        <v>405</v>
      </c>
      <c r="Q298" s="12"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298" s="8" t="s">
        <v>28</v>
      </c>
      <c r="T298" s="8"/>
      <c r="U298" s="8"/>
      <c r="AI298" s="8"/>
      <c r="AJ298" s="8"/>
      <c r="AK298" s="8"/>
      <c r="AL298" s="8"/>
      <c r="AM298" s="8"/>
    </row>
    <row r="299" spans="1:46" ht="12" customHeight="1">
      <c r="A299" s="8" t="s">
        <v>371</v>
      </c>
      <c r="B299" s="16">
        <v>39</v>
      </c>
      <c r="C299" s="8" t="s">
        <v>20</v>
      </c>
      <c r="D299" s="8" t="s">
        <v>37</v>
      </c>
      <c r="F299" s="17">
        <v>42260</v>
      </c>
      <c r="G299" s="8" t="s">
        <v>372</v>
      </c>
      <c r="H299" s="8" t="s">
        <v>373</v>
      </c>
      <c r="I299" s="8" t="s">
        <v>374</v>
      </c>
      <c r="L299" s="8" t="s">
        <v>120</v>
      </c>
      <c r="M299" s="8" t="s">
        <v>27</v>
      </c>
      <c r="P299" s="8" t="s">
        <v>405</v>
      </c>
      <c r="Q299" s="12"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299" s="8" t="s">
        <v>28</v>
      </c>
      <c r="T299" s="6"/>
      <c r="U299" s="8"/>
      <c r="AN299" s="8"/>
      <c r="AO299" s="8"/>
      <c r="AP299" s="8"/>
      <c r="AQ299" s="8"/>
      <c r="AR299" s="8"/>
      <c r="AS299" s="8"/>
      <c r="AT299" s="8"/>
    </row>
    <row r="300" spans="1:46" ht="12" customHeight="1">
      <c r="A300" s="8" t="s">
        <v>384</v>
      </c>
      <c r="B300" s="16">
        <v>23</v>
      </c>
      <c r="C300" s="8" t="s">
        <v>20</v>
      </c>
      <c r="D300" s="8" t="s">
        <v>37</v>
      </c>
      <c r="E300" s="8" t="s">
        <v>385</v>
      </c>
      <c r="F300" s="17">
        <v>42259</v>
      </c>
      <c r="G300" s="8" t="s">
        <v>20540</v>
      </c>
      <c r="H300" s="8" t="s">
        <v>386</v>
      </c>
      <c r="I300" s="8" t="s">
        <v>94</v>
      </c>
      <c r="J300" s="16" t="s">
        <v>20541</v>
      </c>
      <c r="K300" s="2" t="s">
        <v>20542</v>
      </c>
      <c r="L300" s="8" t="s">
        <v>387</v>
      </c>
      <c r="M300" s="8" t="s">
        <v>27</v>
      </c>
      <c r="N300" s="8" t="s">
        <v>20543</v>
      </c>
      <c r="O300" s="8" t="s">
        <v>404</v>
      </c>
      <c r="P300" s="8" t="s">
        <v>405</v>
      </c>
      <c r="Q300" s="12" t="s">
        <v>20544</v>
      </c>
      <c r="R300" s="8" t="s">
        <v>29</v>
      </c>
      <c r="S300" s="8" t="s">
        <v>35</v>
      </c>
      <c r="T300" s="8"/>
      <c r="U300" s="8"/>
      <c r="AN300" s="8"/>
      <c r="AO300" s="8"/>
      <c r="AP300" s="8"/>
      <c r="AQ300" s="8"/>
      <c r="AR300" s="8"/>
      <c r="AS300" s="8"/>
      <c r="AT300" s="8"/>
    </row>
    <row r="301" spans="1:46" ht="12" customHeight="1">
      <c r="A301" s="8" t="s">
        <v>388</v>
      </c>
      <c r="B301" s="16">
        <v>45</v>
      </c>
      <c r="C301" s="8" t="s">
        <v>20</v>
      </c>
      <c r="D301" s="8" t="s">
        <v>37</v>
      </c>
      <c r="E301" s="8" t="s">
        <v>389</v>
      </c>
      <c r="F301" s="17">
        <v>42259</v>
      </c>
      <c r="G301" s="8" t="s">
        <v>390</v>
      </c>
      <c r="H301" s="8" t="s">
        <v>391</v>
      </c>
      <c r="I301" s="8" t="s">
        <v>323</v>
      </c>
      <c r="J301" s="16" t="s">
        <v>20545</v>
      </c>
      <c r="K301" s="2" t="s">
        <v>2708</v>
      </c>
      <c r="L301" s="8" t="s">
        <v>2709</v>
      </c>
      <c r="M301" s="8" t="s">
        <v>27</v>
      </c>
      <c r="N301" s="8" t="s">
        <v>20546</v>
      </c>
      <c r="O301" s="8" t="s">
        <v>404</v>
      </c>
      <c r="P301" s="8" t="s">
        <v>405</v>
      </c>
      <c r="Q301" s="12" t="s">
        <v>20547</v>
      </c>
      <c r="R301" s="8" t="s">
        <v>100</v>
      </c>
      <c r="S301" s="8" t="s">
        <v>28</v>
      </c>
      <c r="T301" s="8"/>
      <c r="U301" s="8"/>
      <c r="AN301" s="8"/>
      <c r="AO301" s="8"/>
      <c r="AP301" s="8"/>
      <c r="AQ301" s="8"/>
      <c r="AR301" s="8"/>
      <c r="AS301" s="8"/>
      <c r="AT301" s="8"/>
    </row>
    <row r="302" spans="1:46" ht="12" customHeight="1">
      <c r="A302" s="8" t="s">
        <v>396</v>
      </c>
      <c r="B302" s="16">
        <v>67</v>
      </c>
      <c r="C302" s="8" t="s">
        <v>20</v>
      </c>
      <c r="D302" s="8" t="s">
        <v>85</v>
      </c>
      <c r="E302" s="8" t="s">
        <v>389</v>
      </c>
      <c r="F302" s="17">
        <v>42258</v>
      </c>
      <c r="G302" s="8" t="s">
        <v>397</v>
      </c>
      <c r="H302" s="8" t="s">
        <v>398</v>
      </c>
      <c r="I302" s="8" t="s">
        <v>399</v>
      </c>
      <c r="J302" s="16" t="s">
        <v>400</v>
      </c>
      <c r="K302" s="2" t="s">
        <v>401</v>
      </c>
      <c r="L302" s="8" t="s">
        <v>402</v>
      </c>
      <c r="M302" s="8" t="s">
        <v>27</v>
      </c>
      <c r="N302" s="8" t="s">
        <v>403</v>
      </c>
      <c r="O302" s="8" t="s">
        <v>404</v>
      </c>
      <c r="P302" s="8" t="s">
        <v>405</v>
      </c>
      <c r="Q302" s="12" t="s">
        <v>406</v>
      </c>
      <c r="S302" s="7" t="s">
        <v>28</v>
      </c>
      <c r="T302" s="8"/>
      <c r="U302" s="8"/>
      <c r="AI302" s="8"/>
      <c r="AJ302" s="8"/>
      <c r="AK302" s="8"/>
      <c r="AL302" s="8"/>
      <c r="AM302" s="8"/>
    </row>
    <row r="303" spans="1:46" ht="12" customHeight="1">
      <c r="A303" s="8" t="s">
        <v>356</v>
      </c>
      <c r="B303" s="16">
        <v>44</v>
      </c>
      <c r="C303" s="8" t="s">
        <v>20</v>
      </c>
      <c r="D303" s="8" t="s">
        <v>37</v>
      </c>
      <c r="F303" s="17">
        <v>42258</v>
      </c>
      <c r="G303" s="8" t="s">
        <v>20548</v>
      </c>
      <c r="H303" s="8" t="s">
        <v>357</v>
      </c>
      <c r="I303" s="8" t="s">
        <v>212</v>
      </c>
      <c r="J303" s="16" t="s">
        <v>20549</v>
      </c>
      <c r="K303" s="2" t="s">
        <v>1004</v>
      </c>
      <c r="L303" s="8" t="s">
        <v>358</v>
      </c>
      <c r="M303" s="8" t="s">
        <v>27</v>
      </c>
      <c r="N303" s="8" t="s">
        <v>20550</v>
      </c>
      <c r="O303" s="8" t="s">
        <v>404</v>
      </c>
      <c r="P303" s="8" t="s">
        <v>405</v>
      </c>
      <c r="Q303" s="12" t="s">
        <v>20551</v>
      </c>
      <c r="R303" s="8" t="s">
        <v>100</v>
      </c>
      <c r="S303" s="8" t="s">
        <v>28</v>
      </c>
      <c r="T303" s="8"/>
      <c r="U303" s="8"/>
      <c r="AN303" s="8"/>
      <c r="AO303" s="8"/>
      <c r="AP303" s="8"/>
      <c r="AQ303" s="8"/>
      <c r="AR303" s="8"/>
      <c r="AS303" s="8"/>
      <c r="AT303" s="8"/>
    </row>
    <row r="304" spans="1:46" ht="12" customHeight="1">
      <c r="A304" s="8" t="s">
        <v>4986</v>
      </c>
      <c r="B304" s="16" t="s">
        <v>29</v>
      </c>
      <c r="C304" s="8" t="s">
        <v>20</v>
      </c>
      <c r="D304" s="8" t="s">
        <v>30</v>
      </c>
      <c r="F304" s="17">
        <v>42258</v>
      </c>
      <c r="G304" s="8" t="s">
        <v>20610</v>
      </c>
      <c r="H304" s="8" t="s">
        <v>407</v>
      </c>
      <c r="I304" s="8" t="s">
        <v>408</v>
      </c>
      <c r="J304" s="16" t="s">
        <v>1977</v>
      </c>
      <c r="K304" s="2" t="s">
        <v>914</v>
      </c>
      <c r="L304" s="8" t="s">
        <v>409</v>
      </c>
      <c r="M304" s="8" t="s">
        <v>27</v>
      </c>
      <c r="N304" s="8" t="s">
        <v>20611</v>
      </c>
      <c r="O304" s="8" t="s">
        <v>404</v>
      </c>
      <c r="P304" s="8" t="s">
        <v>405</v>
      </c>
      <c r="Q304" s="12" t="s">
        <v>20612</v>
      </c>
      <c r="R304" s="8" t="s">
        <v>100</v>
      </c>
      <c r="S304" s="8" t="s">
        <v>35</v>
      </c>
      <c r="T304" s="8"/>
      <c r="U304" s="8"/>
    </row>
    <row r="305" spans="1:46" ht="12" customHeight="1">
      <c r="A305" s="8" t="s">
        <v>410</v>
      </c>
      <c r="B305" s="16">
        <v>32</v>
      </c>
      <c r="C305" s="8" t="s">
        <v>20</v>
      </c>
      <c r="D305" s="8" t="s">
        <v>37</v>
      </c>
      <c r="E305" s="8" t="s">
        <v>411</v>
      </c>
      <c r="F305" s="17">
        <v>42257</v>
      </c>
      <c r="G305" s="8" t="s">
        <v>20552</v>
      </c>
      <c r="H305" s="8" t="s">
        <v>412</v>
      </c>
      <c r="I305" s="8" t="s">
        <v>45</v>
      </c>
      <c r="J305" s="16" t="s">
        <v>20553</v>
      </c>
      <c r="K305" s="2" t="s">
        <v>1779</v>
      </c>
      <c r="L305" s="8" t="s">
        <v>413</v>
      </c>
      <c r="M305" s="8" t="s">
        <v>27</v>
      </c>
      <c r="N305" s="8" t="s">
        <v>20554</v>
      </c>
      <c r="O305" s="8" t="s">
        <v>1018</v>
      </c>
      <c r="P305" s="8" t="s">
        <v>405</v>
      </c>
      <c r="Q305" s="12" t="s">
        <v>20555</v>
      </c>
      <c r="R305" s="8" t="s">
        <v>100</v>
      </c>
      <c r="S305" s="8" t="s">
        <v>28</v>
      </c>
      <c r="T305" s="8"/>
      <c r="U305" s="8"/>
      <c r="AN305" s="8"/>
      <c r="AO305" s="8"/>
      <c r="AP305" s="8"/>
      <c r="AQ305" s="8"/>
      <c r="AR305" s="8"/>
      <c r="AS305" s="8"/>
      <c r="AT305" s="8"/>
    </row>
    <row r="306" spans="1:46" ht="12.75" customHeight="1">
      <c r="A306" s="8" t="s">
        <v>421</v>
      </c>
      <c r="B306" s="16">
        <v>29</v>
      </c>
      <c r="C306" s="8" t="s">
        <v>20</v>
      </c>
      <c r="D306" s="8" t="s">
        <v>85</v>
      </c>
      <c r="E306" s="8" t="s">
        <v>422</v>
      </c>
      <c r="F306" s="17">
        <v>42257</v>
      </c>
      <c r="G306" s="8" t="s">
        <v>20556</v>
      </c>
      <c r="H306" s="8" t="s">
        <v>219</v>
      </c>
      <c r="I306" s="8" t="s">
        <v>220</v>
      </c>
      <c r="J306" s="16" t="s">
        <v>423</v>
      </c>
      <c r="K306" s="2" t="s">
        <v>424</v>
      </c>
      <c r="L306" s="8" t="s">
        <v>20557</v>
      </c>
      <c r="M306" s="8" t="s">
        <v>27</v>
      </c>
      <c r="N306" s="8" t="s">
        <v>20558</v>
      </c>
      <c r="O306" s="8" t="s">
        <v>1018</v>
      </c>
      <c r="P306" s="8" t="s">
        <v>405</v>
      </c>
      <c r="Q306" s="12" t="s">
        <v>20559</v>
      </c>
      <c r="R306" s="8" t="s">
        <v>100</v>
      </c>
      <c r="S306" s="7" t="s">
        <v>28</v>
      </c>
      <c r="T306" s="8"/>
      <c r="U306" s="8"/>
      <c r="AI306" s="8"/>
      <c r="AJ306" s="8"/>
      <c r="AK306" s="8"/>
      <c r="AL306" s="8"/>
      <c r="AM306" s="8"/>
    </row>
    <row r="307" spans="1:46" ht="12.75" customHeight="1">
      <c r="A307" s="8" t="s">
        <v>414</v>
      </c>
      <c r="B307" s="16">
        <v>41</v>
      </c>
      <c r="C307" s="8" t="s">
        <v>20</v>
      </c>
      <c r="D307" s="8" t="s">
        <v>48</v>
      </c>
      <c r="E307" s="8" t="s">
        <v>415</v>
      </c>
      <c r="F307" s="17">
        <v>42257</v>
      </c>
      <c r="G307" s="8" t="s">
        <v>416</v>
      </c>
      <c r="H307" s="8" t="s">
        <v>417</v>
      </c>
      <c r="I307" s="8" t="s">
        <v>45</v>
      </c>
      <c r="J307" s="16" t="s">
        <v>20560</v>
      </c>
      <c r="K307" s="2" t="s">
        <v>98</v>
      </c>
      <c r="L307" s="8" t="s">
        <v>20561</v>
      </c>
      <c r="M307" s="8" t="s">
        <v>27</v>
      </c>
      <c r="N307" s="8" t="s">
        <v>20562</v>
      </c>
      <c r="O307" s="8" t="s">
        <v>404</v>
      </c>
      <c r="P307" s="8" t="s">
        <v>405</v>
      </c>
      <c r="Q307" s="12" t="s">
        <v>20563</v>
      </c>
      <c r="R307" s="8" t="s">
        <v>100</v>
      </c>
      <c r="S307" s="8" t="s">
        <v>28</v>
      </c>
      <c r="T307" s="8"/>
      <c r="U307" s="8"/>
      <c r="AI307" s="8"/>
      <c r="AJ307" s="8"/>
      <c r="AK307" s="8"/>
      <c r="AL307" s="8"/>
      <c r="AM307" s="8"/>
    </row>
    <row r="308" spans="1:46" ht="12" customHeight="1">
      <c r="A308" s="8" t="s">
        <v>20367</v>
      </c>
      <c r="B308" s="16">
        <v>34</v>
      </c>
      <c r="C308" s="8" t="s">
        <v>20</v>
      </c>
      <c r="D308" s="8" t="s">
        <v>30</v>
      </c>
      <c r="F308" s="17">
        <v>42257</v>
      </c>
      <c r="G308" s="8" t="s">
        <v>20613</v>
      </c>
      <c r="H308" s="8" t="s">
        <v>419</v>
      </c>
      <c r="I308" s="8" t="s">
        <v>45</v>
      </c>
      <c r="J308" s="16" t="s">
        <v>3687</v>
      </c>
      <c r="K308" s="2" t="s">
        <v>313</v>
      </c>
      <c r="L308" s="8" t="s">
        <v>420</v>
      </c>
      <c r="M308" s="8" t="s">
        <v>27</v>
      </c>
      <c r="N308" s="8" t="s">
        <v>20614</v>
      </c>
      <c r="O308" s="8" t="s">
        <v>404</v>
      </c>
      <c r="P308" s="8" t="s">
        <v>405</v>
      </c>
      <c r="Q308" s="12" t="s">
        <v>20615</v>
      </c>
      <c r="R308" s="8" t="s">
        <v>100</v>
      </c>
      <c r="S308" s="8" t="s">
        <v>28</v>
      </c>
      <c r="T308" s="8"/>
      <c r="U308" s="8"/>
    </row>
    <row r="309" spans="1:46" ht="12" customHeight="1">
      <c r="A309" s="8" t="s">
        <v>425</v>
      </c>
      <c r="B309" s="16">
        <v>31</v>
      </c>
      <c r="C309" s="8" t="s">
        <v>20</v>
      </c>
      <c r="D309" s="8" t="s">
        <v>21</v>
      </c>
      <c r="F309" s="17">
        <v>42257</v>
      </c>
      <c r="G309" s="8" t="s">
        <v>20564</v>
      </c>
      <c r="H309" s="8" t="s">
        <v>426</v>
      </c>
      <c r="I309" s="8" t="s">
        <v>427</v>
      </c>
      <c r="J309" s="16" t="s">
        <v>20565</v>
      </c>
      <c r="K309" s="2" t="s">
        <v>20566</v>
      </c>
      <c r="L309" s="8" t="s">
        <v>428</v>
      </c>
      <c r="M309" s="8" t="s">
        <v>27</v>
      </c>
      <c r="N309" s="8" t="s">
        <v>20567</v>
      </c>
      <c r="O309" s="8" t="s">
        <v>20044</v>
      </c>
      <c r="P309" s="8" t="s">
        <v>405</v>
      </c>
      <c r="Q309" s="12" t="s">
        <v>20568</v>
      </c>
      <c r="R309" s="8" t="s">
        <v>29</v>
      </c>
      <c r="S309" s="8" t="s">
        <v>28</v>
      </c>
      <c r="T309" s="8"/>
      <c r="U309" s="8"/>
    </row>
    <row r="310" spans="1:46" ht="12" customHeight="1">
      <c r="A310" s="8" t="s">
        <v>439</v>
      </c>
      <c r="B310" s="16">
        <v>25</v>
      </c>
      <c r="C310" s="8" t="s">
        <v>20</v>
      </c>
      <c r="D310" s="8" t="s">
        <v>37</v>
      </c>
      <c r="E310" s="8" t="s">
        <v>440</v>
      </c>
      <c r="F310" s="17">
        <v>42256</v>
      </c>
      <c r="G310" s="8" t="s">
        <v>20569</v>
      </c>
      <c r="H310" s="8" t="s">
        <v>441</v>
      </c>
      <c r="I310" s="8" t="s">
        <v>442</v>
      </c>
      <c r="J310" s="16" t="s">
        <v>20570</v>
      </c>
      <c r="K310" s="2" t="s">
        <v>4113</v>
      </c>
      <c r="L310" s="8" t="s">
        <v>443</v>
      </c>
      <c r="M310" s="8" t="s">
        <v>27</v>
      </c>
      <c r="N310" s="8" t="s">
        <v>20571</v>
      </c>
      <c r="O310" s="8" t="s">
        <v>404</v>
      </c>
      <c r="P310" s="8" t="s">
        <v>405</v>
      </c>
      <c r="Q310" s="12" t="s">
        <v>20572</v>
      </c>
      <c r="R310" s="8" t="s">
        <v>100</v>
      </c>
      <c r="S310" s="8" t="s">
        <v>28</v>
      </c>
      <c r="T310" s="8"/>
      <c r="U310" s="8"/>
      <c r="AN310" s="8"/>
      <c r="AO310" s="8"/>
      <c r="AP310" s="8"/>
      <c r="AQ310" s="8"/>
      <c r="AR310" s="8"/>
      <c r="AS310" s="8"/>
      <c r="AT310" s="8"/>
    </row>
    <row r="311" spans="1:46" ht="12.75" customHeight="1">
      <c r="A311" s="8" t="s">
        <v>433</v>
      </c>
      <c r="B311" s="16">
        <v>27</v>
      </c>
      <c r="C311" s="8" t="s">
        <v>20</v>
      </c>
      <c r="D311" s="8" t="s">
        <v>85</v>
      </c>
      <c r="F311" s="17">
        <v>42256</v>
      </c>
      <c r="G311" s="8" t="s">
        <v>20573</v>
      </c>
      <c r="H311" s="8" t="s">
        <v>434</v>
      </c>
      <c r="I311" s="8" t="s">
        <v>435</v>
      </c>
      <c r="J311" s="16" t="s">
        <v>436</v>
      </c>
      <c r="K311" s="2" t="s">
        <v>437</v>
      </c>
      <c r="L311" s="8" t="s">
        <v>438</v>
      </c>
      <c r="M311" s="8" t="s">
        <v>27</v>
      </c>
      <c r="N311" s="8" t="s">
        <v>20574</v>
      </c>
      <c r="O311" s="8" t="s">
        <v>404</v>
      </c>
      <c r="P311" s="8" t="s">
        <v>405</v>
      </c>
      <c r="Q311" s="12" t="s">
        <v>20575</v>
      </c>
      <c r="R311" s="8" t="s">
        <v>559</v>
      </c>
      <c r="S311" s="7" t="s">
        <v>35</v>
      </c>
      <c r="T311" s="8"/>
      <c r="U311" s="8"/>
      <c r="AI311" s="8"/>
      <c r="AJ311" s="8"/>
      <c r="AK311" s="8"/>
      <c r="AL311" s="8"/>
      <c r="AM311" s="8"/>
    </row>
    <row r="312" spans="1:46" ht="12.75" customHeight="1">
      <c r="A312" s="8" t="s">
        <v>429</v>
      </c>
      <c r="B312" s="16">
        <v>33</v>
      </c>
      <c r="C312" s="8" t="s">
        <v>20</v>
      </c>
      <c r="D312" s="8" t="s">
        <v>141</v>
      </c>
      <c r="E312" s="8" t="s">
        <v>430</v>
      </c>
      <c r="F312" s="17">
        <v>42256</v>
      </c>
      <c r="G312" s="8" t="s">
        <v>20576</v>
      </c>
      <c r="H312" s="8" t="s">
        <v>431</v>
      </c>
      <c r="I312" s="8" t="s">
        <v>334</v>
      </c>
      <c r="J312" s="16" t="s">
        <v>20577</v>
      </c>
      <c r="K312" s="2" t="s">
        <v>20578</v>
      </c>
      <c r="L312" s="8" t="s">
        <v>432</v>
      </c>
      <c r="M312" s="8" t="s">
        <v>27</v>
      </c>
      <c r="N312" s="8" t="s">
        <v>20579</v>
      </c>
      <c r="O312" s="8" t="s">
        <v>404</v>
      </c>
      <c r="P312" s="8" t="s">
        <v>405</v>
      </c>
      <c r="Q312" s="12" t="s">
        <v>20580</v>
      </c>
      <c r="R312" s="8" t="s">
        <v>100</v>
      </c>
      <c r="S312" s="8" t="s">
        <v>28</v>
      </c>
      <c r="T312" s="8"/>
      <c r="U312" s="8"/>
    </row>
    <row r="313" spans="1:46" ht="12" customHeight="1">
      <c r="A313" s="8" t="s">
        <v>362</v>
      </c>
      <c r="B313" s="16">
        <v>59</v>
      </c>
      <c r="C313" s="8" t="s">
        <v>20</v>
      </c>
      <c r="D313" s="8" t="s">
        <v>21</v>
      </c>
      <c r="F313" s="17">
        <v>42256</v>
      </c>
      <c r="G313" s="8" t="s">
        <v>20581</v>
      </c>
      <c r="H313" s="8" t="s">
        <v>363</v>
      </c>
      <c r="I313" s="8" t="s">
        <v>45</v>
      </c>
      <c r="J313" s="16" t="s">
        <v>20582</v>
      </c>
      <c r="K313" s="2" t="s">
        <v>98</v>
      </c>
      <c r="L313" s="8" t="s">
        <v>364</v>
      </c>
      <c r="M313" s="8" t="s">
        <v>27</v>
      </c>
      <c r="N313" s="8" t="s">
        <v>20583</v>
      </c>
      <c r="O313" s="8" t="s">
        <v>1018</v>
      </c>
      <c r="P313" s="8" t="s">
        <v>405</v>
      </c>
      <c r="Q313" s="12" t="s">
        <v>20584</v>
      </c>
      <c r="R313" s="8" t="s">
        <v>100</v>
      </c>
      <c r="S313" s="8" t="s">
        <v>28</v>
      </c>
      <c r="T313" s="8"/>
      <c r="U313" s="8"/>
    </row>
    <row r="314" spans="1:46" ht="12" customHeight="1">
      <c r="A314" s="8" t="s">
        <v>392</v>
      </c>
      <c r="B314" s="16">
        <v>24</v>
      </c>
      <c r="C314" s="8" t="s">
        <v>20</v>
      </c>
      <c r="D314" s="8" t="s">
        <v>37</v>
      </c>
      <c r="E314" s="8" t="s">
        <v>393</v>
      </c>
      <c r="F314" s="17">
        <v>42255</v>
      </c>
      <c r="G314" s="8" t="s">
        <v>20585</v>
      </c>
      <c r="H314" s="8" t="s">
        <v>207</v>
      </c>
      <c r="I314" s="8" t="s">
        <v>69</v>
      </c>
      <c r="J314" s="16" t="s">
        <v>20473</v>
      </c>
      <c r="K314" s="2" t="s">
        <v>3506</v>
      </c>
      <c r="L314" s="8" t="s">
        <v>394</v>
      </c>
      <c r="M314" s="8" t="s">
        <v>1706</v>
      </c>
      <c r="N314" s="8" t="s">
        <v>20586</v>
      </c>
      <c r="O314" s="8" t="s">
        <v>404</v>
      </c>
      <c r="P314" s="8" t="s">
        <v>405</v>
      </c>
      <c r="Q314" s="12" t="s">
        <v>20587</v>
      </c>
      <c r="R314" s="8" t="s">
        <v>29</v>
      </c>
      <c r="S314" s="8" t="s">
        <v>18</v>
      </c>
      <c r="T314" s="8"/>
      <c r="U314" s="8"/>
      <c r="AN314" s="8"/>
      <c r="AO314" s="8"/>
      <c r="AP314" s="8"/>
      <c r="AQ314" s="8"/>
      <c r="AR314" s="8"/>
      <c r="AS314" s="8"/>
      <c r="AT314" s="8"/>
    </row>
    <row r="315" spans="1:46" ht="12.75" customHeight="1">
      <c r="A315" s="8" t="s">
        <v>330</v>
      </c>
      <c r="B315" s="16">
        <v>19</v>
      </c>
      <c r="C315" s="8" t="s">
        <v>20</v>
      </c>
      <c r="D315" s="8" t="s">
        <v>141</v>
      </c>
      <c r="E315" s="8" t="s">
        <v>331</v>
      </c>
      <c r="F315" s="17">
        <v>42255</v>
      </c>
      <c r="G315" s="8" t="s">
        <v>332</v>
      </c>
      <c r="H315" s="8" t="s">
        <v>333</v>
      </c>
      <c r="I315" s="8" t="s">
        <v>334</v>
      </c>
      <c r="J315" s="16" t="s">
        <v>20588</v>
      </c>
      <c r="K315" s="2" t="s">
        <v>20578</v>
      </c>
      <c r="L315" s="8" t="s">
        <v>335</v>
      </c>
      <c r="M315" s="8" t="s">
        <v>27</v>
      </c>
      <c r="N315" s="8" t="s">
        <v>20589</v>
      </c>
      <c r="O315" s="8" t="s">
        <v>404</v>
      </c>
      <c r="P315" s="8" t="s">
        <v>405</v>
      </c>
      <c r="Q315" s="12" t="s">
        <v>20590</v>
      </c>
      <c r="R315" s="8" t="s">
        <v>100</v>
      </c>
      <c r="S315" s="8" t="s">
        <v>28</v>
      </c>
      <c r="T315" s="8"/>
      <c r="U315" s="8"/>
    </row>
    <row r="316" spans="1:46" ht="12" customHeight="1">
      <c r="A316" s="8" t="s">
        <v>444</v>
      </c>
      <c r="B316" s="16">
        <v>45</v>
      </c>
      <c r="C316" s="8" t="s">
        <v>20</v>
      </c>
      <c r="D316" s="8" t="s">
        <v>48</v>
      </c>
      <c r="E316" s="8" t="s">
        <v>445</v>
      </c>
      <c r="F316" s="17">
        <v>42254</v>
      </c>
      <c r="G316" s="8" t="s">
        <v>446</v>
      </c>
      <c r="H316" s="8" t="s">
        <v>203</v>
      </c>
      <c r="I316" s="8" t="s">
        <v>45</v>
      </c>
      <c r="J316" s="16" t="s">
        <v>13365</v>
      </c>
      <c r="K316" s="2" t="s">
        <v>203</v>
      </c>
      <c r="L316" s="8" t="s">
        <v>204</v>
      </c>
      <c r="M316" s="8" t="s">
        <v>27</v>
      </c>
      <c r="N316" s="8" t="s">
        <v>20591</v>
      </c>
      <c r="O316" s="8" t="s">
        <v>404</v>
      </c>
      <c r="P316" s="8" t="s">
        <v>405</v>
      </c>
      <c r="Q316" s="12" t="s">
        <v>20592</v>
      </c>
      <c r="R316" s="8" t="s">
        <v>100</v>
      </c>
      <c r="S316" s="8" t="s">
        <v>28</v>
      </c>
      <c r="T316" s="8"/>
      <c r="U316" s="8"/>
      <c r="AI316" s="8"/>
      <c r="AJ316" s="8"/>
      <c r="AK316" s="8"/>
      <c r="AL316" s="8"/>
      <c r="AM316" s="8"/>
    </row>
    <row r="317" spans="1:46" ht="12" customHeight="1">
      <c r="A317" s="8" t="s">
        <v>455</v>
      </c>
      <c r="B317" s="16">
        <v>1</v>
      </c>
      <c r="C317" s="8" t="s">
        <v>20</v>
      </c>
      <c r="D317" s="8" t="s">
        <v>37</v>
      </c>
      <c r="E317" s="8" t="s">
        <v>456</v>
      </c>
      <c r="F317" s="17">
        <v>42254</v>
      </c>
      <c r="I317" s="8" t="s">
        <v>323</v>
      </c>
      <c r="P317" s="8" t="s">
        <v>405</v>
      </c>
      <c r="Q317" s="12" t="str">
        <f>HYPERLINK("http://wreg.com/2015/09/24/paris-police-officer-charged-for-murdering-his-own-son/","http://wreg.com/2015/09/24/paris-police-officer-charged-for-murdering-his-own-son/")</f>
        <v>http://wreg.com/2015/09/24/paris-police-officer-charged-for-murdering-his-own-son/</v>
      </c>
      <c r="S317" s="8" t="s">
        <v>28</v>
      </c>
      <c r="T317" s="8"/>
      <c r="U317" s="8"/>
      <c r="AN317" s="13"/>
      <c r="AO317" s="13"/>
      <c r="AP317" s="13"/>
      <c r="AQ317" s="13"/>
      <c r="AR317" s="13"/>
      <c r="AS317" s="13"/>
      <c r="AT317" s="13"/>
    </row>
    <row r="318" spans="1:46" ht="12" customHeight="1">
      <c r="A318" s="8" t="s">
        <v>447</v>
      </c>
      <c r="B318" s="16">
        <v>41</v>
      </c>
      <c r="C318" s="8" t="s">
        <v>20</v>
      </c>
      <c r="D318" s="8" t="s">
        <v>85</v>
      </c>
      <c r="F318" s="17">
        <v>42254</v>
      </c>
      <c r="G318" s="8" t="s">
        <v>20593</v>
      </c>
      <c r="H318" s="8" t="s">
        <v>448</v>
      </c>
      <c r="I318" s="8" t="s">
        <v>57</v>
      </c>
      <c r="J318" s="16" t="s">
        <v>20594</v>
      </c>
      <c r="K318" s="2" t="s">
        <v>1139</v>
      </c>
      <c r="L318" s="8" t="s">
        <v>449</v>
      </c>
      <c r="M318" s="8" t="s">
        <v>3189</v>
      </c>
      <c r="N318" s="8" t="s">
        <v>20595</v>
      </c>
      <c r="O318" s="8" t="s">
        <v>404</v>
      </c>
      <c r="P318" s="8" t="s">
        <v>405</v>
      </c>
      <c r="Q318" s="12" t="s">
        <v>20596</v>
      </c>
      <c r="R318" s="8" t="s">
        <v>100</v>
      </c>
      <c r="S318" s="8" t="s">
        <v>18</v>
      </c>
      <c r="T318" s="8"/>
      <c r="U318" s="8"/>
      <c r="AI318" s="8"/>
      <c r="AJ318" s="8"/>
      <c r="AK318" s="8"/>
      <c r="AL318" s="8"/>
      <c r="AM318" s="8"/>
    </row>
    <row r="319" spans="1:46" ht="12" customHeight="1">
      <c r="A319" s="8" t="s">
        <v>450</v>
      </c>
      <c r="B319" s="16">
        <v>42</v>
      </c>
      <c r="C319" s="8" t="s">
        <v>20</v>
      </c>
      <c r="D319" s="8" t="s">
        <v>37</v>
      </c>
      <c r="E319" s="8" t="s">
        <v>451</v>
      </c>
      <c r="F319" s="17">
        <v>42254</v>
      </c>
      <c r="G319" s="8" t="s">
        <v>452</v>
      </c>
      <c r="H319" s="8" t="s">
        <v>453</v>
      </c>
      <c r="I319" s="8" t="s">
        <v>198</v>
      </c>
      <c r="J319" s="16" t="s">
        <v>1746</v>
      </c>
      <c r="K319" s="2" t="s">
        <v>794</v>
      </c>
      <c r="L319" s="8" t="s">
        <v>454</v>
      </c>
      <c r="M319" s="8" t="s">
        <v>27</v>
      </c>
      <c r="N319" s="8" t="s">
        <v>20597</v>
      </c>
      <c r="O319" s="8" t="s">
        <v>404</v>
      </c>
      <c r="P319" s="8" t="s">
        <v>405</v>
      </c>
      <c r="Q319" s="12" t="s">
        <v>20598</v>
      </c>
      <c r="R319" s="8" t="s">
        <v>100</v>
      </c>
      <c r="S319" s="8" t="s">
        <v>28</v>
      </c>
      <c r="T319" s="8"/>
      <c r="U319" s="8"/>
      <c r="AN319" s="8"/>
      <c r="AO319" s="8"/>
      <c r="AP319" s="8"/>
      <c r="AQ319" s="8"/>
      <c r="AR319" s="8"/>
      <c r="AS319" s="8"/>
      <c r="AT319" s="8"/>
    </row>
    <row r="320" spans="1:46" ht="12" customHeight="1">
      <c r="A320" s="8" t="s">
        <v>468</v>
      </c>
      <c r="B320" s="16">
        <v>45</v>
      </c>
      <c r="C320" s="8" t="s">
        <v>20</v>
      </c>
      <c r="D320" s="8" t="s">
        <v>48</v>
      </c>
      <c r="E320" s="8" t="s">
        <v>469</v>
      </c>
      <c r="F320" s="17">
        <v>42253</v>
      </c>
      <c r="G320" s="8" t="s">
        <v>470</v>
      </c>
      <c r="H320" s="8" t="s">
        <v>471</v>
      </c>
      <c r="I320" s="8" t="s">
        <v>198</v>
      </c>
      <c r="J320" s="16" t="s">
        <v>20599</v>
      </c>
      <c r="K320" s="2" t="s">
        <v>20600</v>
      </c>
      <c r="L320" s="8" t="s">
        <v>20601</v>
      </c>
      <c r="M320" s="8" t="s">
        <v>3407</v>
      </c>
      <c r="N320" s="8" t="s">
        <v>20602</v>
      </c>
      <c r="O320" s="8" t="s">
        <v>404</v>
      </c>
      <c r="P320" s="8" t="s">
        <v>405</v>
      </c>
      <c r="Q320" s="12" t="s">
        <v>20603</v>
      </c>
      <c r="R320" s="8" t="s">
        <v>100</v>
      </c>
      <c r="S320" s="8" t="s">
        <v>18</v>
      </c>
      <c r="T320" s="8"/>
      <c r="U320" s="8"/>
      <c r="AI320" s="8"/>
      <c r="AJ320" s="8"/>
      <c r="AK320" s="8"/>
      <c r="AL320" s="8"/>
      <c r="AM320" s="8"/>
    </row>
    <row r="321" spans="1:46" ht="12" customHeight="1">
      <c r="A321" s="8" t="s">
        <v>457</v>
      </c>
      <c r="B321" s="16">
        <v>59</v>
      </c>
      <c r="C321" s="8" t="s">
        <v>20</v>
      </c>
      <c r="D321" s="8" t="s">
        <v>48</v>
      </c>
      <c r="E321" s="8" t="s">
        <v>458</v>
      </c>
      <c r="F321" s="17">
        <v>42253</v>
      </c>
      <c r="G321" s="8" t="s">
        <v>459</v>
      </c>
      <c r="H321" s="8" t="s">
        <v>216</v>
      </c>
      <c r="I321" s="8" t="s">
        <v>62</v>
      </c>
      <c r="J321" s="16" t="s">
        <v>20604</v>
      </c>
      <c r="K321" s="2" t="s">
        <v>163</v>
      </c>
      <c r="L321" s="8" t="s">
        <v>460</v>
      </c>
      <c r="M321" s="8" t="s">
        <v>27</v>
      </c>
      <c r="N321" s="8" t="s">
        <v>20605</v>
      </c>
      <c r="O321" s="8" t="s">
        <v>404</v>
      </c>
      <c r="P321" s="8" t="s">
        <v>405</v>
      </c>
      <c r="Q321" s="12" t="s">
        <v>20606</v>
      </c>
      <c r="R321" s="8" t="s">
        <v>100</v>
      </c>
      <c r="S321" s="8" t="s">
        <v>28</v>
      </c>
      <c r="T321" s="8"/>
      <c r="U321" s="8"/>
      <c r="AI321" s="8"/>
      <c r="AJ321" s="8"/>
      <c r="AK321" s="8"/>
      <c r="AL321" s="8"/>
      <c r="AM321" s="8"/>
    </row>
    <row r="322" spans="1:46" ht="12" customHeight="1">
      <c r="A322" s="8" t="s">
        <v>461</v>
      </c>
      <c r="B322" s="16">
        <v>28</v>
      </c>
      <c r="C322" s="8" t="s">
        <v>20</v>
      </c>
      <c r="D322" s="8" t="s">
        <v>21</v>
      </c>
      <c r="E322" s="8" t="s">
        <v>462</v>
      </c>
      <c r="F322" s="17">
        <v>42253</v>
      </c>
      <c r="G322" s="8" t="s">
        <v>20607</v>
      </c>
      <c r="H322" s="8" t="s">
        <v>463</v>
      </c>
      <c r="I322" s="8" t="s">
        <v>25</v>
      </c>
      <c r="J322" s="16" t="s">
        <v>5979</v>
      </c>
      <c r="K322" s="2" t="s">
        <v>5980</v>
      </c>
      <c r="L322" s="8" t="s">
        <v>464</v>
      </c>
      <c r="M322" s="8" t="s">
        <v>27</v>
      </c>
      <c r="N322" s="8" t="s">
        <v>20608</v>
      </c>
      <c r="O322" s="8" t="s">
        <v>404</v>
      </c>
      <c r="P322" s="8" t="s">
        <v>405</v>
      </c>
      <c r="Q322" s="12" t="s">
        <v>20609</v>
      </c>
      <c r="R322" s="8" t="s">
        <v>559</v>
      </c>
      <c r="S322" s="8" t="s">
        <v>28</v>
      </c>
      <c r="T322" s="8"/>
      <c r="U322" s="8"/>
    </row>
    <row r="323" spans="1:46" ht="12" customHeight="1">
      <c r="A323" s="8" t="s">
        <v>465</v>
      </c>
      <c r="B323" s="16">
        <v>50</v>
      </c>
      <c r="C323" s="8" t="s">
        <v>20</v>
      </c>
      <c r="D323" s="8" t="s">
        <v>37</v>
      </c>
      <c r="E323" s="8" t="s">
        <v>466</v>
      </c>
      <c r="F323" s="17">
        <v>42253</v>
      </c>
      <c r="I323" s="8" t="s">
        <v>467</v>
      </c>
      <c r="P323" s="8" t="s">
        <v>405</v>
      </c>
      <c r="Q323" s="12"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323" s="8" t="s">
        <v>28</v>
      </c>
      <c r="T323" s="8"/>
      <c r="U323" s="8"/>
      <c r="AN323" s="8"/>
      <c r="AO323" s="8"/>
      <c r="AP323" s="8"/>
      <c r="AQ323" s="8"/>
      <c r="AR323" s="8"/>
      <c r="AS323" s="8"/>
      <c r="AT323" s="8"/>
    </row>
    <row r="324" spans="1:46" ht="12.75" customHeight="1">
      <c r="A324" s="8" t="s">
        <v>472</v>
      </c>
      <c r="B324" s="16">
        <v>63</v>
      </c>
      <c r="C324" s="8" t="s">
        <v>20</v>
      </c>
      <c r="D324" s="8" t="s">
        <v>37</v>
      </c>
      <c r="E324" s="8" t="s">
        <v>473</v>
      </c>
      <c r="F324" s="17">
        <v>42253</v>
      </c>
      <c r="G324" s="8" t="s">
        <v>474</v>
      </c>
      <c r="H324" s="8" t="s">
        <v>475</v>
      </c>
      <c r="I324" s="8" t="s">
        <v>476</v>
      </c>
      <c r="J324" s="16" t="s">
        <v>11053</v>
      </c>
      <c r="K324" s="2" t="s">
        <v>475</v>
      </c>
      <c r="L324" s="8" t="s">
        <v>477</v>
      </c>
      <c r="M324" s="8" t="s">
        <v>3407</v>
      </c>
      <c r="N324" s="8" t="s">
        <v>20616</v>
      </c>
      <c r="O324" s="8" t="s">
        <v>404</v>
      </c>
      <c r="P324" s="8" t="s">
        <v>405</v>
      </c>
      <c r="Q324" s="12" t="s">
        <v>20617</v>
      </c>
      <c r="R324" s="8" t="s">
        <v>100</v>
      </c>
      <c r="S324" s="8" t="s">
        <v>18</v>
      </c>
      <c r="T324" s="8"/>
      <c r="U324" s="8"/>
      <c r="AN324" s="8"/>
      <c r="AO324" s="8"/>
      <c r="AP324" s="8"/>
      <c r="AQ324" s="8"/>
      <c r="AR324" s="8"/>
      <c r="AS324" s="8"/>
      <c r="AT324" s="8"/>
    </row>
    <row r="325" spans="1:46" ht="12" customHeight="1">
      <c r="A325" s="8" t="s">
        <v>484</v>
      </c>
      <c r="B325" s="16">
        <v>55</v>
      </c>
      <c r="C325" s="8" t="s">
        <v>20</v>
      </c>
      <c r="D325" s="8" t="s">
        <v>85</v>
      </c>
      <c r="E325" s="8" t="s">
        <v>485</v>
      </c>
      <c r="F325" s="17">
        <v>42252</v>
      </c>
      <c r="G325" s="8" t="s">
        <v>480</v>
      </c>
      <c r="H325" s="8" t="s">
        <v>481</v>
      </c>
      <c r="I325" s="8" t="s">
        <v>247</v>
      </c>
      <c r="J325" s="16" t="s">
        <v>482</v>
      </c>
      <c r="K325" s="2" t="s">
        <v>13491</v>
      </c>
      <c r="L325" s="8" t="s">
        <v>483</v>
      </c>
      <c r="M325" s="8" t="s">
        <v>27</v>
      </c>
      <c r="N325" s="8" t="s">
        <v>20618</v>
      </c>
      <c r="O325" s="8" t="s">
        <v>404</v>
      </c>
      <c r="P325" s="8" t="s">
        <v>405</v>
      </c>
      <c r="Q325" s="12" t="s">
        <v>20619</v>
      </c>
      <c r="R325" s="8" t="s">
        <v>100</v>
      </c>
      <c r="S325" s="7" t="s">
        <v>28</v>
      </c>
      <c r="T325" s="8"/>
      <c r="U325" s="8"/>
      <c r="AI325" s="8"/>
      <c r="AJ325" s="8"/>
      <c r="AK325" s="8"/>
      <c r="AL325" s="8"/>
      <c r="AM325" s="8"/>
    </row>
    <row r="326" spans="1:46" ht="12" customHeight="1">
      <c r="A326" s="8" t="s">
        <v>478</v>
      </c>
      <c r="B326" s="16">
        <v>28</v>
      </c>
      <c r="C326" s="8" t="s">
        <v>115</v>
      </c>
      <c r="D326" s="8" t="s">
        <v>85</v>
      </c>
      <c r="E326" s="8" t="s">
        <v>479</v>
      </c>
      <c r="F326" s="17">
        <v>42252</v>
      </c>
      <c r="G326" s="8" t="s">
        <v>480</v>
      </c>
      <c r="H326" s="8" t="s">
        <v>481</v>
      </c>
      <c r="I326" s="8" t="s">
        <v>247</v>
      </c>
      <c r="J326" s="16" t="s">
        <v>482</v>
      </c>
      <c r="K326" s="2" t="s">
        <v>13491</v>
      </c>
      <c r="L326" s="8" t="s">
        <v>483</v>
      </c>
      <c r="M326" s="8" t="s">
        <v>27</v>
      </c>
      <c r="N326" s="8" t="s">
        <v>20618</v>
      </c>
      <c r="O326" s="8" t="s">
        <v>404</v>
      </c>
      <c r="P326" s="8" t="s">
        <v>405</v>
      </c>
      <c r="Q326" s="12" t="s">
        <v>20619</v>
      </c>
      <c r="R326" s="8" t="s">
        <v>100</v>
      </c>
      <c r="S326" s="7" t="s">
        <v>18</v>
      </c>
      <c r="T326" s="8"/>
      <c r="U326" s="8"/>
      <c r="AI326" s="8"/>
      <c r="AJ326" s="8"/>
      <c r="AK326" s="8"/>
      <c r="AL326" s="8"/>
      <c r="AM326" s="8"/>
    </row>
    <row r="327" spans="1:46" ht="12" customHeight="1">
      <c r="A327" s="8" t="s">
        <v>495</v>
      </c>
      <c r="B327" s="16">
        <v>21</v>
      </c>
      <c r="C327" s="8" t="s">
        <v>20</v>
      </c>
      <c r="D327" s="8" t="s">
        <v>85</v>
      </c>
      <c r="E327" s="8" t="s">
        <v>496</v>
      </c>
      <c r="F327" s="17">
        <v>42252</v>
      </c>
      <c r="G327" s="8" t="s">
        <v>20620</v>
      </c>
      <c r="H327" s="8" t="s">
        <v>497</v>
      </c>
      <c r="I327" s="8" t="s">
        <v>370</v>
      </c>
      <c r="J327" s="16" t="s">
        <v>498</v>
      </c>
      <c r="K327" s="2" t="s">
        <v>497</v>
      </c>
      <c r="L327" s="8" t="s">
        <v>499</v>
      </c>
      <c r="M327" s="8" t="s">
        <v>27</v>
      </c>
      <c r="N327" s="8" t="s">
        <v>20621</v>
      </c>
      <c r="O327" s="8" t="s">
        <v>404</v>
      </c>
      <c r="P327" s="8" t="s">
        <v>405</v>
      </c>
      <c r="Q327" s="12" t="s">
        <v>20622</v>
      </c>
      <c r="R327" s="8" t="s">
        <v>559</v>
      </c>
      <c r="S327" s="7" t="s">
        <v>28</v>
      </c>
      <c r="T327" s="8"/>
      <c r="U327" s="8"/>
      <c r="AI327" s="8"/>
      <c r="AJ327" s="8"/>
      <c r="AK327" s="8"/>
      <c r="AL327" s="8"/>
      <c r="AM327" s="8"/>
    </row>
    <row r="328" spans="1:46" ht="12" customHeight="1">
      <c r="A328" s="8" t="s">
        <v>486</v>
      </c>
      <c r="B328" s="16">
        <v>32</v>
      </c>
      <c r="C328" s="8" t="s">
        <v>20</v>
      </c>
      <c r="D328" s="8" t="s">
        <v>48</v>
      </c>
      <c r="E328" s="8" t="s">
        <v>487</v>
      </c>
      <c r="F328" s="17">
        <v>42252</v>
      </c>
      <c r="G328" s="8" t="s">
        <v>488</v>
      </c>
      <c r="H328" s="8" t="s">
        <v>489</v>
      </c>
      <c r="I328" s="8" t="s">
        <v>45</v>
      </c>
      <c r="J328" s="16" t="s">
        <v>20279</v>
      </c>
      <c r="K328" s="2" t="s">
        <v>313</v>
      </c>
      <c r="L328" s="8" t="s">
        <v>490</v>
      </c>
      <c r="M328" s="8" t="s">
        <v>27</v>
      </c>
      <c r="N328" s="8" t="s">
        <v>20623</v>
      </c>
      <c r="O328" s="8" t="s">
        <v>404</v>
      </c>
      <c r="P328" s="8" t="s">
        <v>405</v>
      </c>
      <c r="Q328" s="12" t="s">
        <v>20624</v>
      </c>
      <c r="R328" s="8" t="s">
        <v>100</v>
      </c>
      <c r="S328" s="8" t="s">
        <v>28</v>
      </c>
      <c r="T328" s="8"/>
      <c r="U328" s="8"/>
      <c r="AI328" s="8"/>
      <c r="AJ328" s="8"/>
      <c r="AK328" s="8"/>
      <c r="AL328" s="8"/>
      <c r="AM328" s="8"/>
    </row>
    <row r="329" spans="1:46" ht="12" customHeight="1">
      <c r="A329" s="8" t="s">
        <v>491</v>
      </c>
      <c r="B329" s="16">
        <v>47</v>
      </c>
      <c r="C329" s="8" t="s">
        <v>20</v>
      </c>
      <c r="D329" s="8" t="s">
        <v>48</v>
      </c>
      <c r="E329" s="8" t="s">
        <v>492</v>
      </c>
      <c r="F329" s="17">
        <v>42252</v>
      </c>
      <c r="G329" s="8" t="s">
        <v>20625</v>
      </c>
      <c r="H329" s="8" t="s">
        <v>493</v>
      </c>
      <c r="I329" s="8" t="s">
        <v>45</v>
      </c>
      <c r="J329" s="16" t="s">
        <v>18384</v>
      </c>
      <c r="K329" s="2" t="s">
        <v>98</v>
      </c>
      <c r="L329" s="8" t="s">
        <v>494</v>
      </c>
      <c r="M329" s="8" t="s">
        <v>1706</v>
      </c>
      <c r="N329" s="8" t="s">
        <v>20626</v>
      </c>
      <c r="O329" s="8" t="s">
        <v>404</v>
      </c>
      <c r="P329" s="8" t="s">
        <v>405</v>
      </c>
      <c r="Q329" s="12" t="s">
        <v>20627</v>
      </c>
      <c r="R329" s="8" t="s">
        <v>972</v>
      </c>
      <c r="S329" s="8" t="s">
        <v>18</v>
      </c>
      <c r="T329" s="8"/>
      <c r="U329" s="8"/>
      <c r="Y329" s="8"/>
      <c r="Z329" s="8"/>
      <c r="AA329" s="8"/>
      <c r="AB329" s="8"/>
      <c r="AC329" s="8"/>
      <c r="AD329" s="8"/>
      <c r="AE329" s="8"/>
      <c r="AF329" s="8"/>
      <c r="AG329" s="8"/>
      <c r="AH329" s="8"/>
      <c r="AI329" s="8"/>
      <c r="AJ329" s="8"/>
      <c r="AK329" s="8"/>
      <c r="AL329" s="8"/>
      <c r="AM329" s="8"/>
    </row>
    <row r="330" spans="1:46" ht="12" customHeight="1">
      <c r="A330" s="8" t="s">
        <v>516</v>
      </c>
      <c r="B330" s="16">
        <v>37</v>
      </c>
      <c r="C330" s="8" t="s">
        <v>20</v>
      </c>
      <c r="D330" s="8" t="s">
        <v>30</v>
      </c>
      <c r="E330" s="8" t="s">
        <v>517</v>
      </c>
      <c r="F330" s="17">
        <v>42251</v>
      </c>
      <c r="G330" s="8" t="s">
        <v>20628</v>
      </c>
      <c r="H330" s="8" t="s">
        <v>518</v>
      </c>
      <c r="I330" s="8" t="s">
        <v>145</v>
      </c>
      <c r="J330" s="16" t="s">
        <v>6266</v>
      </c>
      <c r="K330" s="2" t="s">
        <v>6267</v>
      </c>
      <c r="L330" s="8" t="s">
        <v>519</v>
      </c>
      <c r="M330" s="8" t="s">
        <v>27</v>
      </c>
      <c r="N330" s="8" t="s">
        <v>20629</v>
      </c>
      <c r="O330" s="8" t="s">
        <v>404</v>
      </c>
      <c r="P330" s="8" t="s">
        <v>405</v>
      </c>
      <c r="Q330" s="12" t="s">
        <v>20630</v>
      </c>
      <c r="R330" s="8" t="s">
        <v>100</v>
      </c>
      <c r="S330" s="8" t="s">
        <v>28</v>
      </c>
      <c r="T330" s="8"/>
      <c r="U330" s="8"/>
    </row>
    <row r="331" spans="1:46" ht="12" customHeight="1">
      <c r="A331" s="8" t="s">
        <v>503</v>
      </c>
      <c r="B331" s="16">
        <v>49</v>
      </c>
      <c r="C331" s="8" t="s">
        <v>20</v>
      </c>
      <c r="D331" s="8" t="s">
        <v>48</v>
      </c>
      <c r="E331" s="8" t="s">
        <v>504</v>
      </c>
      <c r="F331" s="17">
        <v>42251</v>
      </c>
      <c r="G331" s="8" t="s">
        <v>20631</v>
      </c>
      <c r="H331" s="8" t="s">
        <v>505</v>
      </c>
      <c r="I331" s="8" t="s">
        <v>220</v>
      </c>
      <c r="J331" s="16" t="s">
        <v>20632</v>
      </c>
      <c r="K331" s="2" t="s">
        <v>1070</v>
      </c>
      <c r="L331" s="8" t="s">
        <v>506</v>
      </c>
      <c r="M331" s="8" t="s">
        <v>27</v>
      </c>
      <c r="N331" s="8" t="s">
        <v>20633</v>
      </c>
      <c r="O331" s="8" t="s">
        <v>404</v>
      </c>
      <c r="P331" s="8" t="s">
        <v>405</v>
      </c>
      <c r="Q331" s="12" t="s">
        <v>20634</v>
      </c>
      <c r="R331" s="8" t="s">
        <v>100</v>
      </c>
      <c r="S331" s="8" t="s">
        <v>28</v>
      </c>
      <c r="T331" s="8"/>
      <c r="U331" s="8"/>
    </row>
    <row r="332" spans="1:46" ht="12" customHeight="1">
      <c r="A332" s="8" t="s">
        <v>512</v>
      </c>
      <c r="B332" s="16">
        <v>33</v>
      </c>
      <c r="C332" s="8" t="s">
        <v>20</v>
      </c>
      <c r="D332" s="8" t="s">
        <v>37</v>
      </c>
      <c r="E332" s="8" t="s">
        <v>513</v>
      </c>
      <c r="F332" s="17">
        <v>42251</v>
      </c>
      <c r="G332" s="8" t="s">
        <v>20635</v>
      </c>
      <c r="H332" s="8" t="s">
        <v>514</v>
      </c>
      <c r="I332" s="8" t="s">
        <v>408</v>
      </c>
      <c r="J332" s="16" t="s">
        <v>20636</v>
      </c>
      <c r="K332" s="2" t="s">
        <v>8147</v>
      </c>
      <c r="L332" s="8" t="s">
        <v>515</v>
      </c>
      <c r="M332" s="8" t="s">
        <v>1706</v>
      </c>
      <c r="N332" s="8" t="s">
        <v>20637</v>
      </c>
      <c r="O332" s="8" t="s">
        <v>404</v>
      </c>
      <c r="P332" s="8" t="s">
        <v>405</v>
      </c>
      <c r="Q332" s="12" t="s">
        <v>20638</v>
      </c>
      <c r="R332" s="8" t="s">
        <v>100</v>
      </c>
      <c r="S332" s="8" t="s">
        <v>18</v>
      </c>
      <c r="T332" s="8"/>
      <c r="U332" s="8"/>
      <c r="AN332" s="13"/>
      <c r="AO332" s="13"/>
      <c r="AP332" s="13"/>
      <c r="AQ332" s="13"/>
      <c r="AR332" s="13"/>
      <c r="AS332" s="13"/>
      <c r="AT332" s="13"/>
    </row>
    <row r="333" spans="1:46" ht="12" customHeight="1">
      <c r="A333" s="8" t="s">
        <v>500</v>
      </c>
      <c r="B333" s="16">
        <v>27</v>
      </c>
      <c r="C333" s="8" t="s">
        <v>20</v>
      </c>
      <c r="D333" s="8" t="s">
        <v>37</v>
      </c>
      <c r="E333" s="8" t="s">
        <v>501</v>
      </c>
      <c r="F333" s="17">
        <v>42251</v>
      </c>
      <c r="G333" s="8" t="s">
        <v>20639</v>
      </c>
      <c r="H333" s="8" t="s">
        <v>20640</v>
      </c>
      <c r="I333" s="8" t="s">
        <v>45</v>
      </c>
      <c r="J333" s="16" t="s">
        <v>20641</v>
      </c>
      <c r="K333" s="2" t="s">
        <v>5479</v>
      </c>
      <c r="L333" s="8" t="s">
        <v>502</v>
      </c>
      <c r="M333" s="8" t="s">
        <v>27</v>
      </c>
      <c r="N333" s="8" t="s">
        <v>20642</v>
      </c>
      <c r="O333" s="8" t="s">
        <v>404</v>
      </c>
      <c r="P333" s="8" t="s">
        <v>405</v>
      </c>
      <c r="Q333" s="12" t="s">
        <v>20643</v>
      </c>
      <c r="R333" s="8" t="s">
        <v>100</v>
      </c>
      <c r="S333" s="8" t="s">
        <v>28</v>
      </c>
      <c r="T333" s="8"/>
      <c r="U333" s="8"/>
      <c r="Y333" s="8"/>
      <c r="Z333" s="8"/>
      <c r="AA333" s="8"/>
      <c r="AB333" s="8"/>
      <c r="AC333" s="8"/>
      <c r="AD333" s="8"/>
      <c r="AE333" s="8"/>
      <c r="AF333" s="8"/>
      <c r="AG333" s="8"/>
      <c r="AH333" s="8"/>
      <c r="AN333" s="8"/>
      <c r="AO333" s="8"/>
      <c r="AP333" s="8"/>
      <c r="AQ333" s="8"/>
      <c r="AR333" s="8"/>
      <c r="AS333" s="8"/>
      <c r="AT333" s="8"/>
    </row>
    <row r="334" spans="1:46" ht="12" customHeight="1">
      <c r="A334" s="8" t="s">
        <v>520</v>
      </c>
      <c r="B334" s="16">
        <v>36</v>
      </c>
      <c r="C334" s="8" t="s">
        <v>20</v>
      </c>
      <c r="D334" s="8" t="s">
        <v>37</v>
      </c>
      <c r="E334" s="8" t="s">
        <v>521</v>
      </c>
      <c r="F334" s="17">
        <v>42251</v>
      </c>
      <c r="G334" s="8" t="s">
        <v>522</v>
      </c>
      <c r="H334" s="8" t="s">
        <v>523</v>
      </c>
      <c r="I334" s="8" t="s">
        <v>73</v>
      </c>
      <c r="J334" s="16" t="s">
        <v>20644</v>
      </c>
      <c r="K334" s="2" t="s">
        <v>1638</v>
      </c>
      <c r="L334" s="8" t="s">
        <v>20645</v>
      </c>
      <c r="M334" s="8" t="s">
        <v>27</v>
      </c>
      <c r="N334" s="8" t="s">
        <v>20646</v>
      </c>
      <c r="O334" s="8" t="s">
        <v>404</v>
      </c>
      <c r="P334" s="8" t="s">
        <v>405</v>
      </c>
      <c r="Q334" s="12" t="s">
        <v>20647</v>
      </c>
      <c r="R334" s="8" t="s">
        <v>29</v>
      </c>
      <c r="S334" s="8" t="s">
        <v>28</v>
      </c>
      <c r="T334" s="8"/>
      <c r="U334" s="8"/>
      <c r="AN334" s="8"/>
      <c r="AO334" s="8"/>
      <c r="AP334" s="8"/>
      <c r="AQ334" s="8"/>
      <c r="AR334" s="8"/>
      <c r="AS334" s="8"/>
      <c r="AT334" s="8"/>
    </row>
    <row r="335" spans="1:46" ht="12" customHeight="1">
      <c r="A335" s="8" t="s">
        <v>507</v>
      </c>
      <c r="B335" s="16">
        <v>23</v>
      </c>
      <c r="C335" s="8" t="s">
        <v>20</v>
      </c>
      <c r="D335" s="8" t="s">
        <v>37</v>
      </c>
      <c r="E335" s="8" t="s">
        <v>508</v>
      </c>
      <c r="F335" s="17">
        <v>42250</v>
      </c>
      <c r="G335" s="8" t="s">
        <v>20648</v>
      </c>
      <c r="H335" s="8" t="s">
        <v>509</v>
      </c>
      <c r="I335" s="8" t="s">
        <v>510</v>
      </c>
      <c r="J335" s="16" t="s">
        <v>20649</v>
      </c>
      <c r="K335" s="2" t="s">
        <v>644</v>
      </c>
      <c r="L335" s="8" t="s">
        <v>511</v>
      </c>
      <c r="M335" s="8" t="s">
        <v>27</v>
      </c>
      <c r="N335" s="8" t="s">
        <v>20650</v>
      </c>
      <c r="O335" s="8" t="s">
        <v>404</v>
      </c>
      <c r="P335" s="8" t="s">
        <v>405</v>
      </c>
      <c r="Q335" s="12" t="s">
        <v>20651</v>
      </c>
      <c r="R335" s="8" t="s">
        <v>100</v>
      </c>
      <c r="S335" s="8" t="s">
        <v>28</v>
      </c>
      <c r="T335" s="8"/>
      <c r="U335" s="8"/>
      <c r="AN335" s="8"/>
      <c r="AO335" s="8"/>
      <c r="AP335" s="8"/>
      <c r="AQ335" s="8"/>
      <c r="AR335" s="8"/>
      <c r="AS335" s="8"/>
      <c r="AT335" s="8"/>
    </row>
    <row r="336" spans="1:46" ht="12" customHeight="1">
      <c r="A336" s="8" t="s">
        <v>525</v>
      </c>
      <c r="B336" s="16">
        <v>45</v>
      </c>
      <c r="C336" s="8" t="s">
        <v>20</v>
      </c>
      <c r="D336" s="8" t="s">
        <v>37</v>
      </c>
      <c r="F336" s="17">
        <v>42249</v>
      </c>
      <c r="G336" s="8" t="s">
        <v>20652</v>
      </c>
      <c r="H336" s="8" t="s">
        <v>526</v>
      </c>
      <c r="I336" s="8" t="s">
        <v>124</v>
      </c>
      <c r="J336" s="16" t="s">
        <v>20653</v>
      </c>
      <c r="K336" s="2" t="s">
        <v>181</v>
      </c>
      <c r="L336" s="8" t="s">
        <v>182</v>
      </c>
      <c r="M336" s="8" t="s">
        <v>27</v>
      </c>
      <c r="N336" s="8" t="s">
        <v>20654</v>
      </c>
      <c r="O336" s="8" t="s">
        <v>404</v>
      </c>
      <c r="P336" s="8" t="s">
        <v>405</v>
      </c>
      <c r="Q336" s="12" t="s">
        <v>20655</v>
      </c>
      <c r="R336" s="8" t="s">
        <v>100</v>
      </c>
      <c r="S336" s="8" t="s">
        <v>28</v>
      </c>
      <c r="T336" s="8"/>
      <c r="U336" s="8"/>
      <c r="AN336" s="8"/>
      <c r="AO336" s="8"/>
      <c r="AP336" s="8"/>
      <c r="AQ336" s="8"/>
      <c r="AR336" s="8"/>
      <c r="AS336" s="8"/>
      <c r="AT336" s="8"/>
    </row>
    <row r="337" spans="1:46" ht="12" customHeight="1">
      <c r="A337" s="8" t="s">
        <v>545</v>
      </c>
      <c r="B337" s="16">
        <v>33</v>
      </c>
      <c r="C337" s="8" t="s">
        <v>20</v>
      </c>
      <c r="D337" s="8" t="s">
        <v>85</v>
      </c>
      <c r="E337" s="8" t="s">
        <v>546</v>
      </c>
      <c r="F337" s="17">
        <v>42248</v>
      </c>
      <c r="G337" s="8" t="s">
        <v>20656</v>
      </c>
      <c r="H337" s="8" t="s">
        <v>547</v>
      </c>
      <c r="I337" s="8" t="s">
        <v>152</v>
      </c>
      <c r="J337" s="16" t="s">
        <v>548</v>
      </c>
      <c r="K337" s="2" t="s">
        <v>2933</v>
      </c>
      <c r="L337" s="8" t="s">
        <v>549</v>
      </c>
      <c r="M337" s="8" t="s">
        <v>27</v>
      </c>
      <c r="N337" s="8" t="s">
        <v>20657</v>
      </c>
      <c r="O337" s="8" t="s">
        <v>404</v>
      </c>
      <c r="P337" s="8" t="s">
        <v>405</v>
      </c>
      <c r="Q337" s="12" t="s">
        <v>20658</v>
      </c>
      <c r="R337" s="8" t="s">
        <v>100</v>
      </c>
      <c r="S337" s="7" t="s">
        <v>28</v>
      </c>
      <c r="T337" s="8"/>
      <c r="U337" s="8"/>
      <c r="AI337" s="8"/>
      <c r="AJ337" s="8"/>
      <c r="AK337" s="8"/>
      <c r="AL337" s="8"/>
      <c r="AM337" s="8"/>
    </row>
    <row r="338" spans="1:46" ht="12" customHeight="1">
      <c r="A338" s="8" t="s">
        <v>540</v>
      </c>
      <c r="B338" s="16">
        <v>76</v>
      </c>
      <c r="C338" s="8" t="s">
        <v>20</v>
      </c>
      <c r="D338" s="8" t="s">
        <v>30</v>
      </c>
      <c r="F338" s="17">
        <v>42248</v>
      </c>
      <c r="G338" s="8" t="s">
        <v>20659</v>
      </c>
      <c r="H338" s="8" t="s">
        <v>541</v>
      </c>
      <c r="I338" s="8" t="s">
        <v>69</v>
      </c>
      <c r="J338" s="16" t="s">
        <v>20660</v>
      </c>
      <c r="K338" s="2" t="s">
        <v>3506</v>
      </c>
      <c r="L338" s="8" t="s">
        <v>542</v>
      </c>
      <c r="M338" s="8" t="s">
        <v>27</v>
      </c>
      <c r="N338" s="8" t="s">
        <v>20661</v>
      </c>
      <c r="O338" s="8" t="s">
        <v>404</v>
      </c>
      <c r="P338" s="8" t="s">
        <v>405</v>
      </c>
      <c r="Q338" s="12" t="s">
        <v>20662</v>
      </c>
      <c r="R338" s="8" t="s">
        <v>100</v>
      </c>
      <c r="S338" s="8" t="s">
        <v>28</v>
      </c>
      <c r="T338" s="8"/>
      <c r="U338" s="8"/>
    </row>
    <row r="339" spans="1:46" ht="12" customHeight="1">
      <c r="A339" s="8" t="s">
        <v>543</v>
      </c>
      <c r="B339" s="16">
        <v>23</v>
      </c>
      <c r="C339" s="8" t="s">
        <v>20</v>
      </c>
      <c r="D339" s="8" t="s">
        <v>37</v>
      </c>
      <c r="E339" s="8" t="s">
        <v>544</v>
      </c>
      <c r="F339" s="17">
        <v>42248</v>
      </c>
      <c r="I339" s="8" t="s">
        <v>73</v>
      </c>
      <c r="P339" s="8" t="s">
        <v>405</v>
      </c>
      <c r="Q339" s="12" t="str">
        <f>HYPERLINK("http://www.kltv.com/story/29931923/man-shot-by-longview-officer-dies","http://www.kltv.com/story/29931923/man-shot-by-longview-officer-dies")</f>
        <v>http://www.kltv.com/story/29931923/man-shot-by-longview-officer-dies</v>
      </c>
      <c r="S339" s="8" t="s">
        <v>28</v>
      </c>
      <c r="T339" s="8"/>
      <c r="U339" s="8"/>
      <c r="AN339" s="8"/>
      <c r="AO339" s="8"/>
      <c r="AP339" s="8"/>
      <c r="AQ339" s="8"/>
      <c r="AR339" s="8"/>
      <c r="AS339" s="8"/>
      <c r="AT339" s="8"/>
    </row>
    <row r="340" spans="1:46" ht="12" customHeight="1">
      <c r="A340" s="8" t="s">
        <v>535</v>
      </c>
      <c r="B340" s="16">
        <v>47</v>
      </c>
      <c r="C340" s="8" t="s">
        <v>20</v>
      </c>
      <c r="D340" s="8" t="s">
        <v>37</v>
      </c>
      <c r="E340" s="8" t="s">
        <v>536</v>
      </c>
      <c r="F340" s="17">
        <v>42248</v>
      </c>
      <c r="G340" s="8" t="s">
        <v>537</v>
      </c>
      <c r="H340" s="8" t="s">
        <v>538</v>
      </c>
      <c r="I340" s="8" t="s">
        <v>198</v>
      </c>
      <c r="J340" s="16" t="s">
        <v>20663</v>
      </c>
      <c r="K340" s="2" t="s">
        <v>9403</v>
      </c>
      <c r="L340" s="8" t="s">
        <v>539</v>
      </c>
      <c r="M340" s="8" t="s">
        <v>27</v>
      </c>
      <c r="N340" s="8" t="s">
        <v>20664</v>
      </c>
      <c r="O340" s="8" t="s">
        <v>404</v>
      </c>
      <c r="P340" s="8" t="s">
        <v>405</v>
      </c>
      <c r="Q340" s="12" t="s">
        <v>20665</v>
      </c>
      <c r="R340" s="8" t="s">
        <v>100</v>
      </c>
      <c r="S340" s="8" t="s">
        <v>28</v>
      </c>
      <c r="T340" s="8"/>
      <c r="U340" s="8"/>
      <c r="V340" s="8"/>
      <c r="W340" s="8"/>
      <c r="X340" s="8"/>
      <c r="AN340" s="8"/>
      <c r="AO340" s="8"/>
      <c r="AP340" s="8"/>
      <c r="AQ340" s="8"/>
      <c r="AR340" s="8"/>
      <c r="AS340" s="8"/>
      <c r="AT340" s="8"/>
    </row>
    <row r="341" spans="1:46" ht="12" customHeight="1">
      <c r="A341" s="8" t="s">
        <v>527</v>
      </c>
      <c r="B341" s="16">
        <v>18</v>
      </c>
      <c r="C341" s="8" t="s">
        <v>20</v>
      </c>
      <c r="D341" s="8" t="s">
        <v>85</v>
      </c>
      <c r="E341" s="8" t="s">
        <v>528</v>
      </c>
      <c r="F341" s="17">
        <v>42248</v>
      </c>
      <c r="G341" s="8" t="s">
        <v>529</v>
      </c>
      <c r="H341" s="8" t="s">
        <v>530</v>
      </c>
      <c r="I341" s="8" t="s">
        <v>81</v>
      </c>
      <c r="J341" s="16" t="s">
        <v>531</v>
      </c>
      <c r="K341" s="2" t="s">
        <v>532</v>
      </c>
      <c r="L341" s="8" t="s">
        <v>533</v>
      </c>
      <c r="M341" s="8" t="s">
        <v>383</v>
      </c>
      <c r="N341" s="8" t="s">
        <v>20666</v>
      </c>
      <c r="O341" s="8" t="s">
        <v>404</v>
      </c>
      <c r="P341" s="8" t="s">
        <v>405</v>
      </c>
      <c r="Q341" s="12" t="s">
        <v>534</v>
      </c>
      <c r="R341" s="8" t="s">
        <v>100</v>
      </c>
      <c r="S341" s="7" t="s">
        <v>35</v>
      </c>
      <c r="T341" s="8"/>
      <c r="U341" s="8"/>
      <c r="AI341" s="8"/>
      <c r="AJ341" s="8"/>
      <c r="AK341" s="8"/>
      <c r="AL341" s="8"/>
      <c r="AM341" s="8"/>
    </row>
    <row r="342" spans="1:46" ht="12" customHeight="1">
      <c r="A342" s="8" t="s">
        <v>550</v>
      </c>
      <c r="B342" s="16">
        <v>48</v>
      </c>
      <c r="C342" s="8" t="s">
        <v>20</v>
      </c>
      <c r="D342" s="8" t="s">
        <v>85</v>
      </c>
      <c r="E342" s="8" t="s">
        <v>19963</v>
      </c>
      <c r="F342" s="17">
        <v>42247</v>
      </c>
      <c r="G342" s="8" t="s">
        <v>20222</v>
      </c>
      <c r="H342" s="8" t="s">
        <v>551</v>
      </c>
      <c r="I342" s="8" t="s">
        <v>69</v>
      </c>
      <c r="J342" s="16" t="s">
        <v>20223</v>
      </c>
      <c r="K342" s="2" t="s">
        <v>552</v>
      </c>
      <c r="L342" s="8" t="s">
        <v>553</v>
      </c>
      <c r="M342" s="8" t="s">
        <v>1706</v>
      </c>
      <c r="N342" s="8" t="s">
        <v>20027</v>
      </c>
      <c r="O342" s="8" t="s">
        <v>404</v>
      </c>
      <c r="P342" s="8" t="s">
        <v>405</v>
      </c>
      <c r="Q342" s="12" t="s">
        <v>20028</v>
      </c>
      <c r="R342" s="8" t="s">
        <v>100</v>
      </c>
      <c r="S342" s="8" t="s">
        <v>18</v>
      </c>
      <c r="T342" s="8"/>
      <c r="U342" s="8"/>
      <c r="AI342" s="8"/>
      <c r="AJ342" s="8"/>
      <c r="AK342" s="8"/>
      <c r="AL342" s="8"/>
      <c r="AM342" s="8"/>
    </row>
    <row r="343" spans="1:46" ht="12" customHeight="1">
      <c r="A343" s="8" t="s">
        <v>560</v>
      </c>
      <c r="B343" s="16">
        <v>18</v>
      </c>
      <c r="C343" s="8" t="s">
        <v>20</v>
      </c>
      <c r="D343" s="8" t="s">
        <v>37</v>
      </c>
      <c r="E343" s="8" t="s">
        <v>19964</v>
      </c>
      <c r="F343" s="17">
        <v>42247</v>
      </c>
      <c r="G343" s="8" t="s">
        <v>561</v>
      </c>
      <c r="H343" s="8" t="s">
        <v>552</v>
      </c>
      <c r="I343" s="8" t="s">
        <v>175</v>
      </c>
      <c r="J343" s="16" t="s">
        <v>20224</v>
      </c>
      <c r="K343" s="2" t="s">
        <v>562</v>
      </c>
      <c r="L343" s="8" t="s">
        <v>563</v>
      </c>
      <c r="M343" s="8" t="s">
        <v>1706</v>
      </c>
      <c r="N343" s="8" t="s">
        <v>20029</v>
      </c>
      <c r="O343" s="8" t="s">
        <v>404</v>
      </c>
      <c r="P343" s="8" t="s">
        <v>405</v>
      </c>
      <c r="Q343" s="12" t="s">
        <v>20030</v>
      </c>
      <c r="R343" s="8" t="s">
        <v>100</v>
      </c>
      <c r="S343" s="8" t="s">
        <v>35</v>
      </c>
      <c r="T343" s="8"/>
      <c r="U343" s="8"/>
      <c r="AN343" s="8"/>
      <c r="AO343" s="8"/>
      <c r="AP343" s="8"/>
      <c r="AQ343" s="8"/>
      <c r="AR343" s="8"/>
      <c r="AS343" s="8"/>
      <c r="AT343" s="8"/>
    </row>
    <row r="344" spans="1:46" ht="12" customHeight="1">
      <c r="A344" s="8" t="s">
        <v>555</v>
      </c>
      <c r="B344" s="16">
        <v>46</v>
      </c>
      <c r="C344" s="8" t="s">
        <v>20</v>
      </c>
      <c r="D344" s="8" t="s">
        <v>37</v>
      </c>
      <c r="E344" s="8" t="s">
        <v>19965</v>
      </c>
      <c r="F344" s="17">
        <v>42247</v>
      </c>
      <c r="G344" s="8" t="s">
        <v>20225</v>
      </c>
      <c r="H344" s="8" t="s">
        <v>556</v>
      </c>
      <c r="I344" s="8" t="s">
        <v>212</v>
      </c>
      <c r="J344" s="16" t="s">
        <v>20226</v>
      </c>
      <c r="K344" s="2" t="s">
        <v>557</v>
      </c>
      <c r="L344" s="8" t="s">
        <v>558</v>
      </c>
      <c r="M344" s="8" t="s">
        <v>27</v>
      </c>
      <c r="N344" s="8" t="s">
        <v>20031</v>
      </c>
      <c r="O344" s="8" t="s">
        <v>404</v>
      </c>
      <c r="P344" s="8" t="s">
        <v>405</v>
      </c>
      <c r="Q344" s="12" t="s">
        <v>20032</v>
      </c>
      <c r="R344" s="8" t="s">
        <v>100</v>
      </c>
      <c r="S344" s="8" t="s">
        <v>28</v>
      </c>
      <c r="T344" s="8"/>
      <c r="U344" s="8"/>
      <c r="AN344" s="8"/>
      <c r="AO344" s="8"/>
      <c r="AP344" s="8"/>
      <c r="AQ344" s="8"/>
      <c r="AR344" s="8"/>
      <c r="AS344" s="8"/>
      <c r="AT344" s="8"/>
    </row>
    <row r="345" spans="1:46" ht="12" customHeight="1">
      <c r="A345" s="8" t="s">
        <v>564</v>
      </c>
      <c r="B345" s="16">
        <v>40</v>
      </c>
      <c r="C345" s="8" t="s">
        <v>20</v>
      </c>
      <c r="D345" s="8" t="s">
        <v>48</v>
      </c>
      <c r="F345" s="17">
        <v>42246</v>
      </c>
      <c r="G345" s="8" t="s">
        <v>20227</v>
      </c>
      <c r="H345" s="8" t="s">
        <v>565</v>
      </c>
      <c r="I345" s="8" t="s">
        <v>124</v>
      </c>
      <c r="J345" s="16" t="s">
        <v>20228</v>
      </c>
      <c r="K345" s="2" t="s">
        <v>566</v>
      </c>
      <c r="L345" s="8" t="s">
        <v>567</v>
      </c>
      <c r="M345" s="8" t="s">
        <v>27</v>
      </c>
      <c r="N345" s="8" t="s">
        <v>20033</v>
      </c>
      <c r="O345" s="8" t="s">
        <v>404</v>
      </c>
      <c r="P345" s="8" t="s">
        <v>405</v>
      </c>
      <c r="Q345" s="12" t="s">
        <v>20034</v>
      </c>
      <c r="R345" s="8" t="s">
        <v>100</v>
      </c>
      <c r="S345" s="8" t="s">
        <v>28</v>
      </c>
      <c r="T345" s="8"/>
      <c r="U345" s="8"/>
      <c r="AI345" s="8"/>
      <c r="AJ345" s="8"/>
      <c r="AK345" s="8"/>
      <c r="AL345" s="8"/>
      <c r="AM345" s="8"/>
    </row>
    <row r="346" spans="1:46" ht="12" customHeight="1">
      <c r="A346" s="8" t="s">
        <v>568</v>
      </c>
      <c r="B346" s="16">
        <v>20</v>
      </c>
      <c r="C346" s="8" t="s">
        <v>20</v>
      </c>
      <c r="D346" s="8" t="s">
        <v>37</v>
      </c>
      <c r="F346" s="17">
        <v>42246</v>
      </c>
      <c r="G346" s="8" t="s">
        <v>20229</v>
      </c>
      <c r="H346" s="8" t="s">
        <v>569</v>
      </c>
      <c r="I346" s="8" t="s">
        <v>399</v>
      </c>
      <c r="J346" s="16" t="s">
        <v>19033</v>
      </c>
      <c r="K346" s="2" t="s">
        <v>570</v>
      </c>
      <c r="L346" s="8" t="s">
        <v>571</v>
      </c>
      <c r="M346" s="8" t="s">
        <v>27</v>
      </c>
      <c r="N346" s="8" t="s">
        <v>20035</v>
      </c>
      <c r="O346" s="8" t="s">
        <v>554</v>
      </c>
      <c r="P346" s="8" t="s">
        <v>405</v>
      </c>
      <c r="Q346" s="12" t="s">
        <v>20036</v>
      </c>
      <c r="R346" s="8" t="s">
        <v>100</v>
      </c>
      <c r="S346" s="8" t="s">
        <v>28</v>
      </c>
      <c r="T346" s="8"/>
      <c r="U346" s="8"/>
      <c r="AN346" s="8"/>
      <c r="AO346" s="8"/>
      <c r="AP346" s="8"/>
      <c r="AQ346" s="8"/>
      <c r="AR346" s="8"/>
      <c r="AS346" s="8"/>
      <c r="AT346" s="8"/>
    </row>
    <row r="347" spans="1:46" ht="12" customHeight="1">
      <c r="A347" s="8" t="s">
        <v>572</v>
      </c>
      <c r="B347" s="16">
        <v>25</v>
      </c>
      <c r="C347" s="8" t="s">
        <v>20</v>
      </c>
      <c r="D347" s="8" t="s">
        <v>85</v>
      </c>
      <c r="E347" s="8" t="s">
        <v>19966</v>
      </c>
      <c r="F347" s="17">
        <v>42245</v>
      </c>
      <c r="G347" s="8" t="s">
        <v>573</v>
      </c>
      <c r="H347" s="8" t="s">
        <v>271</v>
      </c>
      <c r="I347" s="8" t="s">
        <v>272</v>
      </c>
      <c r="J347" s="16" t="s">
        <v>6903</v>
      </c>
      <c r="K347" s="2" t="s">
        <v>574</v>
      </c>
      <c r="L347" s="8" t="s">
        <v>575</v>
      </c>
      <c r="M347" s="8" t="s">
        <v>27</v>
      </c>
      <c r="N347" s="8" t="s">
        <v>20037</v>
      </c>
      <c r="O347" s="8" t="s">
        <v>404</v>
      </c>
      <c r="P347" s="8" t="s">
        <v>405</v>
      </c>
      <c r="Q347" s="12" t="s">
        <v>20038</v>
      </c>
      <c r="R347" s="8" t="s">
        <v>100</v>
      </c>
      <c r="S347" s="8" t="s">
        <v>28</v>
      </c>
      <c r="T347" s="8"/>
      <c r="U347" s="8"/>
      <c r="AI347" s="8"/>
      <c r="AJ347" s="8"/>
      <c r="AK347" s="8"/>
      <c r="AL347" s="8"/>
      <c r="AM347" s="8"/>
    </row>
    <row r="348" spans="1:46" ht="12" customHeight="1">
      <c r="A348" s="8" t="s">
        <v>576</v>
      </c>
      <c r="B348" s="16" t="s">
        <v>29</v>
      </c>
      <c r="C348" s="8" t="s">
        <v>20</v>
      </c>
      <c r="D348" s="8" t="s">
        <v>48</v>
      </c>
      <c r="F348" s="17">
        <v>42245</v>
      </c>
      <c r="G348" s="8" t="s">
        <v>20230</v>
      </c>
      <c r="H348" s="8" t="s">
        <v>87</v>
      </c>
      <c r="I348" s="8" t="s">
        <v>44</v>
      </c>
      <c r="J348" s="16" t="s">
        <v>13831</v>
      </c>
      <c r="K348" s="2" t="s">
        <v>88</v>
      </c>
      <c r="L348" s="8" t="s">
        <v>89</v>
      </c>
      <c r="M348" s="8" t="s">
        <v>27</v>
      </c>
      <c r="N348" s="8" t="s">
        <v>20039</v>
      </c>
      <c r="O348" s="8" t="s">
        <v>1018</v>
      </c>
      <c r="P348" s="8" t="s">
        <v>405</v>
      </c>
      <c r="Q348" s="12" t="s">
        <v>20040</v>
      </c>
      <c r="R348" s="8" t="s">
        <v>100</v>
      </c>
      <c r="S348" s="8" t="s">
        <v>35</v>
      </c>
      <c r="T348" s="8"/>
      <c r="U348" s="8"/>
      <c r="AI348" s="8"/>
      <c r="AJ348" s="8"/>
      <c r="AK348" s="8"/>
      <c r="AL348" s="8"/>
      <c r="AM348" s="8"/>
    </row>
    <row r="349" spans="1:46" ht="12.75" customHeight="1">
      <c r="A349" s="8" t="s">
        <v>577</v>
      </c>
      <c r="B349" s="16">
        <v>43</v>
      </c>
      <c r="C349" s="8" t="s">
        <v>20</v>
      </c>
      <c r="D349" s="8" t="s">
        <v>37</v>
      </c>
      <c r="E349" s="8" t="s">
        <v>19967</v>
      </c>
      <c r="F349" s="17">
        <v>42245</v>
      </c>
      <c r="G349" s="8" t="s">
        <v>578</v>
      </c>
      <c r="H349" s="8" t="s">
        <v>579</v>
      </c>
      <c r="I349" s="8" t="s">
        <v>73</v>
      </c>
      <c r="J349" s="16" t="s">
        <v>20231</v>
      </c>
      <c r="K349" s="2" t="s">
        <v>580</v>
      </c>
      <c r="L349" s="8" t="s">
        <v>581</v>
      </c>
      <c r="M349" s="8" t="s">
        <v>27</v>
      </c>
      <c r="N349" s="8" t="s">
        <v>20041</v>
      </c>
      <c r="O349" s="8" t="s">
        <v>404</v>
      </c>
      <c r="P349" s="8" t="s">
        <v>405</v>
      </c>
      <c r="Q349" s="12" t="s">
        <v>20042</v>
      </c>
      <c r="R349" s="8" t="s">
        <v>100</v>
      </c>
      <c r="S349" s="8" t="s">
        <v>28</v>
      </c>
      <c r="T349" s="8"/>
      <c r="U349" s="8"/>
      <c r="AN349" s="8"/>
      <c r="AO349" s="8"/>
      <c r="AP349" s="8"/>
      <c r="AQ349" s="8"/>
      <c r="AR349" s="8"/>
      <c r="AS349" s="8"/>
      <c r="AT349" s="8"/>
    </row>
    <row r="350" spans="1:46" ht="12" customHeight="1">
      <c r="A350" s="8" t="s">
        <v>597</v>
      </c>
      <c r="B350" s="16">
        <v>23</v>
      </c>
      <c r="C350" s="8" t="s">
        <v>20</v>
      </c>
      <c r="D350" s="8" t="s">
        <v>37</v>
      </c>
      <c r="E350" s="8" t="s">
        <v>19968</v>
      </c>
      <c r="F350" s="17">
        <v>42244</v>
      </c>
      <c r="G350" s="8" t="s">
        <v>598</v>
      </c>
      <c r="H350" s="8" t="s">
        <v>599</v>
      </c>
      <c r="I350" s="8" t="s">
        <v>73</v>
      </c>
      <c r="J350" s="16" t="s">
        <v>20232</v>
      </c>
      <c r="K350" s="2" t="s">
        <v>600</v>
      </c>
      <c r="L350" s="8" t="s">
        <v>601</v>
      </c>
      <c r="M350" s="8" t="s">
        <v>27</v>
      </c>
      <c r="N350" s="8" t="s">
        <v>20043</v>
      </c>
      <c r="O350" s="8" t="s">
        <v>20044</v>
      </c>
      <c r="P350" s="8" t="s">
        <v>405</v>
      </c>
      <c r="Q350" s="12" t="s">
        <v>20045</v>
      </c>
      <c r="R350" s="8" t="s">
        <v>29</v>
      </c>
      <c r="S350" s="8" t="s">
        <v>28</v>
      </c>
      <c r="T350" s="8"/>
      <c r="U350" s="8"/>
      <c r="AN350" s="8"/>
      <c r="AO350" s="8"/>
      <c r="AP350" s="8"/>
      <c r="AQ350" s="8"/>
      <c r="AR350" s="8"/>
      <c r="AS350" s="8"/>
      <c r="AT350" s="8"/>
    </row>
    <row r="351" spans="1:46" ht="12" customHeight="1">
      <c r="A351" s="8" t="s">
        <v>582</v>
      </c>
      <c r="B351" s="16">
        <v>61</v>
      </c>
      <c r="C351" s="8" t="s">
        <v>20</v>
      </c>
      <c r="D351" s="8" t="s">
        <v>85</v>
      </c>
      <c r="F351" s="17">
        <v>42244</v>
      </c>
      <c r="G351" s="8" t="s">
        <v>583</v>
      </c>
      <c r="H351" s="8" t="s">
        <v>20233</v>
      </c>
      <c r="I351" s="8" t="s">
        <v>427</v>
      </c>
      <c r="J351" s="16" t="s">
        <v>20234</v>
      </c>
      <c r="K351" s="2" t="s">
        <v>585</v>
      </c>
      <c r="L351" s="8" t="s">
        <v>586</v>
      </c>
      <c r="M351" s="8" t="s">
        <v>27</v>
      </c>
      <c r="N351" s="8" t="s">
        <v>20046</v>
      </c>
      <c r="O351" s="8" t="s">
        <v>404</v>
      </c>
      <c r="P351" s="8" t="s">
        <v>405</v>
      </c>
      <c r="Q351" s="12" t="s">
        <v>20047</v>
      </c>
      <c r="R351" s="8" t="s">
        <v>100</v>
      </c>
      <c r="S351" s="8" t="s">
        <v>18</v>
      </c>
      <c r="T351" s="8"/>
      <c r="U351" s="8"/>
    </row>
    <row r="352" spans="1:46" ht="12" customHeight="1">
      <c r="A352" s="8" t="s">
        <v>587</v>
      </c>
      <c r="B352" s="16">
        <v>41</v>
      </c>
      <c r="C352" s="8" t="s">
        <v>20</v>
      </c>
      <c r="D352" s="8" t="s">
        <v>48</v>
      </c>
      <c r="E352" s="8" t="s">
        <v>19969</v>
      </c>
      <c r="F352" s="17">
        <v>42244</v>
      </c>
      <c r="G352" s="8" t="s">
        <v>588</v>
      </c>
      <c r="H352" s="8" t="s">
        <v>579</v>
      </c>
      <c r="I352" s="8" t="s">
        <v>73</v>
      </c>
      <c r="J352" s="16" t="s">
        <v>20235</v>
      </c>
      <c r="K352" s="2" t="s">
        <v>580</v>
      </c>
      <c r="L352" s="8" t="s">
        <v>589</v>
      </c>
      <c r="M352" s="8" t="s">
        <v>27</v>
      </c>
      <c r="N352" s="8" t="s">
        <v>20048</v>
      </c>
      <c r="O352" s="8" t="s">
        <v>20044</v>
      </c>
      <c r="P352" s="8" t="s">
        <v>405</v>
      </c>
      <c r="Q352" s="12" t="s">
        <v>20049</v>
      </c>
      <c r="R352" s="8" t="s">
        <v>559</v>
      </c>
      <c r="S352" s="8" t="s">
        <v>35</v>
      </c>
      <c r="T352" s="8"/>
      <c r="U352" s="8"/>
      <c r="AI352" s="8"/>
      <c r="AJ352" s="8"/>
      <c r="AK352" s="8"/>
      <c r="AL352" s="8"/>
      <c r="AM352" s="8"/>
    </row>
    <row r="353" spans="1:46" ht="12" customHeight="1">
      <c r="A353" s="8" t="s">
        <v>590</v>
      </c>
      <c r="B353" s="16">
        <v>54</v>
      </c>
      <c r="C353" s="8" t="s">
        <v>20</v>
      </c>
      <c r="D353" s="8" t="s">
        <v>37</v>
      </c>
      <c r="F353" s="17">
        <v>42244</v>
      </c>
      <c r="G353" s="8" t="s">
        <v>591</v>
      </c>
      <c r="H353" s="8" t="s">
        <v>158</v>
      </c>
      <c r="I353" s="8" t="s">
        <v>45</v>
      </c>
      <c r="J353" s="16" t="s">
        <v>20236</v>
      </c>
      <c r="K353" s="2" t="s">
        <v>158</v>
      </c>
      <c r="L353" s="8" t="s">
        <v>159</v>
      </c>
      <c r="M353" s="8" t="s">
        <v>27</v>
      </c>
      <c r="N353" s="8" t="s">
        <v>20050</v>
      </c>
      <c r="O353" s="8" t="s">
        <v>404</v>
      </c>
      <c r="P353" s="8" t="s">
        <v>405</v>
      </c>
      <c r="Q353" s="12" t="s">
        <v>20051</v>
      </c>
      <c r="R353" s="8" t="s">
        <v>100</v>
      </c>
      <c r="S353" s="8" t="s">
        <v>28</v>
      </c>
      <c r="T353" s="8"/>
      <c r="U353" s="8"/>
      <c r="AN353" s="8"/>
      <c r="AO353" s="8"/>
      <c r="AP353" s="8"/>
      <c r="AQ353" s="8"/>
      <c r="AR353" s="8"/>
      <c r="AS353" s="8"/>
      <c r="AT353" s="8"/>
    </row>
    <row r="354" spans="1:46" ht="12" customHeight="1">
      <c r="A354" s="8" t="s">
        <v>592</v>
      </c>
      <c r="B354" s="16">
        <v>28</v>
      </c>
      <c r="C354" s="8" t="s">
        <v>20</v>
      </c>
      <c r="D354" s="8" t="s">
        <v>37</v>
      </c>
      <c r="E354" s="8" t="s">
        <v>19970</v>
      </c>
      <c r="F354" s="17">
        <v>42244</v>
      </c>
      <c r="G354" s="8" t="s">
        <v>20237</v>
      </c>
      <c r="H354" s="8" t="s">
        <v>593</v>
      </c>
      <c r="I354" s="8" t="s">
        <v>243</v>
      </c>
      <c r="J354" s="16" t="s">
        <v>12172</v>
      </c>
      <c r="K354" s="2" t="s">
        <v>594</v>
      </c>
      <c r="L354" s="8" t="s">
        <v>595</v>
      </c>
      <c r="M354" s="8" t="s">
        <v>27</v>
      </c>
      <c r="N354" s="8" t="s">
        <v>20052</v>
      </c>
      <c r="O354" s="8" t="s">
        <v>20044</v>
      </c>
      <c r="P354" s="8" t="s">
        <v>405</v>
      </c>
      <c r="Q354" s="12" t="s">
        <v>20053</v>
      </c>
      <c r="R354" s="8" t="s">
        <v>559</v>
      </c>
      <c r="S354" s="8" t="s">
        <v>28</v>
      </c>
      <c r="T354" s="8"/>
      <c r="U354" s="8"/>
      <c r="AN354" s="8"/>
      <c r="AO354" s="8"/>
      <c r="AP354" s="8"/>
      <c r="AQ354" s="8"/>
      <c r="AR354" s="8"/>
      <c r="AS354" s="8"/>
      <c r="AT354" s="8"/>
    </row>
    <row r="355" spans="1:46" ht="12" customHeight="1">
      <c r="A355" s="8" t="s">
        <v>602</v>
      </c>
      <c r="B355" s="16">
        <v>43</v>
      </c>
      <c r="C355" s="8" t="s">
        <v>20</v>
      </c>
      <c r="D355" s="8" t="s">
        <v>85</v>
      </c>
      <c r="E355" s="8" t="s">
        <v>19971</v>
      </c>
      <c r="F355" s="17">
        <v>42243</v>
      </c>
      <c r="G355" s="8" t="s">
        <v>20238</v>
      </c>
      <c r="H355" s="8" t="s">
        <v>288</v>
      </c>
      <c r="I355" s="8" t="s">
        <v>73</v>
      </c>
      <c r="J355" s="16" t="s">
        <v>20239</v>
      </c>
      <c r="K355" s="2" t="s">
        <v>288</v>
      </c>
      <c r="L355" s="8" t="s">
        <v>289</v>
      </c>
      <c r="M355" s="8" t="s">
        <v>27</v>
      </c>
      <c r="N355" s="8" t="s">
        <v>20054</v>
      </c>
      <c r="O355" s="8" t="s">
        <v>404</v>
      </c>
      <c r="P355" s="8" t="s">
        <v>405</v>
      </c>
      <c r="Q355" s="12" t="s">
        <v>20055</v>
      </c>
      <c r="R355" s="8" t="s">
        <v>100</v>
      </c>
      <c r="S355" s="8" t="s">
        <v>28</v>
      </c>
      <c r="T355" s="8"/>
      <c r="U355" s="8"/>
    </row>
    <row r="356" spans="1:46" ht="12" customHeight="1">
      <c r="A356" s="8" t="s">
        <v>605</v>
      </c>
      <c r="B356" s="16">
        <v>29</v>
      </c>
      <c r="C356" s="8" t="s">
        <v>20</v>
      </c>
      <c r="D356" s="8" t="s">
        <v>48</v>
      </c>
      <c r="F356" s="17">
        <v>42243</v>
      </c>
      <c r="G356" s="8" t="s">
        <v>20240</v>
      </c>
      <c r="H356" s="8" t="s">
        <v>98</v>
      </c>
      <c r="I356" s="8" t="s">
        <v>45</v>
      </c>
      <c r="J356" s="16" t="s">
        <v>20241</v>
      </c>
      <c r="K356" s="2" t="s">
        <v>98</v>
      </c>
      <c r="L356" s="8" t="s">
        <v>99</v>
      </c>
      <c r="M356" s="8" t="s">
        <v>27</v>
      </c>
      <c r="N356" s="8" t="s">
        <v>20056</v>
      </c>
      <c r="O356" s="8" t="s">
        <v>20044</v>
      </c>
      <c r="P356" s="8" t="s">
        <v>405</v>
      </c>
      <c r="Q356" s="12" t="s">
        <v>20057</v>
      </c>
      <c r="R356" s="8" t="s">
        <v>29</v>
      </c>
      <c r="S356" s="8" t="s">
        <v>28</v>
      </c>
      <c r="T356" s="8"/>
      <c r="U356" s="8"/>
      <c r="AI356" s="8"/>
      <c r="AJ356" s="8"/>
      <c r="AK356" s="8"/>
      <c r="AL356" s="8"/>
      <c r="AM356" s="8"/>
    </row>
    <row r="357" spans="1:46" ht="12" customHeight="1">
      <c r="A357" s="8" t="s">
        <v>610</v>
      </c>
      <c r="B357" s="16">
        <v>31</v>
      </c>
      <c r="C357" s="8" t="s">
        <v>20</v>
      </c>
      <c r="D357" s="8" t="s">
        <v>37</v>
      </c>
      <c r="E357" s="8" t="s">
        <v>20863</v>
      </c>
      <c r="F357" s="17">
        <v>42243</v>
      </c>
      <c r="G357" s="8" t="s">
        <v>611</v>
      </c>
      <c r="H357" s="8" t="s">
        <v>612</v>
      </c>
      <c r="I357" s="8" t="s">
        <v>45</v>
      </c>
      <c r="J357" s="28">
        <v>95110</v>
      </c>
      <c r="K357" s="27" t="s">
        <v>613</v>
      </c>
      <c r="L357" s="29" t="s">
        <v>12785</v>
      </c>
      <c r="M357" s="45" t="s">
        <v>3189</v>
      </c>
      <c r="N357" s="27"/>
      <c r="O357" s="27"/>
      <c r="P357" s="8" t="s">
        <v>405</v>
      </c>
      <c r="Q357" s="30" t="s">
        <v>20864</v>
      </c>
      <c r="R357" s="27" t="s">
        <v>614</v>
      </c>
      <c r="S357" s="27" t="s">
        <v>18</v>
      </c>
      <c r="T357" s="27"/>
      <c r="U357" s="27"/>
      <c r="V357" s="27"/>
      <c r="W357" s="27"/>
      <c r="X357" s="27"/>
      <c r="Y357" s="27"/>
      <c r="Z357" s="27"/>
      <c r="AA357" s="27"/>
      <c r="AB357" s="27"/>
      <c r="AC357" s="27"/>
      <c r="AD357" s="27"/>
      <c r="AE357" s="27"/>
      <c r="AF357" s="27"/>
      <c r="AG357" s="27"/>
      <c r="AH357" s="27"/>
      <c r="AN357" s="8"/>
      <c r="AO357" s="8"/>
      <c r="AP357" s="8"/>
      <c r="AQ357" s="8"/>
      <c r="AR357" s="8"/>
      <c r="AS357" s="8"/>
      <c r="AT357" s="8"/>
    </row>
    <row r="358" spans="1:46" ht="12" customHeight="1">
      <c r="A358" s="8" t="s">
        <v>603</v>
      </c>
      <c r="B358" s="16">
        <v>50</v>
      </c>
      <c r="C358" s="8" t="s">
        <v>20</v>
      </c>
      <c r="D358" s="8" t="s">
        <v>85</v>
      </c>
      <c r="F358" s="17">
        <v>42243</v>
      </c>
      <c r="G358" s="8" t="s">
        <v>20242</v>
      </c>
      <c r="H358" s="8" t="s">
        <v>434</v>
      </c>
      <c r="I358" s="8" t="s">
        <v>367</v>
      </c>
      <c r="J358" s="16" t="s">
        <v>9770</v>
      </c>
      <c r="K358" s="2" t="s">
        <v>604</v>
      </c>
      <c r="L358" s="8" t="s">
        <v>2140</v>
      </c>
      <c r="M358" s="8" t="s">
        <v>383</v>
      </c>
      <c r="N358" s="8" t="s">
        <v>20058</v>
      </c>
      <c r="O358" s="8" t="s">
        <v>404</v>
      </c>
      <c r="P358" s="8" t="s">
        <v>405</v>
      </c>
      <c r="Q358" s="12" t="s">
        <v>20059</v>
      </c>
      <c r="R358" s="8" t="s">
        <v>100</v>
      </c>
      <c r="S358" s="8" t="s">
        <v>18</v>
      </c>
      <c r="T358" s="8"/>
      <c r="U358" s="8"/>
    </row>
    <row r="359" spans="1:46" ht="12" customHeight="1">
      <c r="A359" s="8" t="s">
        <v>606</v>
      </c>
      <c r="B359" s="16">
        <v>30</v>
      </c>
      <c r="C359" s="8" t="s">
        <v>20</v>
      </c>
      <c r="D359" s="8" t="s">
        <v>30</v>
      </c>
      <c r="F359" s="17">
        <v>42243</v>
      </c>
      <c r="G359" s="8" t="s">
        <v>20243</v>
      </c>
      <c r="H359" s="8" t="s">
        <v>607</v>
      </c>
      <c r="I359" s="8" t="s">
        <v>45</v>
      </c>
      <c r="J359" s="16" t="s">
        <v>1929</v>
      </c>
      <c r="K359" s="2" t="s">
        <v>608</v>
      </c>
      <c r="L359" s="8" t="s">
        <v>609</v>
      </c>
      <c r="M359" s="8" t="s">
        <v>27</v>
      </c>
      <c r="N359" s="8" t="s">
        <v>20060</v>
      </c>
      <c r="O359" s="8" t="s">
        <v>20044</v>
      </c>
      <c r="P359" s="8" t="s">
        <v>405</v>
      </c>
      <c r="Q359" s="12" t="s">
        <v>20061</v>
      </c>
      <c r="R359" s="8" t="s">
        <v>29</v>
      </c>
      <c r="S359" s="8" t="s">
        <v>28</v>
      </c>
      <c r="T359" s="8"/>
      <c r="U359" s="8"/>
    </row>
    <row r="360" spans="1:46" ht="12" customHeight="1">
      <c r="A360" s="8" t="s">
        <v>620</v>
      </c>
      <c r="B360" s="16">
        <v>46</v>
      </c>
      <c r="C360" s="8" t="s">
        <v>20</v>
      </c>
      <c r="D360" s="8" t="s">
        <v>37</v>
      </c>
      <c r="E360" s="8" t="s">
        <v>19972</v>
      </c>
      <c r="F360" s="17">
        <v>42242</v>
      </c>
      <c r="G360" s="8" t="s">
        <v>20244</v>
      </c>
      <c r="H360" s="8" t="s">
        <v>621</v>
      </c>
      <c r="I360" s="8" t="s">
        <v>323</v>
      </c>
      <c r="J360" s="16" t="s">
        <v>20245</v>
      </c>
      <c r="K360" s="2" t="s">
        <v>552</v>
      </c>
      <c r="L360" s="8" t="s">
        <v>622</v>
      </c>
      <c r="M360" s="8" t="s">
        <v>27</v>
      </c>
      <c r="N360" s="8" t="s">
        <v>20062</v>
      </c>
      <c r="O360" s="8" t="s">
        <v>20044</v>
      </c>
      <c r="P360" s="8" t="s">
        <v>405</v>
      </c>
      <c r="Q360" s="12" t="s">
        <v>20063</v>
      </c>
      <c r="R360" s="8" t="s">
        <v>29</v>
      </c>
      <c r="S360" s="8" t="s">
        <v>28</v>
      </c>
      <c r="T360" s="8"/>
      <c r="U360" s="8"/>
      <c r="AN360" s="8"/>
      <c r="AO360" s="8"/>
      <c r="AP360" s="8"/>
      <c r="AQ360" s="8"/>
      <c r="AR360" s="8"/>
      <c r="AS360" s="8"/>
      <c r="AT360" s="8"/>
    </row>
    <row r="361" spans="1:46" ht="12" customHeight="1">
      <c r="A361" s="8" t="s">
        <v>615</v>
      </c>
      <c r="B361" s="16">
        <v>27</v>
      </c>
      <c r="C361" s="8" t="s">
        <v>20</v>
      </c>
      <c r="D361" s="8" t="s">
        <v>37</v>
      </c>
      <c r="E361" s="8" t="s">
        <v>19973</v>
      </c>
      <c r="F361" s="17">
        <v>42242</v>
      </c>
      <c r="G361" s="8" t="s">
        <v>20246</v>
      </c>
      <c r="H361" s="8" t="s">
        <v>616</v>
      </c>
      <c r="I361" s="8" t="s">
        <v>243</v>
      </c>
      <c r="J361" s="16" t="s">
        <v>20247</v>
      </c>
      <c r="K361" s="2" t="s">
        <v>617</v>
      </c>
      <c r="L361" s="8" t="s">
        <v>618</v>
      </c>
      <c r="M361" s="8" t="s">
        <v>27</v>
      </c>
      <c r="N361" s="8" t="s">
        <v>20064</v>
      </c>
      <c r="O361" s="8" t="s">
        <v>20044</v>
      </c>
      <c r="P361" s="8" t="s">
        <v>405</v>
      </c>
      <c r="Q361" s="12" t="s">
        <v>20065</v>
      </c>
      <c r="R361" s="8" t="s">
        <v>559</v>
      </c>
      <c r="S361" s="8" t="s">
        <v>28</v>
      </c>
      <c r="T361" s="8"/>
      <c r="U361" s="8"/>
      <c r="AN361" s="8"/>
      <c r="AO361" s="8"/>
      <c r="AP361" s="8"/>
      <c r="AQ361" s="8"/>
      <c r="AR361" s="8"/>
      <c r="AS361" s="8"/>
      <c r="AT361" s="8"/>
    </row>
    <row r="362" spans="1:46" ht="12" customHeight="1">
      <c r="A362" s="8" t="s">
        <v>623</v>
      </c>
      <c r="B362" s="16">
        <v>22</v>
      </c>
      <c r="C362" s="8" t="s">
        <v>20</v>
      </c>
      <c r="D362" s="8" t="s">
        <v>37</v>
      </c>
      <c r="E362" s="8" t="s">
        <v>19974</v>
      </c>
      <c r="F362" s="17">
        <v>42242</v>
      </c>
      <c r="G362" s="8" t="s">
        <v>624</v>
      </c>
      <c r="H362" s="8" t="s">
        <v>625</v>
      </c>
      <c r="I362" s="8" t="s">
        <v>323</v>
      </c>
      <c r="J362" s="16" t="s">
        <v>20248</v>
      </c>
      <c r="K362" s="2" t="s">
        <v>626</v>
      </c>
      <c r="L362" s="8" t="s">
        <v>627</v>
      </c>
      <c r="M362" s="8" t="s">
        <v>27</v>
      </c>
      <c r="N362" s="8" t="s">
        <v>20066</v>
      </c>
      <c r="O362" s="8" t="s">
        <v>554</v>
      </c>
      <c r="P362" s="8" t="s">
        <v>405</v>
      </c>
      <c r="Q362" s="12" t="s">
        <v>20067</v>
      </c>
      <c r="R362" s="8" t="s">
        <v>559</v>
      </c>
      <c r="S362" s="8" t="s">
        <v>28</v>
      </c>
      <c r="T362" s="8"/>
      <c r="U362" s="8"/>
      <c r="AN362" s="8"/>
      <c r="AO362" s="8"/>
      <c r="AP362" s="8"/>
      <c r="AQ362" s="8"/>
      <c r="AR362" s="8"/>
      <c r="AS362" s="8"/>
      <c r="AT362" s="8"/>
    </row>
    <row r="363" spans="1:46" ht="12" customHeight="1">
      <c r="A363" s="8" t="s">
        <v>628</v>
      </c>
      <c r="B363" s="16">
        <v>34</v>
      </c>
      <c r="C363" s="8" t="s">
        <v>20</v>
      </c>
      <c r="D363" s="8" t="s">
        <v>85</v>
      </c>
      <c r="E363" s="8" t="s">
        <v>19975</v>
      </c>
      <c r="F363" s="17">
        <v>42241</v>
      </c>
      <c r="G363" s="8" t="s">
        <v>629</v>
      </c>
      <c r="H363" s="8" t="s">
        <v>630</v>
      </c>
      <c r="I363" s="8" t="s">
        <v>408</v>
      </c>
      <c r="J363" s="16" t="s">
        <v>20249</v>
      </c>
      <c r="K363" s="2" t="s">
        <v>407</v>
      </c>
      <c r="L363" s="8" t="s">
        <v>631</v>
      </c>
      <c r="M363" s="8" t="s">
        <v>27</v>
      </c>
      <c r="N363" s="8" t="s">
        <v>632</v>
      </c>
      <c r="O363" s="8" t="s">
        <v>554</v>
      </c>
      <c r="P363" s="8" t="s">
        <v>405</v>
      </c>
      <c r="Q363" s="12" t="s">
        <v>20068</v>
      </c>
      <c r="R363" s="8" t="s">
        <v>29</v>
      </c>
      <c r="S363" s="8" t="s">
        <v>28</v>
      </c>
      <c r="T363" s="8"/>
      <c r="U363" s="8"/>
    </row>
    <row r="364" spans="1:46" ht="12" customHeight="1">
      <c r="A364" s="8" t="s">
        <v>635</v>
      </c>
      <c r="B364" s="16">
        <v>22</v>
      </c>
      <c r="C364" s="8" t="s">
        <v>20</v>
      </c>
      <c r="D364" s="8" t="s">
        <v>48</v>
      </c>
      <c r="F364" s="17">
        <v>42241</v>
      </c>
      <c r="G364" s="8" t="s">
        <v>20252</v>
      </c>
      <c r="H364" s="8" t="s">
        <v>216</v>
      </c>
      <c r="I364" s="8" t="s">
        <v>62</v>
      </c>
      <c r="J364" s="16" t="s">
        <v>4300</v>
      </c>
      <c r="K364" s="2" t="s">
        <v>163</v>
      </c>
      <c r="L364" s="8" t="s">
        <v>164</v>
      </c>
      <c r="M364" s="8" t="s">
        <v>27</v>
      </c>
      <c r="N364" s="8" t="s">
        <v>20071</v>
      </c>
      <c r="O364" s="8" t="s">
        <v>20044</v>
      </c>
      <c r="P364" s="8" t="s">
        <v>405</v>
      </c>
      <c r="Q364" s="12" t="s">
        <v>20072</v>
      </c>
      <c r="R364" s="8" t="s">
        <v>29</v>
      </c>
      <c r="S364" s="8" t="s">
        <v>28</v>
      </c>
      <c r="T364" s="8"/>
      <c r="U364" s="8"/>
    </row>
    <row r="365" spans="1:46" ht="12" customHeight="1">
      <c r="A365" s="8" t="s">
        <v>633</v>
      </c>
      <c r="B365" s="16">
        <v>30</v>
      </c>
      <c r="C365" s="8" t="s">
        <v>20</v>
      </c>
      <c r="D365" s="8" t="s">
        <v>48</v>
      </c>
      <c r="E365" s="8" t="s">
        <v>19976</v>
      </c>
      <c r="F365" s="17">
        <v>42241</v>
      </c>
      <c r="G365" s="8" t="s">
        <v>20250</v>
      </c>
      <c r="H365" s="8" t="s">
        <v>634</v>
      </c>
      <c r="I365" s="8" t="s">
        <v>198</v>
      </c>
      <c r="J365" s="16" t="s">
        <v>13345</v>
      </c>
      <c r="K365" s="2" t="s">
        <v>634</v>
      </c>
      <c r="L365" s="8" t="s">
        <v>20251</v>
      </c>
      <c r="M365" s="8" t="s">
        <v>27</v>
      </c>
      <c r="N365" s="8" t="s">
        <v>20069</v>
      </c>
      <c r="O365" s="8" t="s">
        <v>20044</v>
      </c>
      <c r="P365" s="8" t="s">
        <v>405</v>
      </c>
      <c r="Q365" s="12" t="s">
        <v>20070</v>
      </c>
      <c r="R365" s="8" t="s">
        <v>29</v>
      </c>
      <c r="S365" s="8" t="s">
        <v>28</v>
      </c>
      <c r="T365" s="8"/>
      <c r="U365" s="8"/>
    </row>
    <row r="366" spans="1:46" ht="12" customHeight="1">
      <c r="A366" s="8" t="s">
        <v>636</v>
      </c>
      <c r="B366" s="16" t="s">
        <v>29</v>
      </c>
      <c r="C366" s="8" t="s">
        <v>20</v>
      </c>
      <c r="D366" s="8" t="s">
        <v>37</v>
      </c>
      <c r="F366" s="17">
        <v>42241</v>
      </c>
      <c r="G366" s="8" t="s">
        <v>637</v>
      </c>
      <c r="H366" s="8" t="s">
        <v>638</v>
      </c>
      <c r="I366" s="8" t="s">
        <v>124</v>
      </c>
      <c r="J366" s="16" t="s">
        <v>12850</v>
      </c>
      <c r="K366" s="2" t="s">
        <v>639</v>
      </c>
      <c r="L366" s="8" t="s">
        <v>640</v>
      </c>
      <c r="M366" s="8" t="s">
        <v>27</v>
      </c>
      <c r="N366" s="8" t="s">
        <v>20073</v>
      </c>
      <c r="O366" s="8" t="s">
        <v>20044</v>
      </c>
      <c r="P366" s="8" t="s">
        <v>405</v>
      </c>
      <c r="Q366" s="12" t="s">
        <v>20074</v>
      </c>
      <c r="R366" s="8" t="s">
        <v>29</v>
      </c>
      <c r="S366" s="8" t="s">
        <v>28</v>
      </c>
      <c r="T366" s="8"/>
      <c r="U366" s="8"/>
      <c r="AN366" s="8"/>
      <c r="AO366" s="8"/>
      <c r="AP366" s="8"/>
      <c r="AQ366" s="8"/>
      <c r="AR366" s="8"/>
      <c r="AS366" s="8"/>
      <c r="AT366" s="8"/>
    </row>
    <row r="367" spans="1:46" ht="12" customHeight="1">
      <c r="A367" s="8" t="s">
        <v>641</v>
      </c>
      <c r="B367" s="16">
        <v>51</v>
      </c>
      <c r="C367" s="8" t="s">
        <v>20</v>
      </c>
      <c r="D367" s="8" t="s">
        <v>37</v>
      </c>
      <c r="F367" s="17">
        <v>42241</v>
      </c>
      <c r="G367" s="8" t="s">
        <v>642</v>
      </c>
      <c r="H367" s="8" t="s">
        <v>643</v>
      </c>
      <c r="I367" s="8" t="s">
        <v>62</v>
      </c>
      <c r="J367" s="16" t="s">
        <v>20253</v>
      </c>
      <c r="K367" s="2" t="s">
        <v>644</v>
      </c>
      <c r="L367" s="8" t="s">
        <v>645</v>
      </c>
      <c r="M367" s="8" t="s">
        <v>27</v>
      </c>
      <c r="N367" s="8" t="s">
        <v>20075</v>
      </c>
      <c r="O367" s="8" t="s">
        <v>20044</v>
      </c>
      <c r="P367" s="8" t="s">
        <v>405</v>
      </c>
      <c r="Q367" s="12" t="s">
        <v>20076</v>
      </c>
      <c r="R367" s="8" t="s">
        <v>29</v>
      </c>
      <c r="S367" s="8" t="s">
        <v>28</v>
      </c>
      <c r="T367" s="8"/>
      <c r="U367" s="8"/>
      <c r="AN367" s="8"/>
      <c r="AO367" s="8"/>
      <c r="AP367" s="8"/>
      <c r="AQ367" s="8"/>
      <c r="AR367" s="8"/>
      <c r="AS367" s="8"/>
      <c r="AT367" s="8"/>
    </row>
    <row r="368" spans="1:46" ht="12" customHeight="1">
      <c r="A368" s="8" t="s">
        <v>651</v>
      </c>
      <c r="B368" s="16">
        <v>53</v>
      </c>
      <c r="C368" s="8" t="s">
        <v>20</v>
      </c>
      <c r="D368" s="8" t="s">
        <v>37</v>
      </c>
      <c r="F368" s="17">
        <v>42239</v>
      </c>
      <c r="G368" s="8" t="s">
        <v>20254</v>
      </c>
      <c r="H368" s="8" t="s">
        <v>652</v>
      </c>
      <c r="I368" s="8" t="s">
        <v>370</v>
      </c>
      <c r="J368" s="16" t="s">
        <v>20255</v>
      </c>
      <c r="K368" s="2" t="s">
        <v>16399</v>
      </c>
      <c r="L368" s="8" t="s">
        <v>654</v>
      </c>
      <c r="M368" s="8" t="s">
        <v>27</v>
      </c>
      <c r="N368" s="8" t="s">
        <v>20077</v>
      </c>
      <c r="O368" s="8" t="s">
        <v>404</v>
      </c>
      <c r="P368" s="8" t="s">
        <v>405</v>
      </c>
      <c r="Q368" s="12" t="s">
        <v>20078</v>
      </c>
      <c r="R368" s="8" t="s">
        <v>29</v>
      </c>
      <c r="S368" s="8" t="s">
        <v>28</v>
      </c>
      <c r="T368" s="8"/>
      <c r="U368" s="8"/>
      <c r="AN368" s="8"/>
      <c r="AO368" s="8"/>
      <c r="AP368" s="8"/>
      <c r="AQ368" s="8"/>
      <c r="AR368" s="8"/>
      <c r="AS368" s="8"/>
      <c r="AT368" s="8"/>
    </row>
    <row r="369" spans="1:46" ht="12" customHeight="1">
      <c r="A369" s="8" t="s">
        <v>662</v>
      </c>
      <c r="B369" s="16">
        <v>36</v>
      </c>
      <c r="C369" s="8" t="s">
        <v>20</v>
      </c>
      <c r="D369" s="8" t="s">
        <v>37</v>
      </c>
      <c r="E369" s="8" t="s">
        <v>19977</v>
      </c>
      <c r="F369" s="17">
        <v>42239</v>
      </c>
      <c r="G369" s="8" t="s">
        <v>663</v>
      </c>
      <c r="H369" s="8" t="s">
        <v>664</v>
      </c>
      <c r="I369" s="8" t="s">
        <v>94</v>
      </c>
      <c r="J369" s="16" t="s">
        <v>20256</v>
      </c>
      <c r="K369" s="2" t="s">
        <v>665</v>
      </c>
      <c r="L369" s="8" t="s">
        <v>666</v>
      </c>
      <c r="M369" s="8" t="s">
        <v>27</v>
      </c>
      <c r="N369" s="8" t="s">
        <v>20079</v>
      </c>
      <c r="O369" s="8" t="s">
        <v>404</v>
      </c>
      <c r="P369" s="8" t="s">
        <v>405</v>
      </c>
      <c r="Q369" s="12" t="s">
        <v>20080</v>
      </c>
      <c r="R369" s="8" t="s">
        <v>29</v>
      </c>
      <c r="S369" s="8" t="s">
        <v>35</v>
      </c>
      <c r="T369" s="8"/>
      <c r="U369" s="8"/>
      <c r="AN369" s="8"/>
      <c r="AO369" s="8"/>
      <c r="AP369" s="8"/>
      <c r="AQ369" s="8"/>
      <c r="AR369" s="8"/>
      <c r="AS369" s="8"/>
      <c r="AT369" s="8"/>
    </row>
    <row r="370" spans="1:46" ht="12" customHeight="1">
      <c r="A370" s="8" t="s">
        <v>646</v>
      </c>
      <c r="B370" s="16">
        <v>21</v>
      </c>
      <c r="C370" s="8" t="s">
        <v>20</v>
      </c>
      <c r="D370" s="8" t="s">
        <v>37</v>
      </c>
      <c r="F370" s="17">
        <v>42239</v>
      </c>
      <c r="G370" s="8" t="s">
        <v>647</v>
      </c>
      <c r="H370" s="8" t="s">
        <v>648</v>
      </c>
      <c r="I370" s="8" t="s">
        <v>81</v>
      </c>
      <c r="J370" s="16" t="s">
        <v>20257</v>
      </c>
      <c r="K370" s="2" t="s">
        <v>649</v>
      </c>
      <c r="L370" s="8" t="s">
        <v>650</v>
      </c>
      <c r="M370" s="8" t="s">
        <v>27</v>
      </c>
      <c r="N370" s="8" t="s">
        <v>20081</v>
      </c>
      <c r="O370" s="8" t="s">
        <v>404</v>
      </c>
      <c r="P370" s="8" t="s">
        <v>405</v>
      </c>
      <c r="Q370" s="12" t="s">
        <v>20082</v>
      </c>
      <c r="R370" s="8" t="s">
        <v>29</v>
      </c>
      <c r="S370" s="8" t="s">
        <v>28</v>
      </c>
      <c r="T370" s="8"/>
      <c r="U370" s="8"/>
      <c r="AN370" s="8"/>
      <c r="AO370" s="8"/>
      <c r="AP370" s="8"/>
      <c r="AQ370" s="8"/>
      <c r="AR370" s="8"/>
      <c r="AS370" s="8"/>
      <c r="AT370" s="8"/>
    </row>
    <row r="371" spans="1:46" ht="12" customHeight="1">
      <c r="A371" s="8" t="s">
        <v>655</v>
      </c>
      <c r="B371" s="16">
        <v>36</v>
      </c>
      <c r="C371" s="8" t="s">
        <v>20</v>
      </c>
      <c r="D371" s="8" t="s">
        <v>37</v>
      </c>
      <c r="E371" s="8" t="s">
        <v>19978</v>
      </c>
      <c r="F371" s="17">
        <v>42239</v>
      </c>
      <c r="G371" s="8" t="s">
        <v>656</v>
      </c>
      <c r="H371" s="8" t="s">
        <v>657</v>
      </c>
      <c r="I371" s="8" t="s">
        <v>62</v>
      </c>
      <c r="J371" s="16" t="s">
        <v>20258</v>
      </c>
      <c r="K371" s="2" t="s">
        <v>658</v>
      </c>
      <c r="L371" s="8" t="s">
        <v>659</v>
      </c>
      <c r="M371" s="8" t="s">
        <v>27</v>
      </c>
      <c r="N371" s="8" t="s">
        <v>20083</v>
      </c>
      <c r="O371" s="8" t="s">
        <v>404</v>
      </c>
      <c r="P371" s="8" t="s">
        <v>405</v>
      </c>
      <c r="Q371" s="12" t="s">
        <v>20084</v>
      </c>
      <c r="R371" s="8" t="s">
        <v>29</v>
      </c>
      <c r="S371" s="8" t="s">
        <v>28</v>
      </c>
      <c r="T371" s="8"/>
      <c r="U371" s="8"/>
      <c r="AN371" s="8"/>
      <c r="AO371" s="8"/>
      <c r="AP371" s="8"/>
      <c r="AQ371" s="8"/>
      <c r="AR371" s="8"/>
      <c r="AS371" s="8"/>
      <c r="AT371" s="8"/>
    </row>
    <row r="372" spans="1:46" ht="12" customHeight="1">
      <c r="A372" s="8" t="s">
        <v>660</v>
      </c>
      <c r="B372" s="16">
        <v>57</v>
      </c>
      <c r="C372" s="8" t="s">
        <v>20</v>
      </c>
      <c r="D372" s="8" t="s">
        <v>37</v>
      </c>
      <c r="E372" s="8" t="s">
        <v>19979</v>
      </c>
      <c r="F372" s="17">
        <v>42239</v>
      </c>
      <c r="G372" s="8" t="s">
        <v>20259</v>
      </c>
      <c r="H372" s="8" t="s">
        <v>661</v>
      </c>
      <c r="I372" s="8" t="s">
        <v>272</v>
      </c>
      <c r="J372" s="16" t="s">
        <v>20260</v>
      </c>
      <c r="K372" s="2" t="s">
        <v>574</v>
      </c>
      <c r="L372" s="8" t="s">
        <v>575</v>
      </c>
      <c r="M372" s="8" t="s">
        <v>27</v>
      </c>
      <c r="N372" s="8" t="s">
        <v>20085</v>
      </c>
      <c r="O372" s="8" t="s">
        <v>20044</v>
      </c>
      <c r="P372" s="8" t="s">
        <v>405</v>
      </c>
      <c r="Q372" s="12" t="s">
        <v>20086</v>
      </c>
      <c r="R372" s="8" t="s">
        <v>29</v>
      </c>
      <c r="S372" s="8" t="s">
        <v>28</v>
      </c>
      <c r="T372" s="8"/>
      <c r="U372" s="8"/>
      <c r="AN372" s="8"/>
      <c r="AO372" s="8"/>
      <c r="AP372" s="8"/>
      <c r="AQ372" s="8"/>
      <c r="AR372" s="8"/>
      <c r="AS372" s="8"/>
      <c r="AT372" s="8"/>
    </row>
    <row r="373" spans="1:46" ht="12" customHeight="1">
      <c r="A373" s="8" t="s">
        <v>679</v>
      </c>
      <c r="B373" s="16">
        <v>31</v>
      </c>
      <c r="C373" s="8" t="s">
        <v>20</v>
      </c>
      <c r="D373" s="8" t="s">
        <v>37</v>
      </c>
      <c r="E373" s="8" t="s">
        <v>19980</v>
      </c>
      <c r="F373" s="17">
        <v>42238</v>
      </c>
      <c r="G373" s="8" t="s">
        <v>20261</v>
      </c>
      <c r="H373" s="8" t="s">
        <v>680</v>
      </c>
      <c r="I373" s="8" t="s">
        <v>135</v>
      </c>
      <c r="J373" s="16" t="s">
        <v>20262</v>
      </c>
      <c r="K373" s="2" t="s">
        <v>681</v>
      </c>
      <c r="L373" s="8" t="s">
        <v>20263</v>
      </c>
      <c r="M373" s="8" t="s">
        <v>27</v>
      </c>
      <c r="N373" s="8" t="s">
        <v>20087</v>
      </c>
      <c r="O373" s="8" t="s">
        <v>404</v>
      </c>
      <c r="P373" s="8" t="s">
        <v>405</v>
      </c>
      <c r="Q373" s="12" t="s">
        <v>20088</v>
      </c>
      <c r="R373" s="8" t="s">
        <v>100</v>
      </c>
      <c r="S373" s="8" t="s">
        <v>28</v>
      </c>
      <c r="T373" s="8"/>
      <c r="U373" s="8"/>
      <c r="AN373" s="8"/>
      <c r="AO373" s="8"/>
      <c r="AP373" s="8"/>
      <c r="AQ373" s="8"/>
      <c r="AR373" s="8"/>
      <c r="AS373" s="8"/>
      <c r="AT373" s="8"/>
    </row>
    <row r="374" spans="1:46" ht="12" customHeight="1">
      <c r="A374" s="8" t="s">
        <v>672</v>
      </c>
      <c r="B374" s="16">
        <v>38</v>
      </c>
      <c r="C374" s="8" t="s">
        <v>20</v>
      </c>
      <c r="D374" s="8" t="s">
        <v>37</v>
      </c>
      <c r="E374" s="8" t="str">
        <f>HYPERLINK("http://www.killedbypolice.net/victims/150755.jpg","http://www.killedbypolice.net/victims/150755.jpg")</f>
        <v>http://www.killedbypolice.net/victims/150755.jpg</v>
      </c>
      <c r="F374" s="17">
        <v>42238</v>
      </c>
      <c r="G374" s="8" t="s">
        <v>673</v>
      </c>
      <c r="H374" s="8" t="s">
        <v>674</v>
      </c>
      <c r="I374" s="8" t="s">
        <v>675</v>
      </c>
      <c r="J374" s="16">
        <v>38652</v>
      </c>
      <c r="K374" s="8" t="s">
        <v>676</v>
      </c>
      <c r="L374" s="8" t="s">
        <v>677</v>
      </c>
      <c r="M374" s="8" t="s">
        <v>678</v>
      </c>
      <c r="P374" s="8" t="s">
        <v>405</v>
      </c>
      <c r="Q374" s="11" t="str">
        <f>HYPERLINK("https://djournal.com/news/man-dies-after-police-chase-2/","https://djournal.com/news/man-dies-after-police-chase-2/")</f>
        <v>https://djournal.com/news/man-dies-after-police-chase-2/</v>
      </c>
      <c r="S374" s="8" t="s">
        <v>383</v>
      </c>
      <c r="T374" s="8"/>
      <c r="U374" s="8"/>
      <c r="AN374" s="8"/>
      <c r="AO374" s="8"/>
      <c r="AP374" s="8"/>
      <c r="AQ374" s="8"/>
      <c r="AR374" s="8"/>
      <c r="AS374" s="8"/>
      <c r="AT374" s="8"/>
    </row>
    <row r="375" spans="1:46" ht="12" customHeight="1">
      <c r="A375" s="8" t="s">
        <v>685</v>
      </c>
      <c r="B375" s="16">
        <v>29</v>
      </c>
      <c r="C375" s="8" t="s">
        <v>20</v>
      </c>
      <c r="D375" s="8" t="s">
        <v>37</v>
      </c>
      <c r="F375" s="17">
        <v>42238</v>
      </c>
      <c r="G375" s="8" t="s">
        <v>20264</v>
      </c>
      <c r="H375" s="8" t="s">
        <v>686</v>
      </c>
      <c r="I375" s="8" t="s">
        <v>45</v>
      </c>
      <c r="J375" s="16" t="s">
        <v>3522</v>
      </c>
      <c r="K375" s="2" t="s">
        <v>687</v>
      </c>
      <c r="L375" s="8" t="s">
        <v>688</v>
      </c>
      <c r="M375" s="8" t="s">
        <v>27</v>
      </c>
      <c r="N375" s="8" t="s">
        <v>20089</v>
      </c>
      <c r="O375" s="8" t="s">
        <v>404</v>
      </c>
      <c r="P375" s="8" t="s">
        <v>405</v>
      </c>
      <c r="Q375" s="12" t="s">
        <v>20090</v>
      </c>
      <c r="R375" s="8" t="s">
        <v>100</v>
      </c>
      <c r="S375" s="8" t="s">
        <v>28</v>
      </c>
      <c r="T375" s="8"/>
      <c r="U375" s="8"/>
      <c r="AN375" s="8"/>
      <c r="AO375" s="8"/>
      <c r="AP375" s="8"/>
      <c r="AQ375" s="8"/>
      <c r="AR375" s="8"/>
      <c r="AS375" s="8"/>
      <c r="AT375" s="8"/>
    </row>
    <row r="376" spans="1:46" ht="12" customHeight="1">
      <c r="A376" s="8" t="s">
        <v>682</v>
      </c>
      <c r="B376" s="16">
        <v>64</v>
      </c>
      <c r="C376" s="8" t="s">
        <v>20</v>
      </c>
      <c r="D376" s="8" t="s">
        <v>37</v>
      </c>
      <c r="E376" s="8" t="s">
        <v>19981</v>
      </c>
      <c r="F376" s="17">
        <v>42238</v>
      </c>
      <c r="G376" s="8" t="s">
        <v>20265</v>
      </c>
      <c r="H376" s="8" t="s">
        <v>683</v>
      </c>
      <c r="I376" s="8" t="s">
        <v>247</v>
      </c>
      <c r="J376" s="16" t="s">
        <v>20266</v>
      </c>
      <c r="K376" s="2" t="s">
        <v>683</v>
      </c>
      <c r="L376" s="8" t="s">
        <v>684</v>
      </c>
      <c r="M376" s="8" t="s">
        <v>27</v>
      </c>
      <c r="N376" s="8" t="s">
        <v>20091</v>
      </c>
      <c r="O376" s="8" t="s">
        <v>404</v>
      </c>
      <c r="P376" s="8" t="s">
        <v>405</v>
      </c>
      <c r="Q376" s="12" t="s">
        <v>20092</v>
      </c>
      <c r="R376" s="8" t="s">
        <v>29</v>
      </c>
      <c r="S376" s="8" t="s">
        <v>28</v>
      </c>
      <c r="T376" s="8"/>
      <c r="U376" s="8"/>
      <c r="Y376" s="8"/>
      <c r="Z376" s="8"/>
      <c r="AA376" s="8"/>
      <c r="AB376" s="8"/>
      <c r="AC376" s="8"/>
      <c r="AD376" s="8"/>
      <c r="AE376" s="8"/>
      <c r="AF376" s="8"/>
      <c r="AG376" s="8"/>
      <c r="AH376" s="8"/>
    </row>
    <row r="377" spans="1:46" ht="12" customHeight="1">
      <c r="A377" s="8" t="s">
        <v>689</v>
      </c>
      <c r="B377" s="16">
        <v>26</v>
      </c>
      <c r="C377" s="8" t="s">
        <v>20</v>
      </c>
      <c r="D377" s="8" t="s">
        <v>37</v>
      </c>
      <c r="E377" s="8" t="s">
        <v>19982</v>
      </c>
      <c r="F377" s="17">
        <v>42238</v>
      </c>
      <c r="G377" s="8" t="s">
        <v>20267</v>
      </c>
      <c r="H377" s="8" t="s">
        <v>690</v>
      </c>
      <c r="I377" s="8" t="s">
        <v>367</v>
      </c>
      <c r="J377" s="16" t="s">
        <v>20268</v>
      </c>
      <c r="K377" s="2" t="s">
        <v>691</v>
      </c>
      <c r="L377" s="8" t="s">
        <v>692</v>
      </c>
      <c r="M377" s="8" t="s">
        <v>27</v>
      </c>
      <c r="N377" s="8" t="s">
        <v>20093</v>
      </c>
      <c r="O377" s="8" t="s">
        <v>404</v>
      </c>
      <c r="P377" s="8" t="s">
        <v>405</v>
      </c>
      <c r="Q377" s="12" t="s">
        <v>20094</v>
      </c>
      <c r="R377" s="8" t="s">
        <v>972</v>
      </c>
      <c r="S377" s="8" t="s">
        <v>383</v>
      </c>
      <c r="T377" s="8"/>
      <c r="U377" s="8"/>
    </row>
    <row r="378" spans="1:46" ht="12" customHeight="1">
      <c r="A378" s="8" t="s">
        <v>667</v>
      </c>
      <c r="B378" s="16">
        <v>39</v>
      </c>
      <c r="C378" s="8" t="s">
        <v>20</v>
      </c>
      <c r="D378" s="8" t="s">
        <v>85</v>
      </c>
      <c r="E378" s="8" t="s">
        <v>19983</v>
      </c>
      <c r="F378" s="17">
        <v>42238</v>
      </c>
      <c r="G378" s="8" t="s">
        <v>668</v>
      </c>
      <c r="H378" s="8" t="s">
        <v>669</v>
      </c>
      <c r="I378" s="8" t="s">
        <v>427</v>
      </c>
      <c r="J378" s="16" t="s">
        <v>20269</v>
      </c>
      <c r="K378" s="2" t="s">
        <v>670</v>
      </c>
      <c r="L378" s="8" t="s">
        <v>671</v>
      </c>
      <c r="M378" s="8" t="s">
        <v>27</v>
      </c>
      <c r="N378" s="8" t="s">
        <v>20095</v>
      </c>
      <c r="O378" s="8" t="s">
        <v>1018</v>
      </c>
      <c r="P378" s="8" t="s">
        <v>405</v>
      </c>
      <c r="Q378" s="12" t="s">
        <v>20096</v>
      </c>
      <c r="R378" s="8" t="s">
        <v>29</v>
      </c>
      <c r="S378" s="8" t="s">
        <v>28</v>
      </c>
      <c r="T378" s="8"/>
      <c r="U378" s="8"/>
    </row>
    <row r="379" spans="1:46" ht="12" customHeight="1">
      <c r="A379" s="8" t="s">
        <v>696</v>
      </c>
      <c r="B379" s="16">
        <v>38</v>
      </c>
      <c r="C379" s="8" t="s">
        <v>20</v>
      </c>
      <c r="D379" s="8" t="s">
        <v>37</v>
      </c>
      <c r="E379" s="8" t="s">
        <v>19984</v>
      </c>
      <c r="F379" s="17">
        <v>42237</v>
      </c>
      <c r="G379" s="8" t="s">
        <v>20270</v>
      </c>
      <c r="H379" s="8" t="s">
        <v>697</v>
      </c>
      <c r="I379" s="8" t="s">
        <v>370</v>
      </c>
      <c r="J379" s="16" t="s">
        <v>20271</v>
      </c>
      <c r="K379" s="2" t="s">
        <v>698</v>
      </c>
      <c r="L379" s="8" t="s">
        <v>699</v>
      </c>
      <c r="M379" s="8" t="s">
        <v>27</v>
      </c>
      <c r="N379" s="8" t="s">
        <v>20097</v>
      </c>
      <c r="O379" s="8" t="s">
        <v>404</v>
      </c>
      <c r="P379" s="8" t="s">
        <v>405</v>
      </c>
      <c r="Q379" s="12" t="s">
        <v>20098</v>
      </c>
      <c r="R379" s="8" t="s">
        <v>100</v>
      </c>
      <c r="S379" s="8" t="s">
        <v>28</v>
      </c>
      <c r="T379" s="8"/>
      <c r="U379" s="8"/>
    </row>
    <row r="380" spans="1:46" ht="12" customHeight="1">
      <c r="A380" s="8" t="s">
        <v>700</v>
      </c>
      <c r="B380" s="16">
        <v>30</v>
      </c>
      <c r="C380" s="8" t="s">
        <v>20</v>
      </c>
      <c r="D380" s="8" t="s">
        <v>37</v>
      </c>
      <c r="F380" s="17">
        <v>42237</v>
      </c>
      <c r="G380" s="8" t="s">
        <v>20272</v>
      </c>
      <c r="H380" s="8" t="s">
        <v>701</v>
      </c>
      <c r="I380" s="8" t="s">
        <v>52</v>
      </c>
      <c r="J380" s="16" t="s">
        <v>20273</v>
      </c>
      <c r="K380" s="2" t="s">
        <v>702</v>
      </c>
      <c r="L380" s="8" t="s">
        <v>703</v>
      </c>
      <c r="M380" s="8" t="s">
        <v>27</v>
      </c>
      <c r="N380" s="8" t="s">
        <v>20099</v>
      </c>
      <c r="O380" s="8" t="s">
        <v>404</v>
      </c>
      <c r="P380" s="8" t="s">
        <v>405</v>
      </c>
      <c r="Q380" s="12" t="s">
        <v>20100</v>
      </c>
      <c r="R380" s="8" t="s">
        <v>100</v>
      </c>
      <c r="S380" s="8" t="s">
        <v>18</v>
      </c>
      <c r="T380" s="8"/>
      <c r="U380" s="8"/>
    </row>
    <row r="381" spans="1:46" ht="12" customHeight="1">
      <c r="A381" s="8" t="s">
        <v>704</v>
      </c>
      <c r="B381" s="16">
        <v>57</v>
      </c>
      <c r="C381" s="8" t="s">
        <v>20</v>
      </c>
      <c r="D381" s="8" t="s">
        <v>37</v>
      </c>
      <c r="F381" s="17">
        <v>42237</v>
      </c>
      <c r="G381" s="8" t="s">
        <v>20274</v>
      </c>
      <c r="H381" s="8" t="s">
        <v>705</v>
      </c>
      <c r="I381" s="8" t="s">
        <v>306</v>
      </c>
      <c r="J381" s="16" t="s">
        <v>20275</v>
      </c>
      <c r="K381" s="2" t="s">
        <v>706</v>
      </c>
      <c r="L381" s="8" t="s">
        <v>707</v>
      </c>
      <c r="M381" s="8" t="s">
        <v>27</v>
      </c>
      <c r="N381" s="8" t="s">
        <v>20101</v>
      </c>
      <c r="O381" s="8" t="s">
        <v>404</v>
      </c>
      <c r="P381" s="8" t="s">
        <v>405</v>
      </c>
      <c r="Q381" s="12" t="s">
        <v>20102</v>
      </c>
      <c r="R381" s="8" t="s">
        <v>100</v>
      </c>
      <c r="S381" s="8" t="s">
        <v>35</v>
      </c>
      <c r="T381" s="8"/>
      <c r="U381" s="8"/>
    </row>
    <row r="382" spans="1:46" ht="12" customHeight="1">
      <c r="A382" s="8" t="s">
        <v>19347</v>
      </c>
      <c r="B382" s="16" t="s">
        <v>29</v>
      </c>
      <c r="C382" s="8" t="s">
        <v>20</v>
      </c>
      <c r="D382" s="8" t="s">
        <v>30</v>
      </c>
      <c r="F382" s="17">
        <v>42237</v>
      </c>
      <c r="G382" s="8" t="s">
        <v>693</v>
      </c>
      <c r="H382" s="8" t="s">
        <v>694</v>
      </c>
      <c r="I382" s="8" t="s">
        <v>124</v>
      </c>
      <c r="J382" s="16">
        <v>85258</v>
      </c>
      <c r="K382" s="8" t="s">
        <v>639</v>
      </c>
      <c r="L382" s="8" t="s">
        <v>695</v>
      </c>
      <c r="M382" s="8" t="s">
        <v>395</v>
      </c>
      <c r="P382" s="8" t="s">
        <v>405</v>
      </c>
      <c r="Q382" s="8" t="s">
        <v>20867</v>
      </c>
      <c r="S382" s="8" t="s">
        <v>18</v>
      </c>
      <c r="T382" s="8"/>
      <c r="U382" s="8"/>
    </row>
    <row r="383" spans="1:46" ht="12" customHeight="1">
      <c r="A383" s="8" t="s">
        <v>712</v>
      </c>
      <c r="B383" s="16">
        <v>50</v>
      </c>
      <c r="C383" s="8" t="s">
        <v>20</v>
      </c>
      <c r="D383" s="8" t="s">
        <v>37</v>
      </c>
      <c r="F383" s="17">
        <v>42236</v>
      </c>
      <c r="G383" s="8" t="s">
        <v>20276</v>
      </c>
      <c r="H383" s="8" t="s">
        <v>713</v>
      </c>
      <c r="I383" s="8" t="s">
        <v>94</v>
      </c>
      <c r="J383" s="16" t="s">
        <v>20277</v>
      </c>
      <c r="K383" s="2" t="s">
        <v>713</v>
      </c>
      <c r="L383" s="8" t="s">
        <v>714</v>
      </c>
      <c r="M383" s="8" t="s">
        <v>27</v>
      </c>
      <c r="N383" s="8" t="s">
        <v>20103</v>
      </c>
      <c r="O383" s="8" t="s">
        <v>404</v>
      </c>
      <c r="P383" s="8" t="s">
        <v>405</v>
      </c>
      <c r="Q383" s="12" t="s">
        <v>20104</v>
      </c>
      <c r="R383" s="8" t="s">
        <v>100</v>
      </c>
      <c r="S383" s="8" t="s">
        <v>18</v>
      </c>
      <c r="T383" s="8"/>
      <c r="U383" s="8"/>
    </row>
    <row r="384" spans="1:46" ht="12" customHeight="1">
      <c r="A384" s="8" t="s">
        <v>708</v>
      </c>
      <c r="B384" s="16">
        <v>17</v>
      </c>
      <c r="C384" s="8" t="s">
        <v>20</v>
      </c>
      <c r="D384" s="8" t="s">
        <v>48</v>
      </c>
      <c r="E384" s="8" t="s">
        <v>19985</v>
      </c>
      <c r="F384" s="17">
        <v>42236</v>
      </c>
      <c r="G384" s="8" t="s">
        <v>20278</v>
      </c>
      <c r="H384" s="8" t="s">
        <v>489</v>
      </c>
      <c r="I384" s="8" t="s">
        <v>45</v>
      </c>
      <c r="J384" s="16" t="s">
        <v>20279</v>
      </c>
      <c r="K384" s="2" t="s">
        <v>313</v>
      </c>
      <c r="L384" s="8" t="s">
        <v>490</v>
      </c>
      <c r="M384" s="8" t="s">
        <v>27</v>
      </c>
      <c r="N384" s="8" t="s">
        <v>20105</v>
      </c>
      <c r="O384" s="8" t="s">
        <v>404</v>
      </c>
      <c r="P384" s="8" t="s">
        <v>405</v>
      </c>
      <c r="Q384" s="12" t="s">
        <v>20106</v>
      </c>
      <c r="R384" s="8" t="s">
        <v>100</v>
      </c>
      <c r="S384" s="8" t="s">
        <v>28</v>
      </c>
      <c r="T384" s="6"/>
      <c r="U384" s="8"/>
      <c r="Y384" s="8"/>
      <c r="Z384" s="8"/>
      <c r="AA384" s="8"/>
      <c r="AB384" s="8"/>
      <c r="AC384" s="8"/>
      <c r="AD384" s="8"/>
      <c r="AE384" s="8"/>
      <c r="AF384" s="8"/>
      <c r="AG384" s="8"/>
      <c r="AH384" s="8"/>
    </row>
    <row r="385" spans="1:34" ht="12" customHeight="1">
      <c r="A385" s="8" t="s">
        <v>709</v>
      </c>
      <c r="B385" s="16">
        <v>19</v>
      </c>
      <c r="C385" s="8" t="s">
        <v>20</v>
      </c>
      <c r="D385" s="8" t="s">
        <v>30</v>
      </c>
      <c r="F385" s="17">
        <v>42236</v>
      </c>
      <c r="G385" s="8" t="s">
        <v>710</v>
      </c>
      <c r="H385" s="8" t="s">
        <v>711</v>
      </c>
      <c r="I385" s="8" t="s">
        <v>69</v>
      </c>
      <c r="J385" s="16" t="s">
        <v>20280</v>
      </c>
      <c r="K385" s="2" t="s">
        <v>119</v>
      </c>
      <c r="L385" s="8" t="s">
        <v>120</v>
      </c>
      <c r="M385" s="8" t="s">
        <v>27</v>
      </c>
      <c r="N385" s="8" t="s">
        <v>20107</v>
      </c>
      <c r="O385" s="8" t="s">
        <v>20044</v>
      </c>
      <c r="P385" s="8" t="s">
        <v>405</v>
      </c>
      <c r="Q385" s="12" t="s">
        <v>20108</v>
      </c>
      <c r="R385" s="8" t="s">
        <v>29</v>
      </c>
      <c r="S385" s="8" t="s">
        <v>28</v>
      </c>
      <c r="T385" s="8"/>
      <c r="U385" s="8"/>
    </row>
    <row r="386" spans="1:34" ht="12" customHeight="1">
      <c r="A386" s="8" t="s">
        <v>719</v>
      </c>
      <c r="B386" s="16">
        <v>24</v>
      </c>
      <c r="C386" s="8" t="s">
        <v>20</v>
      </c>
      <c r="D386" s="8" t="s">
        <v>85</v>
      </c>
      <c r="E386" s="8" t="s">
        <v>19986</v>
      </c>
      <c r="F386" s="17">
        <v>42235</v>
      </c>
      <c r="G386" s="8" t="s">
        <v>20281</v>
      </c>
      <c r="H386" s="8" t="s">
        <v>20282</v>
      </c>
      <c r="I386" s="8" t="s">
        <v>57</v>
      </c>
      <c r="J386" s="16" t="s">
        <v>20283</v>
      </c>
      <c r="K386" s="2" t="s">
        <v>607</v>
      </c>
      <c r="L386" s="8" t="s">
        <v>20284</v>
      </c>
      <c r="M386" s="8" t="s">
        <v>27</v>
      </c>
      <c r="N386" s="8" t="s">
        <v>20109</v>
      </c>
      <c r="O386" s="8" t="s">
        <v>404</v>
      </c>
      <c r="P386" s="8" t="s">
        <v>405</v>
      </c>
      <c r="Q386" s="12" t="s">
        <v>20110</v>
      </c>
      <c r="R386" s="8" t="s">
        <v>100</v>
      </c>
      <c r="S386" s="8" t="s">
        <v>28</v>
      </c>
      <c r="T386" s="8"/>
      <c r="U386" s="8"/>
    </row>
    <row r="387" spans="1:34" ht="12" customHeight="1">
      <c r="A387" s="8" t="s">
        <v>720</v>
      </c>
      <c r="B387" s="16">
        <v>29</v>
      </c>
      <c r="C387" s="8" t="s">
        <v>20</v>
      </c>
      <c r="D387" s="8" t="s">
        <v>30</v>
      </c>
      <c r="F387" s="17">
        <v>42235</v>
      </c>
      <c r="G387" s="8" t="s">
        <v>20285</v>
      </c>
      <c r="H387" s="8" t="s">
        <v>721</v>
      </c>
      <c r="I387" s="8" t="s">
        <v>306</v>
      </c>
      <c r="J387" s="16" t="s">
        <v>20286</v>
      </c>
      <c r="K387" s="2" t="s">
        <v>722</v>
      </c>
      <c r="L387" s="8" t="s">
        <v>723</v>
      </c>
      <c r="M387" s="8" t="s">
        <v>27</v>
      </c>
      <c r="N387" s="8" t="s">
        <v>20111</v>
      </c>
      <c r="O387" s="8" t="s">
        <v>404</v>
      </c>
      <c r="P387" s="8" t="s">
        <v>405</v>
      </c>
      <c r="Q387" s="12" t="s">
        <v>20112</v>
      </c>
      <c r="R387" s="8" t="s">
        <v>596</v>
      </c>
      <c r="S387" s="8" t="s">
        <v>28</v>
      </c>
      <c r="T387" s="8"/>
      <c r="U387" s="8"/>
    </row>
    <row r="388" spans="1:34" ht="12" customHeight="1">
      <c r="A388" s="8" t="s">
        <v>715</v>
      </c>
      <c r="B388" s="16">
        <v>18</v>
      </c>
      <c r="C388" s="8" t="s">
        <v>20</v>
      </c>
      <c r="D388" s="8" t="s">
        <v>85</v>
      </c>
      <c r="E388" s="8" t="s">
        <v>19987</v>
      </c>
      <c r="F388" s="17">
        <v>42235</v>
      </c>
      <c r="G388" s="8" t="s">
        <v>716</v>
      </c>
      <c r="H388" s="8" t="s">
        <v>20287</v>
      </c>
      <c r="I388" s="8" t="s">
        <v>435</v>
      </c>
      <c r="J388" s="16" t="s">
        <v>4802</v>
      </c>
      <c r="K388" s="2" t="s">
        <v>717</v>
      </c>
      <c r="L388" s="8" t="s">
        <v>4572</v>
      </c>
      <c r="M388" s="8" t="s">
        <v>27</v>
      </c>
      <c r="N388" s="8" t="s">
        <v>718</v>
      </c>
      <c r="O388" s="8" t="s">
        <v>404</v>
      </c>
      <c r="P388" s="8" t="s">
        <v>405</v>
      </c>
      <c r="Q388" s="12" t="s">
        <v>20113</v>
      </c>
      <c r="R388" s="8" t="s">
        <v>29</v>
      </c>
      <c r="S388" s="8" t="s">
        <v>35</v>
      </c>
      <c r="T388" s="8"/>
      <c r="U388" s="8"/>
    </row>
    <row r="389" spans="1:34" ht="12" customHeight="1">
      <c r="A389" s="8" t="s">
        <v>724</v>
      </c>
      <c r="B389" s="16">
        <v>44</v>
      </c>
      <c r="C389" s="8" t="s">
        <v>20</v>
      </c>
      <c r="D389" s="8" t="s">
        <v>37</v>
      </c>
      <c r="E389" s="8" t="s">
        <v>19988</v>
      </c>
      <c r="F389" s="17">
        <v>42235</v>
      </c>
      <c r="G389" s="8" t="s">
        <v>725</v>
      </c>
      <c r="H389" s="8" t="s">
        <v>726</v>
      </c>
      <c r="I389" s="8" t="s">
        <v>370</v>
      </c>
      <c r="J389" s="16" t="s">
        <v>20288</v>
      </c>
      <c r="K389" s="2" t="s">
        <v>727</v>
      </c>
      <c r="L389" s="8" t="s">
        <v>728</v>
      </c>
      <c r="M389" s="8" t="s">
        <v>27</v>
      </c>
      <c r="N389" s="8" t="s">
        <v>20114</v>
      </c>
      <c r="O389" s="8" t="s">
        <v>404</v>
      </c>
      <c r="P389" s="8" t="s">
        <v>405</v>
      </c>
      <c r="Q389" s="12" t="s">
        <v>20115</v>
      </c>
      <c r="R389" s="8" t="s">
        <v>29</v>
      </c>
      <c r="S389" s="8" t="s">
        <v>28</v>
      </c>
      <c r="T389" s="8"/>
      <c r="U389" s="8"/>
    </row>
    <row r="390" spans="1:34" ht="12" customHeight="1">
      <c r="A390" s="8" t="s">
        <v>729</v>
      </c>
      <c r="B390" s="16">
        <v>35</v>
      </c>
      <c r="C390" s="8" t="s">
        <v>20</v>
      </c>
      <c r="D390" s="8" t="s">
        <v>85</v>
      </c>
      <c r="E390" s="8" t="s">
        <v>19989</v>
      </c>
      <c r="F390" s="17">
        <v>42233</v>
      </c>
      <c r="G390" s="8" t="s">
        <v>730</v>
      </c>
      <c r="H390" s="8" t="s">
        <v>731</v>
      </c>
      <c r="I390" s="8" t="s">
        <v>73</v>
      </c>
      <c r="J390" s="16" t="s">
        <v>20289</v>
      </c>
      <c r="K390" s="2" t="s">
        <v>562</v>
      </c>
      <c r="L390" s="8" t="s">
        <v>732</v>
      </c>
      <c r="M390" s="8" t="s">
        <v>27</v>
      </c>
      <c r="N390" s="8" t="s">
        <v>20116</v>
      </c>
      <c r="O390" s="8" t="s">
        <v>404</v>
      </c>
      <c r="P390" s="8" t="s">
        <v>405</v>
      </c>
      <c r="Q390" s="12" t="s">
        <v>733</v>
      </c>
      <c r="R390" s="8" t="s">
        <v>972</v>
      </c>
      <c r="S390" s="8" t="s">
        <v>28</v>
      </c>
      <c r="T390" s="8"/>
      <c r="U390" s="8"/>
    </row>
    <row r="391" spans="1:34" ht="12" customHeight="1">
      <c r="A391" s="8" t="s">
        <v>734</v>
      </c>
      <c r="B391" s="16">
        <v>40</v>
      </c>
      <c r="C391" s="8" t="s">
        <v>20</v>
      </c>
      <c r="D391" s="8" t="s">
        <v>48</v>
      </c>
      <c r="E391" s="8" t="s">
        <v>19990</v>
      </c>
      <c r="F391" s="17">
        <v>42233</v>
      </c>
      <c r="G391" s="8" t="s">
        <v>20290</v>
      </c>
      <c r="H391" s="8" t="s">
        <v>612</v>
      </c>
      <c r="I391" s="8" t="s">
        <v>45</v>
      </c>
      <c r="J391" s="16" t="s">
        <v>3370</v>
      </c>
      <c r="K391" s="2" t="s">
        <v>613</v>
      </c>
      <c r="L391" s="8" t="s">
        <v>735</v>
      </c>
      <c r="M391" s="8" t="s">
        <v>27</v>
      </c>
      <c r="N391" s="8" t="s">
        <v>20117</v>
      </c>
      <c r="O391" s="8" t="s">
        <v>404</v>
      </c>
      <c r="P391" s="8" t="s">
        <v>405</v>
      </c>
      <c r="Q391" s="12" t="s">
        <v>20118</v>
      </c>
      <c r="R391" s="8" t="s">
        <v>100</v>
      </c>
      <c r="S391" s="8" t="s">
        <v>18</v>
      </c>
      <c r="T391" s="6"/>
      <c r="U391" s="8"/>
    </row>
    <row r="392" spans="1:34" ht="12" customHeight="1">
      <c r="A392" s="8" t="s">
        <v>737</v>
      </c>
      <c r="B392" s="16">
        <v>23</v>
      </c>
      <c r="C392" s="8" t="s">
        <v>20</v>
      </c>
      <c r="D392" s="8" t="s">
        <v>48</v>
      </c>
      <c r="F392" s="17">
        <v>42232</v>
      </c>
      <c r="G392" s="8" t="s">
        <v>738</v>
      </c>
      <c r="H392" s="8" t="s">
        <v>739</v>
      </c>
      <c r="I392" s="8" t="s">
        <v>45</v>
      </c>
      <c r="J392" s="16">
        <v>96130</v>
      </c>
      <c r="K392" s="8" t="s">
        <v>740</v>
      </c>
      <c r="L392" s="8" t="s">
        <v>741</v>
      </c>
      <c r="M392" s="8" t="s">
        <v>27</v>
      </c>
      <c r="P392" s="8" t="s">
        <v>405</v>
      </c>
      <c r="Q392" s="8" t="s">
        <v>20866</v>
      </c>
      <c r="S392" s="8" t="s">
        <v>35</v>
      </c>
      <c r="T392" s="8"/>
      <c r="U392" s="8"/>
      <c r="Y392" s="8"/>
      <c r="Z392" s="8"/>
      <c r="AA392" s="8"/>
      <c r="AB392" s="8"/>
      <c r="AC392" s="8"/>
      <c r="AD392" s="8"/>
      <c r="AE392" s="8"/>
      <c r="AF392" s="8"/>
      <c r="AG392" s="8"/>
      <c r="AH392" s="8"/>
    </row>
    <row r="393" spans="1:34" ht="12" customHeight="1">
      <c r="A393" s="8" t="s">
        <v>736</v>
      </c>
      <c r="B393" s="16">
        <v>29</v>
      </c>
      <c r="C393" s="8" t="s">
        <v>20</v>
      </c>
      <c r="D393" s="8" t="s">
        <v>48</v>
      </c>
      <c r="E393" s="8" t="s">
        <v>19991</v>
      </c>
      <c r="F393" s="17">
        <v>42232</v>
      </c>
      <c r="G393" s="8" t="s">
        <v>20291</v>
      </c>
      <c r="H393" s="8" t="s">
        <v>612</v>
      </c>
      <c r="I393" s="8" t="s">
        <v>45</v>
      </c>
      <c r="J393" s="16" t="s">
        <v>3370</v>
      </c>
      <c r="K393" s="2" t="s">
        <v>613</v>
      </c>
      <c r="L393" s="8" t="s">
        <v>735</v>
      </c>
      <c r="M393" s="8" t="s">
        <v>27</v>
      </c>
      <c r="N393" s="8" t="s">
        <v>20119</v>
      </c>
      <c r="O393" s="8" t="s">
        <v>404</v>
      </c>
      <c r="P393" s="8" t="s">
        <v>405</v>
      </c>
      <c r="Q393" s="12" t="s">
        <v>20120</v>
      </c>
      <c r="R393" s="8" t="s">
        <v>29</v>
      </c>
      <c r="S393" s="8" t="s">
        <v>28</v>
      </c>
      <c r="T393" s="8"/>
      <c r="U393" s="8"/>
    </row>
    <row r="394" spans="1:34" ht="12" customHeight="1">
      <c r="A394" s="8" t="s">
        <v>742</v>
      </c>
      <c r="B394" s="16">
        <v>47</v>
      </c>
      <c r="C394" s="8" t="s">
        <v>20</v>
      </c>
      <c r="D394" s="8" t="s">
        <v>37</v>
      </c>
      <c r="E394" s="8" t="s">
        <v>19992</v>
      </c>
      <c r="F394" s="17">
        <v>42232</v>
      </c>
      <c r="G394" s="8" t="s">
        <v>743</v>
      </c>
      <c r="H394" s="8" t="s">
        <v>744</v>
      </c>
      <c r="I394" s="8" t="s">
        <v>73</v>
      </c>
      <c r="J394" s="16" t="s">
        <v>20292</v>
      </c>
      <c r="K394" s="2" t="s">
        <v>745</v>
      </c>
      <c r="L394" s="8" t="s">
        <v>746</v>
      </c>
      <c r="M394" s="8" t="s">
        <v>27</v>
      </c>
      <c r="N394" s="8" t="s">
        <v>20121</v>
      </c>
      <c r="O394" s="8" t="s">
        <v>404</v>
      </c>
      <c r="P394" s="8" t="s">
        <v>405</v>
      </c>
      <c r="Q394" s="12" t="s">
        <v>20122</v>
      </c>
      <c r="R394" s="8" t="s">
        <v>29</v>
      </c>
      <c r="S394" s="8" t="s">
        <v>28</v>
      </c>
      <c r="T394" s="8"/>
      <c r="U394" s="8"/>
    </row>
    <row r="395" spans="1:34" ht="12" customHeight="1">
      <c r="A395" s="8" t="s">
        <v>752</v>
      </c>
      <c r="B395" s="16">
        <v>34</v>
      </c>
      <c r="C395" s="8" t="s">
        <v>20</v>
      </c>
      <c r="D395" s="8" t="s">
        <v>37</v>
      </c>
      <c r="E395" s="8" t="s">
        <v>19994</v>
      </c>
      <c r="F395" s="17">
        <v>42231</v>
      </c>
      <c r="G395" s="8" t="s">
        <v>753</v>
      </c>
      <c r="H395" s="8" t="s">
        <v>754</v>
      </c>
      <c r="I395" s="8" t="s">
        <v>45</v>
      </c>
      <c r="J395" s="16" t="s">
        <v>20294</v>
      </c>
      <c r="K395" s="2" t="s">
        <v>687</v>
      </c>
      <c r="L395" s="8" t="s">
        <v>755</v>
      </c>
      <c r="M395" s="8" t="s">
        <v>27</v>
      </c>
      <c r="N395" s="8" t="s">
        <v>20125</v>
      </c>
      <c r="O395" s="8" t="s">
        <v>404</v>
      </c>
      <c r="P395" s="8" t="s">
        <v>405</v>
      </c>
      <c r="Q395" s="12" t="s">
        <v>20126</v>
      </c>
      <c r="R395" s="8" t="s">
        <v>29</v>
      </c>
      <c r="S395" s="8" t="s">
        <v>28</v>
      </c>
      <c r="T395" s="8"/>
      <c r="U395" s="8"/>
    </row>
    <row r="396" spans="1:34" ht="12" customHeight="1">
      <c r="A396" s="8" t="s">
        <v>749</v>
      </c>
      <c r="B396" s="16">
        <v>43</v>
      </c>
      <c r="C396" s="8" t="s">
        <v>20</v>
      </c>
      <c r="D396" s="8" t="s">
        <v>30</v>
      </c>
      <c r="F396" s="17">
        <v>42231</v>
      </c>
      <c r="G396" s="8" t="s">
        <v>20295</v>
      </c>
      <c r="H396" s="8" t="s">
        <v>750</v>
      </c>
      <c r="I396" s="8" t="s">
        <v>220</v>
      </c>
      <c r="J396" s="16" t="s">
        <v>20296</v>
      </c>
      <c r="K396" s="2" t="s">
        <v>1795</v>
      </c>
      <c r="L396" s="8" t="s">
        <v>751</v>
      </c>
      <c r="M396" s="8" t="s">
        <v>27</v>
      </c>
      <c r="N396" s="8" t="s">
        <v>20127</v>
      </c>
      <c r="O396" s="8" t="s">
        <v>404</v>
      </c>
      <c r="P396" s="8" t="s">
        <v>405</v>
      </c>
      <c r="Q396" s="12" t="s">
        <v>20128</v>
      </c>
      <c r="R396" s="8" t="s">
        <v>29</v>
      </c>
      <c r="S396" s="8" t="s">
        <v>18</v>
      </c>
      <c r="T396" s="6"/>
      <c r="U396" s="8"/>
    </row>
    <row r="397" spans="1:34" ht="12" customHeight="1">
      <c r="A397" s="8" t="s">
        <v>756</v>
      </c>
      <c r="B397" s="16">
        <v>30</v>
      </c>
      <c r="C397" s="8" t="s">
        <v>20</v>
      </c>
      <c r="D397" s="8" t="s">
        <v>37</v>
      </c>
      <c r="F397" s="17">
        <v>42231</v>
      </c>
      <c r="G397" s="8" t="s">
        <v>757</v>
      </c>
      <c r="H397" s="8" t="s">
        <v>758</v>
      </c>
      <c r="I397" s="8" t="s">
        <v>272</v>
      </c>
      <c r="J397" s="16" t="s">
        <v>20297</v>
      </c>
      <c r="K397" s="2" t="s">
        <v>758</v>
      </c>
      <c r="L397" s="8" t="s">
        <v>759</v>
      </c>
      <c r="M397" s="8" t="s">
        <v>27</v>
      </c>
      <c r="N397" s="8" t="s">
        <v>20129</v>
      </c>
      <c r="O397" s="8" t="s">
        <v>404</v>
      </c>
      <c r="P397" s="8" t="s">
        <v>405</v>
      </c>
      <c r="Q397" s="12" t="s">
        <v>20130</v>
      </c>
      <c r="R397" s="8" t="s">
        <v>29</v>
      </c>
      <c r="S397" s="8" t="s">
        <v>28</v>
      </c>
      <c r="T397" s="8"/>
      <c r="U397" s="8"/>
    </row>
    <row r="398" spans="1:34" ht="12" customHeight="1">
      <c r="A398" s="8" t="s">
        <v>747</v>
      </c>
      <c r="B398" s="16">
        <v>44</v>
      </c>
      <c r="C398" s="8" t="s">
        <v>20</v>
      </c>
      <c r="D398" s="8" t="s">
        <v>48</v>
      </c>
      <c r="E398" s="8" t="s">
        <v>19995</v>
      </c>
      <c r="F398" s="17">
        <v>42231</v>
      </c>
      <c r="G398" s="8" t="s">
        <v>20298</v>
      </c>
      <c r="H398" s="8" t="s">
        <v>748</v>
      </c>
      <c r="I398" s="8" t="s">
        <v>45</v>
      </c>
      <c r="J398" s="16" t="s">
        <v>20299</v>
      </c>
      <c r="K398" s="2" t="s">
        <v>98</v>
      </c>
      <c r="L398" s="8" t="s">
        <v>20300</v>
      </c>
      <c r="M398" s="8" t="s">
        <v>1706</v>
      </c>
      <c r="N398" s="8" t="s">
        <v>20131</v>
      </c>
      <c r="O398" s="8" t="s">
        <v>404</v>
      </c>
      <c r="P398" s="8" t="s">
        <v>405</v>
      </c>
      <c r="Q398" s="12" t="s">
        <v>20132</v>
      </c>
      <c r="R398" s="8" t="s">
        <v>29</v>
      </c>
      <c r="S398" s="8" t="s">
        <v>18</v>
      </c>
      <c r="T398" s="8"/>
      <c r="U398" s="8"/>
    </row>
    <row r="399" spans="1:34" ht="12" customHeight="1">
      <c r="A399" s="8" t="s">
        <v>765</v>
      </c>
      <c r="B399" s="16">
        <v>30</v>
      </c>
      <c r="C399" s="8" t="s">
        <v>20</v>
      </c>
      <c r="D399" s="8" t="s">
        <v>85</v>
      </c>
      <c r="F399" s="17">
        <v>42230</v>
      </c>
      <c r="G399" s="8" t="s">
        <v>20301</v>
      </c>
      <c r="H399" s="8" t="s">
        <v>20302</v>
      </c>
      <c r="I399" s="8" t="s">
        <v>52</v>
      </c>
      <c r="J399" s="16" t="s">
        <v>20303</v>
      </c>
      <c r="K399" s="2" t="s">
        <v>2403</v>
      </c>
      <c r="L399" s="8" t="s">
        <v>20304</v>
      </c>
      <c r="M399" s="8" t="s">
        <v>27</v>
      </c>
      <c r="N399" s="8" t="s">
        <v>20133</v>
      </c>
      <c r="O399" s="8" t="s">
        <v>404</v>
      </c>
      <c r="P399" s="8" t="s">
        <v>405</v>
      </c>
      <c r="Q399" s="12" t="s">
        <v>20134</v>
      </c>
      <c r="R399" s="8" t="s">
        <v>100</v>
      </c>
      <c r="S399" s="8" t="s">
        <v>18</v>
      </c>
      <c r="T399" s="8"/>
      <c r="U399" s="8"/>
    </row>
    <row r="400" spans="1:34" ht="12" customHeight="1">
      <c r="A400" s="8" t="s">
        <v>773</v>
      </c>
      <c r="B400" s="16">
        <v>53</v>
      </c>
      <c r="C400" s="8" t="s">
        <v>20</v>
      </c>
      <c r="D400" s="8" t="s">
        <v>37</v>
      </c>
      <c r="E400" s="8" t="s">
        <v>19996</v>
      </c>
      <c r="F400" s="17">
        <v>42230</v>
      </c>
      <c r="G400" s="8" t="s">
        <v>774</v>
      </c>
      <c r="H400" s="8" t="s">
        <v>775</v>
      </c>
      <c r="I400" s="8" t="s">
        <v>41</v>
      </c>
      <c r="J400" s="16" t="s">
        <v>20305</v>
      </c>
      <c r="K400" s="2" t="s">
        <v>776</v>
      </c>
      <c r="L400" s="8" t="s">
        <v>777</v>
      </c>
      <c r="M400" s="8" t="s">
        <v>27</v>
      </c>
      <c r="N400" s="8" t="s">
        <v>20135</v>
      </c>
      <c r="O400" s="8" t="s">
        <v>404</v>
      </c>
      <c r="P400" s="8" t="s">
        <v>405</v>
      </c>
      <c r="Q400" s="12" t="s">
        <v>20136</v>
      </c>
      <c r="R400" s="8" t="s">
        <v>29</v>
      </c>
      <c r="S400" s="8" t="s">
        <v>28</v>
      </c>
      <c r="T400" s="8"/>
      <c r="U400" s="8"/>
    </row>
    <row r="401" spans="1:34" ht="12" customHeight="1">
      <c r="A401" s="8" t="s">
        <v>760</v>
      </c>
      <c r="B401" s="16">
        <v>38</v>
      </c>
      <c r="C401" s="8" t="s">
        <v>20</v>
      </c>
      <c r="D401" s="8" t="s">
        <v>85</v>
      </c>
      <c r="E401" s="8" t="s">
        <v>19997</v>
      </c>
      <c r="F401" s="17">
        <v>42230</v>
      </c>
      <c r="G401" s="8" t="s">
        <v>761</v>
      </c>
      <c r="H401" s="8" t="s">
        <v>762</v>
      </c>
      <c r="I401" s="8" t="s">
        <v>427</v>
      </c>
      <c r="J401" s="16" t="s">
        <v>14110</v>
      </c>
      <c r="K401" s="2" t="s">
        <v>882</v>
      </c>
      <c r="L401" s="8" t="s">
        <v>586</v>
      </c>
      <c r="M401" s="8" t="s">
        <v>27</v>
      </c>
      <c r="N401" s="8" t="s">
        <v>763</v>
      </c>
      <c r="O401" s="8" t="s">
        <v>404</v>
      </c>
      <c r="P401" s="8" t="s">
        <v>405</v>
      </c>
      <c r="Q401" s="12" t="s">
        <v>764</v>
      </c>
      <c r="R401" s="8" t="s">
        <v>29</v>
      </c>
      <c r="S401" s="8" t="s">
        <v>28</v>
      </c>
      <c r="T401" s="8"/>
      <c r="U401" s="8"/>
    </row>
    <row r="402" spans="1:34" ht="12" customHeight="1">
      <c r="A402" s="8" t="s">
        <v>768</v>
      </c>
      <c r="B402" s="16">
        <v>26</v>
      </c>
      <c r="C402" s="8" t="s">
        <v>20</v>
      </c>
      <c r="D402" s="8" t="s">
        <v>48</v>
      </c>
      <c r="F402" s="17">
        <v>42230</v>
      </c>
      <c r="G402" s="8" t="s">
        <v>769</v>
      </c>
      <c r="H402" s="8" t="s">
        <v>770</v>
      </c>
      <c r="I402" s="8" t="s">
        <v>73</v>
      </c>
      <c r="J402" s="16" t="s">
        <v>20306</v>
      </c>
      <c r="K402" s="2" t="s">
        <v>771</v>
      </c>
      <c r="L402" s="8" t="s">
        <v>772</v>
      </c>
      <c r="M402" s="8" t="s">
        <v>27</v>
      </c>
      <c r="N402" s="8" t="s">
        <v>20137</v>
      </c>
      <c r="O402" s="8" t="s">
        <v>404</v>
      </c>
      <c r="P402" s="8" t="s">
        <v>405</v>
      </c>
      <c r="Q402" s="12" t="s">
        <v>20138</v>
      </c>
      <c r="R402" s="8" t="s">
        <v>29</v>
      </c>
      <c r="S402" s="8" t="s">
        <v>28</v>
      </c>
      <c r="T402" s="6"/>
      <c r="U402" s="8"/>
    </row>
    <row r="403" spans="1:34" ht="12" customHeight="1">
      <c r="A403" s="8" t="s">
        <v>778</v>
      </c>
      <c r="B403" s="16">
        <v>23</v>
      </c>
      <c r="C403" s="8" t="s">
        <v>20</v>
      </c>
      <c r="D403" s="8" t="s">
        <v>85</v>
      </c>
      <c r="E403" s="8" t="s">
        <v>19993</v>
      </c>
      <c r="F403" s="17">
        <v>42229</v>
      </c>
      <c r="G403" s="8" t="s">
        <v>20293</v>
      </c>
      <c r="H403" s="8" t="s">
        <v>779</v>
      </c>
      <c r="I403" s="8" t="s">
        <v>45</v>
      </c>
      <c r="J403" s="16" t="s">
        <v>9488</v>
      </c>
      <c r="K403" s="2" t="s">
        <v>613</v>
      </c>
      <c r="L403" s="8" t="s">
        <v>780</v>
      </c>
      <c r="M403" s="8" t="s">
        <v>27</v>
      </c>
      <c r="N403" s="8" t="s">
        <v>20123</v>
      </c>
      <c r="O403" s="8" t="s">
        <v>404</v>
      </c>
      <c r="P403" s="8" t="s">
        <v>405</v>
      </c>
      <c r="Q403" s="12" t="s">
        <v>20124</v>
      </c>
      <c r="R403" s="8" t="s">
        <v>29</v>
      </c>
      <c r="S403" s="8" t="s">
        <v>28</v>
      </c>
      <c r="T403" s="8"/>
      <c r="U403" s="8"/>
    </row>
    <row r="404" spans="1:34" ht="12" customHeight="1">
      <c r="A404" s="8" t="s">
        <v>789</v>
      </c>
      <c r="B404" s="16">
        <v>27</v>
      </c>
      <c r="C404" s="8" t="s">
        <v>20</v>
      </c>
      <c r="D404" s="8" t="s">
        <v>48</v>
      </c>
      <c r="F404" s="17">
        <v>42228</v>
      </c>
      <c r="G404" s="8" t="s">
        <v>20307</v>
      </c>
      <c r="H404" s="8" t="s">
        <v>790</v>
      </c>
      <c r="I404" s="8" t="s">
        <v>45</v>
      </c>
      <c r="J404" s="16" t="s">
        <v>20308</v>
      </c>
      <c r="K404" s="2" t="s">
        <v>791</v>
      </c>
      <c r="L404" s="8" t="s">
        <v>4508</v>
      </c>
      <c r="M404" s="8" t="s">
        <v>27</v>
      </c>
      <c r="N404" s="8" t="s">
        <v>20139</v>
      </c>
      <c r="O404" s="8" t="s">
        <v>1018</v>
      </c>
      <c r="P404" s="8" t="s">
        <v>405</v>
      </c>
      <c r="Q404" s="12" t="s">
        <v>20140</v>
      </c>
      <c r="R404" s="8" t="s">
        <v>29</v>
      </c>
      <c r="S404" s="8" t="s">
        <v>28</v>
      </c>
      <c r="T404" s="8"/>
      <c r="U404" s="8"/>
    </row>
    <row r="405" spans="1:34" ht="12" customHeight="1">
      <c r="A405" s="8" t="s">
        <v>781</v>
      </c>
      <c r="B405" s="16">
        <v>24</v>
      </c>
      <c r="C405" s="8" t="s">
        <v>20</v>
      </c>
      <c r="D405" s="8" t="s">
        <v>85</v>
      </c>
      <c r="E405" s="8" t="s">
        <v>19998</v>
      </c>
      <c r="F405" s="17">
        <v>42228</v>
      </c>
      <c r="G405" s="8" t="s">
        <v>20309</v>
      </c>
      <c r="H405" s="8" t="s">
        <v>607</v>
      </c>
      <c r="I405" s="8" t="s">
        <v>45</v>
      </c>
      <c r="J405" s="16" t="s">
        <v>20310</v>
      </c>
      <c r="K405" s="2" t="s">
        <v>608</v>
      </c>
      <c r="L405" s="8" t="s">
        <v>609</v>
      </c>
      <c r="M405" s="8" t="s">
        <v>27</v>
      </c>
      <c r="N405" s="8" t="s">
        <v>20141</v>
      </c>
      <c r="O405" s="8" t="s">
        <v>404</v>
      </c>
      <c r="P405" s="8" t="s">
        <v>405</v>
      </c>
      <c r="Q405" s="12" t="s">
        <v>20142</v>
      </c>
      <c r="R405" s="8" t="s">
        <v>100</v>
      </c>
      <c r="S405" s="8" t="s">
        <v>28</v>
      </c>
      <c r="T405" s="8"/>
      <c r="U405" s="8"/>
    </row>
    <row r="406" spans="1:34" ht="12" customHeight="1">
      <c r="A406" s="8" t="s">
        <v>786</v>
      </c>
      <c r="B406" s="16">
        <v>30</v>
      </c>
      <c r="C406" s="8" t="s">
        <v>115</v>
      </c>
      <c r="D406" s="8" t="s">
        <v>85</v>
      </c>
      <c r="F406" s="17">
        <v>42228</v>
      </c>
      <c r="G406" s="8" t="s">
        <v>787</v>
      </c>
      <c r="H406" s="8" t="s">
        <v>98</v>
      </c>
      <c r="I406" s="8" t="s">
        <v>45</v>
      </c>
      <c r="J406" s="16" t="s">
        <v>9047</v>
      </c>
      <c r="K406" s="2" t="s">
        <v>98</v>
      </c>
      <c r="L406" s="8" t="s">
        <v>99</v>
      </c>
      <c r="M406" s="8" t="s">
        <v>27</v>
      </c>
      <c r="N406" s="8" t="s">
        <v>788</v>
      </c>
      <c r="O406" s="8" t="s">
        <v>404</v>
      </c>
      <c r="P406" s="8" t="s">
        <v>405</v>
      </c>
      <c r="Q406" s="12" t="s">
        <v>20143</v>
      </c>
      <c r="R406" s="8" t="s">
        <v>100</v>
      </c>
      <c r="S406" s="8" t="s">
        <v>35</v>
      </c>
      <c r="T406" s="8"/>
      <c r="U406" s="8"/>
    </row>
    <row r="407" spans="1:34" ht="12" customHeight="1">
      <c r="A407" s="8" t="s">
        <v>782</v>
      </c>
      <c r="B407" s="16">
        <v>27</v>
      </c>
      <c r="C407" s="8" t="s">
        <v>20</v>
      </c>
      <c r="D407" s="8" t="s">
        <v>85</v>
      </c>
      <c r="E407" s="8" t="s">
        <v>19999</v>
      </c>
      <c r="F407" s="17">
        <v>42228</v>
      </c>
      <c r="G407" s="8" t="s">
        <v>20311</v>
      </c>
      <c r="H407" s="8" t="s">
        <v>783</v>
      </c>
      <c r="I407" s="8" t="s">
        <v>69</v>
      </c>
      <c r="J407" s="16" t="s">
        <v>20312</v>
      </c>
      <c r="K407" s="2" t="s">
        <v>784</v>
      </c>
      <c r="L407" s="8" t="s">
        <v>785</v>
      </c>
      <c r="M407" s="8" t="s">
        <v>27</v>
      </c>
      <c r="N407" s="8" t="s">
        <v>20144</v>
      </c>
      <c r="O407" s="8" t="s">
        <v>404</v>
      </c>
      <c r="P407" s="8" t="s">
        <v>405</v>
      </c>
      <c r="Q407" s="12" t="s">
        <v>20145</v>
      </c>
      <c r="R407" s="8" t="s">
        <v>100</v>
      </c>
      <c r="S407" s="8" t="s">
        <v>28</v>
      </c>
      <c r="T407" s="8"/>
      <c r="U407" s="8"/>
      <c r="Y407" s="8"/>
      <c r="Z407" s="8"/>
      <c r="AA407" s="8"/>
      <c r="AB407" s="8"/>
      <c r="AC407" s="8"/>
      <c r="AD407" s="8"/>
      <c r="AE407" s="8"/>
      <c r="AF407" s="8"/>
      <c r="AG407" s="8"/>
      <c r="AH407" s="8"/>
    </row>
    <row r="408" spans="1:34" ht="12" customHeight="1">
      <c r="A408" s="8" t="s">
        <v>793</v>
      </c>
      <c r="B408" s="16">
        <v>49</v>
      </c>
      <c r="C408" s="8" t="s">
        <v>20</v>
      </c>
      <c r="D408" s="8" t="s">
        <v>37</v>
      </c>
      <c r="F408" s="17">
        <v>42228</v>
      </c>
      <c r="G408" s="8" t="s">
        <v>20313</v>
      </c>
      <c r="H408" s="8" t="s">
        <v>453</v>
      </c>
      <c r="I408" s="8" t="s">
        <v>198</v>
      </c>
      <c r="J408" s="16" t="s">
        <v>20314</v>
      </c>
      <c r="K408" s="2" t="s">
        <v>794</v>
      </c>
      <c r="L408" s="8" t="s">
        <v>20315</v>
      </c>
      <c r="M408" s="8" t="s">
        <v>27</v>
      </c>
      <c r="N408" s="8" t="s">
        <v>20146</v>
      </c>
      <c r="O408" s="8" t="s">
        <v>404</v>
      </c>
      <c r="P408" s="8" t="s">
        <v>405</v>
      </c>
      <c r="Q408" s="12" t="s">
        <v>20147</v>
      </c>
      <c r="R408" s="8" t="s">
        <v>29</v>
      </c>
      <c r="S408" s="8" t="s">
        <v>35</v>
      </c>
      <c r="T408" s="8"/>
      <c r="U408" s="8"/>
    </row>
    <row r="409" spans="1:34" ht="12" customHeight="1">
      <c r="A409" s="8" t="s">
        <v>795</v>
      </c>
      <c r="B409" s="16">
        <v>34</v>
      </c>
      <c r="C409" s="8" t="s">
        <v>20</v>
      </c>
      <c r="D409" s="8" t="s">
        <v>37</v>
      </c>
      <c r="F409" s="17">
        <v>42227</v>
      </c>
      <c r="G409" s="8" t="s">
        <v>796</v>
      </c>
      <c r="H409" s="8" t="s">
        <v>797</v>
      </c>
      <c r="I409" s="8" t="s">
        <v>798</v>
      </c>
      <c r="J409" s="16" t="s">
        <v>8804</v>
      </c>
      <c r="K409" s="2" t="s">
        <v>799</v>
      </c>
      <c r="L409" s="8" t="s">
        <v>800</v>
      </c>
      <c r="M409" s="8" t="s">
        <v>27</v>
      </c>
      <c r="N409" s="8" t="s">
        <v>20148</v>
      </c>
      <c r="O409" s="8" t="s">
        <v>404</v>
      </c>
      <c r="P409" s="8" t="s">
        <v>405</v>
      </c>
      <c r="Q409" s="12" t="s">
        <v>20149</v>
      </c>
      <c r="R409" s="8" t="s">
        <v>29</v>
      </c>
      <c r="S409" s="8" t="s">
        <v>28</v>
      </c>
      <c r="T409" s="8"/>
      <c r="U409" s="8"/>
    </row>
    <row r="410" spans="1:34" ht="12" customHeight="1">
      <c r="A410" s="8" t="s">
        <v>805</v>
      </c>
      <c r="B410" s="16">
        <v>48</v>
      </c>
      <c r="C410" s="8" t="s">
        <v>20</v>
      </c>
      <c r="D410" s="8" t="s">
        <v>37</v>
      </c>
      <c r="E410" s="8" t="s">
        <v>20000</v>
      </c>
      <c r="F410" s="17">
        <v>42227</v>
      </c>
      <c r="G410" s="8" t="s">
        <v>806</v>
      </c>
      <c r="H410" s="8" t="s">
        <v>807</v>
      </c>
      <c r="I410" s="8" t="s">
        <v>73</v>
      </c>
      <c r="J410" s="16" t="s">
        <v>20316</v>
      </c>
      <c r="K410" s="2" t="s">
        <v>808</v>
      </c>
      <c r="L410" s="8" t="s">
        <v>809</v>
      </c>
      <c r="M410" s="8" t="s">
        <v>27</v>
      </c>
      <c r="N410" s="8" t="s">
        <v>20150</v>
      </c>
      <c r="O410" s="8" t="s">
        <v>404</v>
      </c>
      <c r="P410" s="8" t="s">
        <v>405</v>
      </c>
      <c r="Q410" s="12" t="s">
        <v>20151</v>
      </c>
      <c r="R410" s="8" t="s">
        <v>29</v>
      </c>
      <c r="S410" s="8" t="s">
        <v>28</v>
      </c>
      <c r="T410" s="8"/>
      <c r="U410" s="8"/>
    </row>
    <row r="411" spans="1:34" ht="12" customHeight="1">
      <c r="A411" s="8" t="s">
        <v>801</v>
      </c>
      <c r="B411" s="16">
        <v>24</v>
      </c>
      <c r="C411" s="8" t="s">
        <v>20</v>
      </c>
      <c r="D411" s="8" t="s">
        <v>37</v>
      </c>
      <c r="E411" s="8" t="s">
        <v>20001</v>
      </c>
      <c r="F411" s="17">
        <v>42227</v>
      </c>
      <c r="G411" s="8" t="s">
        <v>802</v>
      </c>
      <c r="H411" s="8" t="s">
        <v>803</v>
      </c>
      <c r="I411" s="8" t="s">
        <v>73</v>
      </c>
      <c r="J411" s="16" t="s">
        <v>20317</v>
      </c>
      <c r="K411" s="2" t="s">
        <v>804</v>
      </c>
      <c r="L411" s="8" t="s">
        <v>284</v>
      </c>
      <c r="M411" s="8" t="s">
        <v>27</v>
      </c>
      <c r="N411" s="8" t="s">
        <v>20152</v>
      </c>
      <c r="O411" s="8" t="s">
        <v>404</v>
      </c>
      <c r="P411" s="8" t="s">
        <v>405</v>
      </c>
      <c r="Q411" s="12" t="s">
        <v>20153</v>
      </c>
      <c r="R411" s="8" t="s">
        <v>29</v>
      </c>
      <c r="S411" s="8" t="s">
        <v>28</v>
      </c>
      <c r="T411" s="8"/>
      <c r="U411" s="8"/>
    </row>
    <row r="412" spans="1:34" ht="12" customHeight="1">
      <c r="A412" s="8" t="s">
        <v>810</v>
      </c>
      <c r="B412" s="16">
        <v>15</v>
      </c>
      <c r="C412" s="8" t="s">
        <v>20</v>
      </c>
      <c r="D412" s="8" t="s">
        <v>85</v>
      </c>
      <c r="E412" s="8" t="s">
        <v>20003</v>
      </c>
      <c r="F412" s="17">
        <v>42226</v>
      </c>
      <c r="G412" s="8" t="s">
        <v>20320</v>
      </c>
      <c r="H412" s="8" t="s">
        <v>219</v>
      </c>
      <c r="I412" s="8" t="s">
        <v>220</v>
      </c>
      <c r="J412" s="16" t="s">
        <v>1632</v>
      </c>
      <c r="K412" s="2" t="s">
        <v>424</v>
      </c>
      <c r="L412" s="8" t="s">
        <v>221</v>
      </c>
      <c r="M412" s="8" t="s">
        <v>27</v>
      </c>
      <c r="N412" s="8" t="s">
        <v>811</v>
      </c>
      <c r="O412" s="8" t="s">
        <v>404</v>
      </c>
      <c r="P412" s="8" t="s">
        <v>405</v>
      </c>
      <c r="Q412" s="12" t="s">
        <v>812</v>
      </c>
      <c r="R412" s="8" t="s">
        <v>29</v>
      </c>
      <c r="S412" s="8" t="s">
        <v>383</v>
      </c>
      <c r="T412" s="8"/>
      <c r="U412" s="8"/>
    </row>
    <row r="413" spans="1:34" ht="12" customHeight="1">
      <c r="A413" s="8" t="s">
        <v>813</v>
      </c>
      <c r="B413" s="16">
        <v>24</v>
      </c>
      <c r="C413" s="8" t="s">
        <v>20</v>
      </c>
      <c r="D413" s="8" t="s">
        <v>37</v>
      </c>
      <c r="E413" s="8" t="s">
        <v>20002</v>
      </c>
      <c r="F413" s="17">
        <v>42226</v>
      </c>
      <c r="G413" s="8" t="s">
        <v>20318</v>
      </c>
      <c r="H413" s="8" t="s">
        <v>814</v>
      </c>
      <c r="I413" s="8" t="s">
        <v>124</v>
      </c>
      <c r="J413" s="16" t="s">
        <v>20319</v>
      </c>
      <c r="K413" s="2" t="s">
        <v>639</v>
      </c>
      <c r="L413" s="8" t="s">
        <v>815</v>
      </c>
      <c r="M413" s="8" t="s">
        <v>27</v>
      </c>
      <c r="N413" s="8" t="s">
        <v>20154</v>
      </c>
      <c r="O413" s="8" t="s">
        <v>404</v>
      </c>
      <c r="P413" s="8" t="s">
        <v>405</v>
      </c>
      <c r="Q413" s="12" t="s">
        <v>20155</v>
      </c>
      <c r="R413" s="8" t="s">
        <v>29</v>
      </c>
      <c r="S413" s="8" t="s">
        <v>383</v>
      </c>
      <c r="T413" s="8"/>
      <c r="U413" s="8"/>
    </row>
    <row r="414" spans="1:34" ht="12" customHeight="1">
      <c r="A414" s="8" t="s">
        <v>816</v>
      </c>
      <c r="B414" s="16">
        <v>22</v>
      </c>
      <c r="C414" s="8" t="s">
        <v>20</v>
      </c>
      <c r="D414" s="8" t="s">
        <v>48</v>
      </c>
      <c r="F414" s="17">
        <v>42225</v>
      </c>
      <c r="G414" s="8" t="s">
        <v>817</v>
      </c>
      <c r="H414" s="8" t="s">
        <v>612</v>
      </c>
      <c r="I414" s="8" t="s">
        <v>45</v>
      </c>
      <c r="J414" s="16" t="s">
        <v>20321</v>
      </c>
      <c r="K414" s="2" t="s">
        <v>613</v>
      </c>
      <c r="L414" s="8" t="s">
        <v>735</v>
      </c>
      <c r="M414" s="8" t="s">
        <v>27</v>
      </c>
      <c r="N414" s="8" t="s">
        <v>20156</v>
      </c>
      <c r="O414" s="8" t="s">
        <v>404</v>
      </c>
      <c r="P414" s="8" t="s">
        <v>405</v>
      </c>
      <c r="Q414" s="12" t="s">
        <v>20157</v>
      </c>
      <c r="R414" s="8" t="s">
        <v>29</v>
      </c>
      <c r="S414" s="8" t="s">
        <v>28</v>
      </c>
      <c r="T414" s="8"/>
      <c r="U414" s="8"/>
      <c r="V414" s="8"/>
      <c r="W414" s="8"/>
      <c r="X414" s="8"/>
    </row>
    <row r="415" spans="1:34" ht="12" customHeight="1">
      <c r="A415" s="8" t="s">
        <v>822</v>
      </c>
      <c r="B415" s="16">
        <v>41</v>
      </c>
      <c r="C415" s="8" t="s">
        <v>20</v>
      </c>
      <c r="D415" s="8" t="s">
        <v>37</v>
      </c>
      <c r="E415" s="8" t="s">
        <v>20004</v>
      </c>
      <c r="F415" s="17">
        <v>42225</v>
      </c>
      <c r="G415" s="8" t="s">
        <v>823</v>
      </c>
      <c r="H415" s="8" t="s">
        <v>824</v>
      </c>
      <c r="I415" s="8" t="s">
        <v>399</v>
      </c>
      <c r="J415" s="16" t="s">
        <v>7724</v>
      </c>
      <c r="K415" s="2" t="s">
        <v>825</v>
      </c>
      <c r="L415" s="8" t="s">
        <v>826</v>
      </c>
      <c r="M415" s="8" t="s">
        <v>27</v>
      </c>
      <c r="N415" s="8" t="s">
        <v>20158</v>
      </c>
      <c r="O415" s="8" t="s">
        <v>404</v>
      </c>
      <c r="P415" s="8" t="s">
        <v>405</v>
      </c>
      <c r="Q415" s="12" t="s">
        <v>20159</v>
      </c>
      <c r="R415" s="8" t="s">
        <v>559</v>
      </c>
      <c r="S415" s="8" t="s">
        <v>35</v>
      </c>
      <c r="T415" s="8"/>
      <c r="U415" s="8"/>
      <c r="V415" s="8"/>
      <c r="W415" s="8"/>
      <c r="X415" s="8"/>
    </row>
    <row r="416" spans="1:34" ht="12" customHeight="1">
      <c r="A416" s="8" t="s">
        <v>818</v>
      </c>
      <c r="B416" s="16">
        <v>77</v>
      </c>
      <c r="C416" s="8" t="s">
        <v>20</v>
      </c>
      <c r="D416" s="8" t="s">
        <v>30</v>
      </c>
      <c r="F416" s="17">
        <v>42225</v>
      </c>
      <c r="G416" s="8" t="s">
        <v>20322</v>
      </c>
      <c r="H416" s="8" t="s">
        <v>819</v>
      </c>
      <c r="I416" s="8" t="s">
        <v>408</v>
      </c>
      <c r="J416" s="16" t="s">
        <v>20323</v>
      </c>
      <c r="K416" s="2" t="s">
        <v>820</v>
      </c>
      <c r="L416" s="8" t="s">
        <v>821</v>
      </c>
      <c r="M416" s="8" t="s">
        <v>27</v>
      </c>
      <c r="N416" s="8" t="s">
        <v>20160</v>
      </c>
      <c r="O416" s="8" t="s">
        <v>1018</v>
      </c>
      <c r="P416" s="8" t="s">
        <v>405</v>
      </c>
      <c r="Q416" s="12" t="s">
        <v>20161</v>
      </c>
      <c r="R416" s="8" t="s">
        <v>559</v>
      </c>
      <c r="S416" s="8" t="s">
        <v>18</v>
      </c>
      <c r="T416" s="8"/>
      <c r="U416" s="8"/>
    </row>
    <row r="417" spans="1:21" ht="12" customHeight="1">
      <c r="A417" s="8" t="s">
        <v>841</v>
      </c>
      <c r="B417" s="16">
        <v>58</v>
      </c>
      <c r="C417" s="8" t="s">
        <v>20</v>
      </c>
      <c r="D417" s="8" t="s">
        <v>37</v>
      </c>
      <c r="E417" s="8" t="s">
        <v>20005</v>
      </c>
      <c r="F417" s="17">
        <v>42224</v>
      </c>
      <c r="G417" s="8" t="s">
        <v>20324</v>
      </c>
      <c r="H417" s="8" t="s">
        <v>842</v>
      </c>
      <c r="I417" s="8" t="s">
        <v>370</v>
      </c>
      <c r="J417" s="16" t="s">
        <v>3631</v>
      </c>
      <c r="K417" s="2" t="s">
        <v>843</v>
      </c>
      <c r="L417" s="8" t="s">
        <v>844</v>
      </c>
      <c r="M417" s="8" t="s">
        <v>27</v>
      </c>
      <c r="N417" s="8" t="s">
        <v>20162</v>
      </c>
      <c r="O417" s="8" t="s">
        <v>404</v>
      </c>
      <c r="P417" s="8" t="s">
        <v>405</v>
      </c>
      <c r="Q417" s="12" t="s">
        <v>20163</v>
      </c>
      <c r="R417" s="8" t="s">
        <v>29</v>
      </c>
      <c r="S417" s="8" t="s">
        <v>28</v>
      </c>
      <c r="T417" s="8"/>
      <c r="U417" s="8"/>
    </row>
    <row r="418" spans="1:21" ht="12" customHeight="1">
      <c r="A418" s="8" t="s">
        <v>845</v>
      </c>
      <c r="B418" s="16">
        <v>46</v>
      </c>
      <c r="C418" s="8" t="s">
        <v>20</v>
      </c>
      <c r="D418" s="8" t="s">
        <v>37</v>
      </c>
      <c r="E418" s="8" t="s">
        <v>20006</v>
      </c>
      <c r="F418" s="17">
        <v>42224</v>
      </c>
      <c r="G418" s="8" t="s">
        <v>20325</v>
      </c>
      <c r="H418" s="8" t="s">
        <v>846</v>
      </c>
      <c r="I418" s="8" t="s">
        <v>306</v>
      </c>
      <c r="J418" s="16" t="s">
        <v>2372</v>
      </c>
      <c r="K418" s="2" t="s">
        <v>846</v>
      </c>
      <c r="L418" s="8" t="s">
        <v>847</v>
      </c>
      <c r="M418" s="8" t="s">
        <v>27</v>
      </c>
      <c r="N418" s="8" t="s">
        <v>20164</v>
      </c>
      <c r="O418" s="8" t="s">
        <v>404</v>
      </c>
      <c r="P418" s="8" t="s">
        <v>405</v>
      </c>
      <c r="Q418" s="12" t="s">
        <v>20165</v>
      </c>
      <c r="R418" s="8" t="s">
        <v>29</v>
      </c>
      <c r="S418" s="8" t="s">
        <v>28</v>
      </c>
      <c r="T418" s="8"/>
      <c r="U418" s="8"/>
    </row>
    <row r="419" spans="1:21" ht="12" customHeight="1">
      <c r="A419" s="8" t="s">
        <v>837</v>
      </c>
      <c r="B419" s="16">
        <v>33</v>
      </c>
      <c r="C419" s="8" t="s">
        <v>20</v>
      </c>
      <c r="D419" s="8" t="s">
        <v>30</v>
      </c>
      <c r="F419" s="17">
        <v>42224</v>
      </c>
      <c r="G419" s="8" t="s">
        <v>20326</v>
      </c>
      <c r="H419" s="8" t="s">
        <v>838</v>
      </c>
      <c r="I419" s="8" t="s">
        <v>73</v>
      </c>
      <c r="J419" s="16" t="s">
        <v>11839</v>
      </c>
      <c r="K419" s="2" t="s">
        <v>839</v>
      </c>
      <c r="L419" s="8" t="s">
        <v>840</v>
      </c>
      <c r="M419" s="8" t="s">
        <v>27</v>
      </c>
      <c r="N419" s="8" t="s">
        <v>20166</v>
      </c>
      <c r="O419" s="8" t="s">
        <v>404</v>
      </c>
      <c r="P419" s="8" t="s">
        <v>405</v>
      </c>
      <c r="Q419" s="12" t="s">
        <v>20167</v>
      </c>
      <c r="R419" s="8" t="s">
        <v>29</v>
      </c>
      <c r="S419" s="8" t="s">
        <v>28</v>
      </c>
      <c r="T419" s="8"/>
      <c r="U419" s="8"/>
    </row>
    <row r="420" spans="1:21" ht="12" customHeight="1">
      <c r="A420" s="8" t="s">
        <v>827</v>
      </c>
      <c r="B420" s="16">
        <v>24</v>
      </c>
      <c r="C420" s="8" t="s">
        <v>20</v>
      </c>
      <c r="D420" s="8" t="s">
        <v>85</v>
      </c>
      <c r="E420" s="8" t="s">
        <v>20007</v>
      </c>
      <c r="F420" s="17">
        <v>42224</v>
      </c>
      <c r="G420" s="8" t="s">
        <v>828</v>
      </c>
      <c r="H420" s="8" t="s">
        <v>829</v>
      </c>
      <c r="I420" s="8" t="s">
        <v>32</v>
      </c>
      <c r="J420" s="16" t="s">
        <v>20327</v>
      </c>
      <c r="K420" s="2" t="s">
        <v>830</v>
      </c>
      <c r="L420" s="8" t="s">
        <v>831</v>
      </c>
      <c r="M420" s="8" t="s">
        <v>27</v>
      </c>
      <c r="N420" s="8" t="s">
        <v>20168</v>
      </c>
      <c r="O420" s="8" t="s">
        <v>554</v>
      </c>
      <c r="P420" s="8" t="s">
        <v>405</v>
      </c>
      <c r="Q420" s="12" t="s">
        <v>20169</v>
      </c>
      <c r="R420" s="8" t="s">
        <v>29</v>
      </c>
      <c r="S420" s="8" t="s">
        <v>28</v>
      </c>
      <c r="T420" s="8"/>
      <c r="U420" s="8"/>
    </row>
    <row r="421" spans="1:21" ht="12" customHeight="1">
      <c r="A421" s="8" t="s">
        <v>832</v>
      </c>
      <c r="B421" s="16">
        <v>25</v>
      </c>
      <c r="C421" s="8" t="s">
        <v>20</v>
      </c>
      <c r="D421" s="8" t="s">
        <v>85</v>
      </c>
      <c r="E421" s="8" t="s">
        <v>20012</v>
      </c>
      <c r="F421" s="17">
        <v>42224</v>
      </c>
      <c r="G421" s="8" t="s">
        <v>833</v>
      </c>
      <c r="H421" s="8" t="s">
        <v>33</v>
      </c>
      <c r="I421" s="8" t="s">
        <v>370</v>
      </c>
      <c r="J421" s="16" t="s">
        <v>20335</v>
      </c>
      <c r="K421" s="2" t="s">
        <v>834</v>
      </c>
      <c r="L421" s="8" t="s">
        <v>835</v>
      </c>
      <c r="M421" s="8" t="s">
        <v>27</v>
      </c>
      <c r="N421" s="8" t="s">
        <v>20183</v>
      </c>
      <c r="O421" s="8" t="s">
        <v>554</v>
      </c>
      <c r="P421" s="8" t="s">
        <v>405</v>
      </c>
      <c r="Q421" s="12" t="s">
        <v>836</v>
      </c>
      <c r="R421" s="8" t="s">
        <v>29</v>
      </c>
      <c r="S421" s="8" t="s">
        <v>28</v>
      </c>
      <c r="T421" s="8"/>
      <c r="U421" s="8"/>
    </row>
    <row r="422" spans="1:21" ht="12" customHeight="1">
      <c r="A422" s="8" t="s">
        <v>859</v>
      </c>
      <c r="B422" s="16">
        <v>30</v>
      </c>
      <c r="C422" s="8" t="s">
        <v>20</v>
      </c>
      <c r="D422" s="8" t="s">
        <v>37</v>
      </c>
      <c r="E422" s="8" t="s">
        <v>20008</v>
      </c>
      <c r="F422" s="17">
        <v>42223</v>
      </c>
      <c r="G422" s="8" t="s">
        <v>20328</v>
      </c>
      <c r="H422" s="8" t="s">
        <v>203</v>
      </c>
      <c r="I422" s="8" t="s">
        <v>45</v>
      </c>
      <c r="J422" s="16" t="s">
        <v>20329</v>
      </c>
      <c r="K422" s="2" t="s">
        <v>203</v>
      </c>
      <c r="L422" s="8" t="s">
        <v>204</v>
      </c>
      <c r="M422" s="8" t="s">
        <v>27</v>
      </c>
      <c r="N422" s="8" t="s">
        <v>20170</v>
      </c>
      <c r="O422" s="8" t="s">
        <v>554</v>
      </c>
      <c r="P422" s="8" t="s">
        <v>405</v>
      </c>
      <c r="Q422" s="12" t="s">
        <v>20171</v>
      </c>
      <c r="R422" s="8" t="s">
        <v>559</v>
      </c>
      <c r="S422" s="8" t="s">
        <v>18</v>
      </c>
      <c r="T422" s="8"/>
      <c r="U422" s="8"/>
    </row>
    <row r="423" spans="1:21" ht="12" customHeight="1">
      <c r="A423" s="8" t="s">
        <v>853</v>
      </c>
      <c r="B423" s="16">
        <v>24</v>
      </c>
      <c r="C423" s="8" t="s">
        <v>20</v>
      </c>
      <c r="D423" s="8" t="s">
        <v>48</v>
      </c>
      <c r="E423" s="8" t="s">
        <v>20009</v>
      </c>
      <c r="F423" s="17">
        <v>42223</v>
      </c>
      <c r="G423" s="8" t="s">
        <v>854</v>
      </c>
      <c r="H423" s="8" t="s">
        <v>661</v>
      </c>
      <c r="I423" s="8" t="s">
        <v>272</v>
      </c>
      <c r="J423" s="16" t="s">
        <v>20330</v>
      </c>
      <c r="K423" s="2" t="s">
        <v>574</v>
      </c>
      <c r="L423" s="8" t="s">
        <v>575</v>
      </c>
      <c r="M423" s="8" t="s">
        <v>27</v>
      </c>
      <c r="N423" s="8" t="s">
        <v>20172</v>
      </c>
      <c r="O423" s="8" t="s">
        <v>404</v>
      </c>
      <c r="P423" s="8" t="s">
        <v>405</v>
      </c>
      <c r="Q423" s="12" t="s">
        <v>20173</v>
      </c>
      <c r="R423" s="8" t="s">
        <v>100</v>
      </c>
      <c r="S423" s="8" t="s">
        <v>28</v>
      </c>
      <c r="T423" s="8"/>
      <c r="U423" s="8"/>
    </row>
    <row r="424" spans="1:21" ht="12" customHeight="1">
      <c r="A424" s="8" t="s">
        <v>850</v>
      </c>
      <c r="B424" s="16">
        <v>19</v>
      </c>
      <c r="C424" s="8" t="s">
        <v>20</v>
      </c>
      <c r="D424" s="8" t="s">
        <v>85</v>
      </c>
      <c r="E424" s="8" t="s">
        <v>20010</v>
      </c>
      <c r="F424" s="17">
        <v>42223</v>
      </c>
      <c r="G424" s="8" t="s">
        <v>20331</v>
      </c>
      <c r="H424" s="8" t="s">
        <v>851</v>
      </c>
      <c r="I424" s="8" t="s">
        <v>73</v>
      </c>
      <c r="J424" s="16" t="s">
        <v>18743</v>
      </c>
      <c r="K424" s="2" t="s">
        <v>74</v>
      </c>
      <c r="L424" s="8" t="s">
        <v>852</v>
      </c>
      <c r="M424" s="8" t="s">
        <v>27</v>
      </c>
      <c r="N424" s="8" t="s">
        <v>20174</v>
      </c>
      <c r="O424" s="8" t="s">
        <v>404</v>
      </c>
      <c r="P424" s="8" t="s">
        <v>405</v>
      </c>
      <c r="Q424" s="12" t="s">
        <v>20175</v>
      </c>
      <c r="R424" s="8" t="s">
        <v>29</v>
      </c>
      <c r="S424" s="8" t="s">
        <v>18</v>
      </c>
      <c r="T424" s="8"/>
      <c r="U424" s="8"/>
    </row>
    <row r="425" spans="1:21" ht="12" customHeight="1">
      <c r="A425" s="8" t="s">
        <v>848</v>
      </c>
      <c r="B425" s="16">
        <v>28</v>
      </c>
      <c r="C425" s="8" t="s">
        <v>20</v>
      </c>
      <c r="D425" s="8" t="s">
        <v>85</v>
      </c>
      <c r="E425" s="8" t="s">
        <v>20011</v>
      </c>
      <c r="F425" s="17">
        <v>42223</v>
      </c>
      <c r="G425" s="8" t="s">
        <v>849</v>
      </c>
      <c r="H425" s="8" t="s">
        <v>493</v>
      </c>
      <c r="I425" s="8" t="s">
        <v>45</v>
      </c>
      <c r="J425" s="16" t="s">
        <v>16903</v>
      </c>
      <c r="K425" s="2" t="s">
        <v>98</v>
      </c>
      <c r="L425" s="8" t="s">
        <v>494</v>
      </c>
      <c r="M425" s="8" t="s">
        <v>27</v>
      </c>
      <c r="N425" s="8" t="s">
        <v>20176</v>
      </c>
      <c r="O425" s="8" t="s">
        <v>404</v>
      </c>
      <c r="P425" s="8" t="s">
        <v>405</v>
      </c>
      <c r="Q425" s="12" t="s">
        <v>20177</v>
      </c>
      <c r="R425" s="8" t="s">
        <v>29</v>
      </c>
      <c r="S425" s="8" t="s">
        <v>28</v>
      </c>
      <c r="T425" s="8"/>
      <c r="U425" s="8"/>
    </row>
    <row r="426" spans="1:21" ht="12" customHeight="1">
      <c r="A426" s="8" t="s">
        <v>860</v>
      </c>
      <c r="B426" s="16">
        <v>53</v>
      </c>
      <c r="C426" s="8" t="s">
        <v>20</v>
      </c>
      <c r="D426" s="8" t="s">
        <v>37</v>
      </c>
      <c r="F426" s="17">
        <v>42223</v>
      </c>
      <c r="G426" s="8" t="s">
        <v>20332</v>
      </c>
      <c r="H426" s="8" t="s">
        <v>861</v>
      </c>
      <c r="I426" s="8" t="s">
        <v>862</v>
      </c>
      <c r="J426" s="16" t="s">
        <v>20333</v>
      </c>
      <c r="K426" s="2" t="s">
        <v>863</v>
      </c>
      <c r="L426" s="8" t="s">
        <v>20334</v>
      </c>
      <c r="M426" s="8" t="s">
        <v>27</v>
      </c>
      <c r="N426" s="8" t="s">
        <v>20178</v>
      </c>
      <c r="O426" s="8" t="s">
        <v>404</v>
      </c>
      <c r="P426" s="8" t="s">
        <v>405</v>
      </c>
      <c r="Q426" s="12" t="s">
        <v>20179</v>
      </c>
      <c r="R426" s="8" t="s">
        <v>20180</v>
      </c>
      <c r="S426" s="8" t="s">
        <v>35</v>
      </c>
      <c r="T426" s="8"/>
      <c r="U426" s="8"/>
    </row>
    <row r="427" spans="1:21" ht="12" customHeight="1">
      <c r="A427" s="8" t="s">
        <v>855</v>
      </c>
      <c r="B427" s="16">
        <v>26</v>
      </c>
      <c r="C427" s="8" t="s">
        <v>20</v>
      </c>
      <c r="D427" s="8" t="s">
        <v>37</v>
      </c>
      <c r="F427" s="17">
        <v>42223</v>
      </c>
      <c r="G427" s="8" t="s">
        <v>856</v>
      </c>
      <c r="H427" s="8" t="s">
        <v>857</v>
      </c>
      <c r="I427" s="8" t="s">
        <v>41</v>
      </c>
      <c r="J427" s="16" t="s">
        <v>17142</v>
      </c>
      <c r="K427" s="2" t="s">
        <v>857</v>
      </c>
      <c r="L427" s="8" t="s">
        <v>858</v>
      </c>
      <c r="M427" s="8" t="s">
        <v>1706</v>
      </c>
      <c r="N427" s="8" t="s">
        <v>20181</v>
      </c>
      <c r="O427" s="8" t="s">
        <v>404</v>
      </c>
      <c r="P427" s="8" t="s">
        <v>405</v>
      </c>
      <c r="Q427" s="12" t="s">
        <v>20182</v>
      </c>
      <c r="R427" s="8" t="s">
        <v>29</v>
      </c>
      <c r="S427" s="8" t="s">
        <v>18</v>
      </c>
      <c r="T427" s="8"/>
      <c r="U427" s="8"/>
    </row>
    <row r="428" spans="1:21" ht="12" customHeight="1">
      <c r="A428" s="8" t="s">
        <v>864</v>
      </c>
      <c r="B428" s="16">
        <v>22</v>
      </c>
      <c r="C428" s="8" t="s">
        <v>20</v>
      </c>
      <c r="D428" s="8" t="s">
        <v>85</v>
      </c>
      <c r="E428" s="8" t="s">
        <v>20013</v>
      </c>
      <c r="F428" s="17">
        <v>42222</v>
      </c>
      <c r="G428" s="8" t="s">
        <v>20336</v>
      </c>
      <c r="H428" s="8" t="s">
        <v>865</v>
      </c>
      <c r="I428" s="8" t="s">
        <v>73</v>
      </c>
      <c r="J428" s="16" t="s">
        <v>20337</v>
      </c>
      <c r="K428" s="2" t="s">
        <v>865</v>
      </c>
      <c r="L428" s="8" t="s">
        <v>866</v>
      </c>
      <c r="M428" s="8" t="s">
        <v>27</v>
      </c>
      <c r="N428" s="8" t="s">
        <v>20184</v>
      </c>
      <c r="O428" s="8" t="s">
        <v>404</v>
      </c>
      <c r="P428" s="8" t="s">
        <v>405</v>
      </c>
      <c r="Q428" s="12" t="s">
        <v>867</v>
      </c>
      <c r="R428" s="8" t="s">
        <v>100</v>
      </c>
      <c r="S428" s="8" t="s">
        <v>28</v>
      </c>
      <c r="T428" s="8"/>
      <c r="U428" s="8"/>
    </row>
    <row r="429" spans="1:21" ht="12" customHeight="1">
      <c r="A429" s="8" t="s">
        <v>871</v>
      </c>
      <c r="B429" s="16">
        <v>42</v>
      </c>
      <c r="C429" s="8" t="s">
        <v>20</v>
      </c>
      <c r="D429" s="8" t="s">
        <v>48</v>
      </c>
      <c r="E429" s="8" t="s">
        <v>20014</v>
      </c>
      <c r="F429" s="17">
        <v>42222</v>
      </c>
      <c r="G429" s="8" t="s">
        <v>872</v>
      </c>
      <c r="H429" s="8" t="s">
        <v>873</v>
      </c>
      <c r="I429" s="8" t="s">
        <v>319</v>
      </c>
      <c r="J429" s="16" t="s">
        <v>20338</v>
      </c>
      <c r="K429" s="2" t="s">
        <v>874</v>
      </c>
      <c r="L429" s="8" t="s">
        <v>875</v>
      </c>
      <c r="M429" s="8" t="s">
        <v>27</v>
      </c>
      <c r="N429" s="8" t="s">
        <v>20185</v>
      </c>
      <c r="O429" s="8" t="s">
        <v>404</v>
      </c>
      <c r="P429" s="8" t="s">
        <v>405</v>
      </c>
      <c r="Q429" s="12" t="s">
        <v>20186</v>
      </c>
      <c r="R429" s="8" t="s">
        <v>100</v>
      </c>
      <c r="S429" s="8" t="s">
        <v>28</v>
      </c>
      <c r="T429" s="8"/>
      <c r="U429" s="8"/>
    </row>
    <row r="430" spans="1:21" ht="12" customHeight="1">
      <c r="A430" s="8" t="s">
        <v>868</v>
      </c>
      <c r="B430" s="16">
        <v>32</v>
      </c>
      <c r="C430" s="8" t="s">
        <v>20</v>
      </c>
      <c r="D430" s="8" t="s">
        <v>85</v>
      </c>
      <c r="E430" s="8" t="s">
        <v>20015</v>
      </c>
      <c r="F430" s="17">
        <v>42222</v>
      </c>
      <c r="G430" s="8" t="s">
        <v>20339</v>
      </c>
      <c r="H430" s="8" t="s">
        <v>1043</v>
      </c>
      <c r="I430" s="8" t="s">
        <v>175</v>
      </c>
      <c r="J430" s="16" t="s">
        <v>20340</v>
      </c>
      <c r="K430" s="2" t="s">
        <v>869</v>
      </c>
      <c r="L430" s="8" t="s">
        <v>870</v>
      </c>
      <c r="M430" s="8" t="s">
        <v>1706</v>
      </c>
      <c r="N430" s="8" t="s">
        <v>20187</v>
      </c>
      <c r="O430" s="8" t="s">
        <v>404</v>
      </c>
      <c r="P430" s="8" t="s">
        <v>405</v>
      </c>
      <c r="Q430" s="12" t="s">
        <v>20188</v>
      </c>
      <c r="R430" s="8" t="s">
        <v>100</v>
      </c>
      <c r="S430" s="8" t="s">
        <v>18</v>
      </c>
      <c r="T430" s="8"/>
      <c r="U430" s="8"/>
    </row>
    <row r="431" spans="1:21" ht="12" customHeight="1">
      <c r="A431" s="8" t="s">
        <v>889</v>
      </c>
      <c r="B431" s="16">
        <v>40</v>
      </c>
      <c r="C431" s="8" t="s">
        <v>20</v>
      </c>
      <c r="D431" s="8" t="s">
        <v>37</v>
      </c>
      <c r="E431" s="8" t="s">
        <v>20016</v>
      </c>
      <c r="F431" s="17">
        <v>42221</v>
      </c>
      <c r="G431" s="8" t="s">
        <v>20341</v>
      </c>
      <c r="H431" s="8" t="s">
        <v>890</v>
      </c>
      <c r="I431" s="8" t="s">
        <v>306</v>
      </c>
      <c r="J431" s="16" t="s">
        <v>2435</v>
      </c>
      <c r="K431" s="2" t="s">
        <v>891</v>
      </c>
      <c r="L431" s="8" t="s">
        <v>892</v>
      </c>
      <c r="M431" s="8" t="s">
        <v>27</v>
      </c>
      <c r="N431" s="8" t="s">
        <v>20189</v>
      </c>
      <c r="O431" s="8" t="s">
        <v>1018</v>
      </c>
      <c r="P431" s="8" t="s">
        <v>405</v>
      </c>
      <c r="Q431" s="12" t="s">
        <v>20190</v>
      </c>
      <c r="R431" s="8" t="s">
        <v>100</v>
      </c>
      <c r="S431" s="8" t="s">
        <v>28</v>
      </c>
      <c r="T431" s="8"/>
      <c r="U431" s="8"/>
    </row>
    <row r="432" spans="1:21" ht="12" customHeight="1">
      <c r="A432" s="8" t="s">
        <v>893</v>
      </c>
      <c r="B432" s="16">
        <v>51</v>
      </c>
      <c r="C432" s="8" t="s">
        <v>20</v>
      </c>
      <c r="D432" s="8" t="s">
        <v>37</v>
      </c>
      <c r="F432" s="17">
        <v>42221</v>
      </c>
      <c r="G432" s="8" t="s">
        <v>20342</v>
      </c>
      <c r="H432" s="8" t="s">
        <v>894</v>
      </c>
      <c r="I432" s="8" t="s">
        <v>442</v>
      </c>
      <c r="J432" s="16" t="s">
        <v>20343</v>
      </c>
      <c r="K432" s="2" t="s">
        <v>895</v>
      </c>
      <c r="L432" s="8" t="s">
        <v>896</v>
      </c>
      <c r="M432" s="8" t="s">
        <v>27</v>
      </c>
      <c r="N432" s="8" t="s">
        <v>20191</v>
      </c>
      <c r="O432" s="8" t="s">
        <v>404</v>
      </c>
      <c r="P432" s="8" t="s">
        <v>405</v>
      </c>
      <c r="Q432" s="12" t="s">
        <v>20192</v>
      </c>
      <c r="R432" s="8" t="s">
        <v>559</v>
      </c>
      <c r="S432" s="8" t="s">
        <v>28</v>
      </c>
      <c r="T432" s="8"/>
      <c r="U432" s="8"/>
    </row>
    <row r="433" spans="1:34" ht="12" customHeight="1">
      <c r="A433" s="8" t="s">
        <v>881</v>
      </c>
      <c r="B433" s="16">
        <v>20</v>
      </c>
      <c r="C433" s="8" t="s">
        <v>20</v>
      </c>
      <c r="D433" s="8" t="s">
        <v>85</v>
      </c>
      <c r="E433" s="8" t="s">
        <v>20017</v>
      </c>
      <c r="F433" s="17">
        <v>42221</v>
      </c>
      <c r="G433" s="8" t="s">
        <v>20344</v>
      </c>
      <c r="H433" s="8" t="s">
        <v>882</v>
      </c>
      <c r="I433" s="8" t="s">
        <v>247</v>
      </c>
      <c r="J433" s="16" t="s">
        <v>20345</v>
      </c>
      <c r="K433" s="2" t="s">
        <v>19516</v>
      </c>
      <c r="L433" s="8" t="s">
        <v>883</v>
      </c>
      <c r="M433" s="8" t="s">
        <v>27</v>
      </c>
      <c r="N433" s="8" t="s">
        <v>20193</v>
      </c>
      <c r="O433" s="8" t="s">
        <v>554</v>
      </c>
      <c r="P433" s="8" t="s">
        <v>405</v>
      </c>
      <c r="Q433" s="12" t="s">
        <v>20194</v>
      </c>
      <c r="R433" s="8" t="s">
        <v>29</v>
      </c>
      <c r="S433" s="8" t="s">
        <v>28</v>
      </c>
      <c r="T433" s="8"/>
      <c r="U433" s="8"/>
    </row>
    <row r="434" spans="1:34" ht="12" customHeight="1">
      <c r="A434" s="8" t="s">
        <v>876</v>
      </c>
      <c r="B434" s="16">
        <v>39</v>
      </c>
      <c r="C434" s="8" t="s">
        <v>20</v>
      </c>
      <c r="D434" s="8" t="s">
        <v>85</v>
      </c>
      <c r="E434" s="8" t="s">
        <v>20018</v>
      </c>
      <c r="F434" s="17">
        <v>42221</v>
      </c>
      <c r="G434" s="8" t="s">
        <v>20346</v>
      </c>
      <c r="H434" s="8" t="s">
        <v>877</v>
      </c>
      <c r="I434" s="8" t="s">
        <v>878</v>
      </c>
      <c r="J434" s="16" t="s">
        <v>20347</v>
      </c>
      <c r="K434" s="2" t="s">
        <v>879</v>
      </c>
      <c r="L434" s="8" t="s">
        <v>880</v>
      </c>
      <c r="M434" s="8" t="s">
        <v>27</v>
      </c>
      <c r="N434" s="8" t="s">
        <v>20195</v>
      </c>
      <c r="O434" s="8" t="s">
        <v>554</v>
      </c>
      <c r="P434" s="8" t="s">
        <v>405</v>
      </c>
      <c r="Q434" s="12" t="s">
        <v>20196</v>
      </c>
      <c r="R434" s="8" t="s">
        <v>100</v>
      </c>
      <c r="S434" s="8" t="s">
        <v>28</v>
      </c>
      <c r="T434" s="8"/>
      <c r="U434" s="8"/>
    </row>
    <row r="435" spans="1:34" ht="12" customHeight="1">
      <c r="A435" s="8" t="s">
        <v>897</v>
      </c>
      <c r="B435" s="16">
        <v>18</v>
      </c>
      <c r="C435" s="8" t="s">
        <v>20</v>
      </c>
      <c r="D435" s="8" t="s">
        <v>37</v>
      </c>
      <c r="E435" s="8" t="s">
        <v>20019</v>
      </c>
      <c r="F435" s="17">
        <v>42221</v>
      </c>
      <c r="G435" s="8" t="s">
        <v>20348</v>
      </c>
      <c r="H435" s="8" t="s">
        <v>898</v>
      </c>
      <c r="I435" s="8" t="s">
        <v>319</v>
      </c>
      <c r="J435" s="16" t="s">
        <v>20349</v>
      </c>
      <c r="K435" s="2" t="s">
        <v>1795</v>
      </c>
      <c r="L435" s="8" t="s">
        <v>899</v>
      </c>
      <c r="M435" s="8" t="s">
        <v>27</v>
      </c>
      <c r="N435" s="8" t="s">
        <v>20197</v>
      </c>
      <c r="O435" s="8" t="s">
        <v>404</v>
      </c>
      <c r="P435" s="8" t="s">
        <v>405</v>
      </c>
      <c r="Q435" s="12" t="s">
        <v>20198</v>
      </c>
      <c r="R435" s="8" t="s">
        <v>100</v>
      </c>
      <c r="S435" s="8" t="s">
        <v>28</v>
      </c>
      <c r="T435" s="8"/>
      <c r="U435" s="8"/>
    </row>
    <row r="436" spans="1:34" ht="12" customHeight="1">
      <c r="A436" s="8" t="s">
        <v>884</v>
      </c>
      <c r="B436" s="16">
        <v>29</v>
      </c>
      <c r="C436" s="8" t="s">
        <v>20</v>
      </c>
      <c r="D436" s="8" t="s">
        <v>48</v>
      </c>
      <c r="E436" s="8" t="s">
        <v>20020</v>
      </c>
      <c r="F436" s="17">
        <v>42221</v>
      </c>
      <c r="G436" s="8" t="s">
        <v>885</v>
      </c>
      <c r="H436" s="8" t="s">
        <v>2045</v>
      </c>
      <c r="I436" s="8" t="s">
        <v>323</v>
      </c>
      <c r="J436" s="16" t="s">
        <v>11770</v>
      </c>
      <c r="K436" s="2" t="s">
        <v>887</v>
      </c>
      <c r="L436" s="8" t="s">
        <v>888</v>
      </c>
      <c r="M436" s="8" t="s">
        <v>27</v>
      </c>
      <c r="N436" s="8" t="s">
        <v>20199</v>
      </c>
      <c r="O436" s="8" t="s">
        <v>404</v>
      </c>
      <c r="P436" s="8" t="s">
        <v>405</v>
      </c>
      <c r="Q436" s="12" t="s">
        <v>20200</v>
      </c>
      <c r="R436" s="8" t="s">
        <v>559</v>
      </c>
      <c r="S436" s="8" t="s">
        <v>28</v>
      </c>
      <c r="T436" s="8"/>
      <c r="U436" s="8"/>
    </row>
    <row r="437" spans="1:34" ht="12" customHeight="1">
      <c r="A437" s="8" t="s">
        <v>900</v>
      </c>
      <c r="B437" s="16">
        <v>55</v>
      </c>
      <c r="C437" s="8" t="s">
        <v>20</v>
      </c>
      <c r="D437" s="8" t="s">
        <v>48</v>
      </c>
      <c r="F437" s="17">
        <v>42220</v>
      </c>
      <c r="G437" s="8" t="s">
        <v>20350</v>
      </c>
      <c r="H437" s="8" t="s">
        <v>901</v>
      </c>
      <c r="I437" s="8" t="s">
        <v>45</v>
      </c>
      <c r="J437" s="16" t="s">
        <v>20351</v>
      </c>
      <c r="K437" s="2" t="s">
        <v>158</v>
      </c>
      <c r="L437" s="8" t="s">
        <v>20352</v>
      </c>
      <c r="M437" s="8" t="s">
        <v>27</v>
      </c>
      <c r="N437" s="8" t="s">
        <v>20201</v>
      </c>
      <c r="O437" s="8" t="s">
        <v>404</v>
      </c>
      <c r="P437" s="8" t="s">
        <v>405</v>
      </c>
      <c r="Q437" s="12" t="s">
        <v>20202</v>
      </c>
      <c r="R437" s="8" t="s">
        <v>559</v>
      </c>
      <c r="S437" s="8" t="s">
        <v>35</v>
      </c>
      <c r="T437" s="8"/>
      <c r="U437" s="8"/>
    </row>
    <row r="438" spans="1:34" ht="12" customHeight="1">
      <c r="A438" s="8" t="s">
        <v>902</v>
      </c>
      <c r="B438" s="16">
        <v>49</v>
      </c>
      <c r="C438" s="8" t="s">
        <v>20</v>
      </c>
      <c r="D438" s="8" t="s">
        <v>85</v>
      </c>
      <c r="E438" s="8" t="s">
        <v>20022</v>
      </c>
      <c r="F438" s="17">
        <v>42219</v>
      </c>
      <c r="G438" s="8" t="s">
        <v>20355</v>
      </c>
      <c r="H438" s="8" t="s">
        <v>607</v>
      </c>
      <c r="I438" s="8" t="s">
        <v>45</v>
      </c>
      <c r="J438" s="16" t="s">
        <v>20356</v>
      </c>
      <c r="K438" s="2" t="s">
        <v>608</v>
      </c>
      <c r="L438" s="8" t="s">
        <v>609</v>
      </c>
      <c r="M438" s="8" t="s">
        <v>27</v>
      </c>
      <c r="N438" s="8" t="s">
        <v>20205</v>
      </c>
      <c r="O438" s="8" t="s">
        <v>404</v>
      </c>
      <c r="P438" s="8" t="s">
        <v>405</v>
      </c>
      <c r="Q438" s="12" t="s">
        <v>20206</v>
      </c>
      <c r="R438" s="8" t="s">
        <v>29</v>
      </c>
      <c r="S438" s="8" t="s">
        <v>28</v>
      </c>
      <c r="T438" s="8"/>
      <c r="U438" s="8"/>
    </row>
    <row r="439" spans="1:34" ht="12" customHeight="1">
      <c r="A439" s="8" t="s">
        <v>903</v>
      </c>
      <c r="B439" s="16">
        <v>31</v>
      </c>
      <c r="C439" s="8" t="s">
        <v>20</v>
      </c>
      <c r="D439" s="8" t="s">
        <v>85</v>
      </c>
      <c r="E439" s="8" t="s">
        <v>20021</v>
      </c>
      <c r="F439" s="17">
        <v>42219</v>
      </c>
      <c r="G439" s="8" t="s">
        <v>20353</v>
      </c>
      <c r="H439" s="8" t="s">
        <v>904</v>
      </c>
      <c r="I439" s="8" t="s">
        <v>44</v>
      </c>
      <c r="J439" s="16" t="s">
        <v>20354</v>
      </c>
      <c r="K439" s="2" t="s">
        <v>905</v>
      </c>
      <c r="L439" s="8" t="s">
        <v>906</v>
      </c>
      <c r="M439" s="8" t="s">
        <v>27</v>
      </c>
      <c r="N439" s="8" t="s">
        <v>20203</v>
      </c>
      <c r="O439" s="8" t="s">
        <v>554</v>
      </c>
      <c r="P439" s="8" t="s">
        <v>405</v>
      </c>
      <c r="Q439" s="12" t="s">
        <v>20204</v>
      </c>
      <c r="R439" s="8" t="s">
        <v>100</v>
      </c>
      <c r="S439" s="8" t="s">
        <v>28</v>
      </c>
      <c r="T439" s="8"/>
      <c r="U439" s="8"/>
      <c r="Y439" s="8"/>
      <c r="Z439" s="8"/>
      <c r="AA439" s="8"/>
      <c r="AB439" s="8"/>
      <c r="AC439" s="8"/>
      <c r="AD439" s="8"/>
      <c r="AE439" s="8"/>
      <c r="AF439" s="8"/>
      <c r="AG439" s="8"/>
      <c r="AH439" s="8"/>
    </row>
    <row r="440" spans="1:34" ht="12" customHeight="1">
      <c r="A440" s="8" t="s">
        <v>916</v>
      </c>
      <c r="B440" s="16">
        <v>71</v>
      </c>
      <c r="C440" s="8" t="s">
        <v>20</v>
      </c>
      <c r="D440" s="8" t="s">
        <v>37</v>
      </c>
      <c r="E440" s="8" t="s">
        <v>20023</v>
      </c>
      <c r="F440" s="17">
        <v>42219</v>
      </c>
      <c r="G440" s="8" t="s">
        <v>20357</v>
      </c>
      <c r="H440" s="8" t="s">
        <v>917</v>
      </c>
      <c r="I440" s="8" t="s">
        <v>247</v>
      </c>
      <c r="J440" s="16" t="s">
        <v>20358</v>
      </c>
      <c r="K440" s="2" t="s">
        <v>917</v>
      </c>
      <c r="L440" s="8" t="s">
        <v>20359</v>
      </c>
      <c r="M440" s="8" t="s">
        <v>27</v>
      </c>
      <c r="N440" s="8" t="s">
        <v>20207</v>
      </c>
      <c r="O440" s="8" t="s">
        <v>20208</v>
      </c>
      <c r="P440" s="8" t="s">
        <v>405</v>
      </c>
      <c r="Q440" s="12" t="s">
        <v>20209</v>
      </c>
      <c r="R440" s="8" t="s">
        <v>29</v>
      </c>
      <c r="S440" s="8" t="s">
        <v>28</v>
      </c>
      <c r="T440" s="8"/>
      <c r="U440" s="8"/>
    </row>
    <row r="441" spans="1:34" ht="12" customHeight="1">
      <c r="A441" s="8" t="s">
        <v>907</v>
      </c>
      <c r="B441" s="16">
        <v>18</v>
      </c>
      <c r="C441" s="8" t="s">
        <v>20</v>
      </c>
      <c r="D441" s="8" t="s">
        <v>37</v>
      </c>
      <c r="E441" s="8" t="s">
        <v>20024</v>
      </c>
      <c r="F441" s="17">
        <v>42219</v>
      </c>
      <c r="G441" s="8" t="s">
        <v>908</v>
      </c>
      <c r="H441" s="8" t="s">
        <v>909</v>
      </c>
      <c r="I441" s="8" t="s">
        <v>408</v>
      </c>
      <c r="J441" s="16" t="s">
        <v>20360</v>
      </c>
      <c r="K441" s="2" t="s">
        <v>910</v>
      </c>
      <c r="L441" s="8" t="s">
        <v>911</v>
      </c>
      <c r="M441" s="8" t="s">
        <v>27</v>
      </c>
      <c r="N441" s="8" t="s">
        <v>20210</v>
      </c>
      <c r="O441" s="8" t="s">
        <v>404</v>
      </c>
      <c r="P441" s="8" t="s">
        <v>405</v>
      </c>
      <c r="Q441" s="12" t="s">
        <v>20211</v>
      </c>
      <c r="R441" s="8" t="s">
        <v>29</v>
      </c>
      <c r="S441" s="8" t="s">
        <v>28</v>
      </c>
      <c r="T441" s="8"/>
      <c r="U441" s="8"/>
    </row>
    <row r="442" spans="1:34" ht="12" customHeight="1">
      <c r="A442" s="8" t="s">
        <v>912</v>
      </c>
      <c r="B442" s="16">
        <v>35</v>
      </c>
      <c r="C442" s="8" t="s">
        <v>20</v>
      </c>
      <c r="D442" s="8" t="s">
        <v>37</v>
      </c>
      <c r="E442" s="8" t="s">
        <v>20025</v>
      </c>
      <c r="F442" s="17">
        <v>42219</v>
      </c>
      <c r="G442" s="8" t="s">
        <v>20361</v>
      </c>
      <c r="H442" s="8" t="s">
        <v>913</v>
      </c>
      <c r="I442" s="8" t="s">
        <v>220</v>
      </c>
      <c r="J442" s="16" t="s">
        <v>20362</v>
      </c>
      <c r="K442" s="2" t="s">
        <v>914</v>
      </c>
      <c r="L442" s="8" t="s">
        <v>915</v>
      </c>
      <c r="M442" s="8" t="s">
        <v>27</v>
      </c>
      <c r="N442" s="8" t="s">
        <v>20212</v>
      </c>
      <c r="O442" s="8" t="s">
        <v>404</v>
      </c>
      <c r="P442" s="8" t="s">
        <v>405</v>
      </c>
      <c r="Q442" s="12" t="s">
        <v>20213</v>
      </c>
      <c r="R442" s="8" t="s">
        <v>29</v>
      </c>
      <c r="S442" s="8" t="s">
        <v>28</v>
      </c>
      <c r="T442" s="8"/>
      <c r="U442" s="8"/>
    </row>
    <row r="443" spans="1:34" ht="12" customHeight="1">
      <c r="A443" s="8" t="s">
        <v>918</v>
      </c>
      <c r="B443" s="16">
        <v>63</v>
      </c>
      <c r="C443" s="8" t="s">
        <v>20</v>
      </c>
      <c r="D443" s="8" t="s">
        <v>37</v>
      </c>
      <c r="E443" s="8" t="s">
        <v>20026</v>
      </c>
      <c r="F443" s="17">
        <v>42218</v>
      </c>
      <c r="G443" s="8" t="s">
        <v>20363</v>
      </c>
      <c r="H443" s="8" t="s">
        <v>731</v>
      </c>
      <c r="I443" s="8" t="s">
        <v>73</v>
      </c>
      <c r="J443" s="16" t="s">
        <v>6913</v>
      </c>
      <c r="K443" s="2" t="s">
        <v>562</v>
      </c>
      <c r="L443" s="8" t="s">
        <v>732</v>
      </c>
      <c r="M443" s="8" t="s">
        <v>27</v>
      </c>
      <c r="N443" s="8" t="s">
        <v>20214</v>
      </c>
      <c r="O443" s="8" t="s">
        <v>404</v>
      </c>
      <c r="P443" s="8" t="s">
        <v>405</v>
      </c>
      <c r="Q443" s="12" t="s">
        <v>20215</v>
      </c>
      <c r="R443" s="8" t="s">
        <v>559</v>
      </c>
      <c r="S443" s="8" t="s">
        <v>383</v>
      </c>
      <c r="T443" s="8"/>
      <c r="U443" s="8"/>
    </row>
    <row r="444" spans="1:34" ht="12" customHeight="1">
      <c r="A444" s="8" t="s">
        <v>919</v>
      </c>
      <c r="B444" s="16">
        <v>29</v>
      </c>
      <c r="C444" s="8" t="s">
        <v>20</v>
      </c>
      <c r="D444" s="8" t="s">
        <v>48</v>
      </c>
      <c r="F444" s="17">
        <v>42217</v>
      </c>
      <c r="G444" s="8" t="s">
        <v>920</v>
      </c>
      <c r="H444" s="8" t="s">
        <v>565</v>
      </c>
      <c r="I444" s="8" t="s">
        <v>124</v>
      </c>
      <c r="J444" s="16" t="s">
        <v>6401</v>
      </c>
      <c r="K444" s="2" t="s">
        <v>566</v>
      </c>
      <c r="L444" s="8" t="s">
        <v>567</v>
      </c>
      <c r="M444" s="8" t="s">
        <v>27</v>
      </c>
      <c r="N444" s="8" t="s">
        <v>20216</v>
      </c>
      <c r="O444" s="8" t="s">
        <v>404</v>
      </c>
      <c r="P444" s="8" t="s">
        <v>405</v>
      </c>
      <c r="Q444" s="12" t="s">
        <v>20217</v>
      </c>
      <c r="R444" s="8" t="s">
        <v>100</v>
      </c>
      <c r="S444" s="8" t="s">
        <v>28</v>
      </c>
      <c r="T444" s="8"/>
      <c r="U444" s="8"/>
    </row>
    <row r="445" spans="1:34" ht="12" customHeight="1">
      <c r="A445" s="8" t="s">
        <v>921</v>
      </c>
      <c r="B445" s="16">
        <v>52</v>
      </c>
      <c r="C445" s="8" t="s">
        <v>20</v>
      </c>
      <c r="D445" s="8" t="s">
        <v>30</v>
      </c>
      <c r="F445" s="17">
        <v>42217</v>
      </c>
      <c r="G445" s="8" t="s">
        <v>20364</v>
      </c>
      <c r="H445" s="8" t="s">
        <v>922</v>
      </c>
      <c r="I445" s="8" t="s">
        <v>152</v>
      </c>
      <c r="J445" s="16" t="s">
        <v>20365</v>
      </c>
      <c r="K445" s="2" t="s">
        <v>923</v>
      </c>
      <c r="L445" s="8" t="s">
        <v>924</v>
      </c>
      <c r="M445" s="8" t="s">
        <v>27</v>
      </c>
      <c r="N445" s="8" t="s">
        <v>20218</v>
      </c>
      <c r="O445" s="8" t="s">
        <v>404</v>
      </c>
      <c r="P445" s="8" t="s">
        <v>405</v>
      </c>
      <c r="Q445" s="12" t="s">
        <v>20219</v>
      </c>
      <c r="R445" s="8" t="s">
        <v>100</v>
      </c>
      <c r="S445" s="8" t="s">
        <v>28</v>
      </c>
      <c r="T445" s="8"/>
      <c r="U445" s="8"/>
    </row>
    <row r="446" spans="1:34" ht="12" customHeight="1">
      <c r="A446" s="8" t="s">
        <v>925</v>
      </c>
      <c r="B446" s="16">
        <v>48</v>
      </c>
      <c r="C446" s="8" t="s">
        <v>20</v>
      </c>
      <c r="D446" s="8" t="s">
        <v>37</v>
      </c>
      <c r="F446" s="17">
        <v>42217</v>
      </c>
      <c r="G446" s="8" t="s">
        <v>926</v>
      </c>
      <c r="H446" s="8" t="s">
        <v>288</v>
      </c>
      <c r="I446" s="8" t="s">
        <v>73</v>
      </c>
      <c r="J446" s="16" t="s">
        <v>20366</v>
      </c>
      <c r="K446" s="2" t="s">
        <v>288</v>
      </c>
      <c r="L446" s="8" t="s">
        <v>927</v>
      </c>
      <c r="M446" s="8" t="s">
        <v>13000</v>
      </c>
      <c r="N446" s="8" t="s">
        <v>20220</v>
      </c>
      <c r="O446" s="8" t="s">
        <v>404</v>
      </c>
      <c r="P446" s="8" t="s">
        <v>405</v>
      </c>
      <c r="Q446" s="12" t="s">
        <v>20221</v>
      </c>
      <c r="R446" s="8" t="s">
        <v>29</v>
      </c>
      <c r="S446" s="8" t="s">
        <v>18</v>
      </c>
      <c r="T446" s="8"/>
      <c r="U446" s="8"/>
    </row>
    <row r="447" spans="1:34" ht="12" customHeight="1">
      <c r="A447" s="8" t="s">
        <v>937</v>
      </c>
      <c r="B447" s="16">
        <v>34</v>
      </c>
      <c r="C447" s="8" t="s">
        <v>20</v>
      </c>
      <c r="D447" s="8" t="s">
        <v>30</v>
      </c>
      <c r="F447" s="17">
        <v>42216</v>
      </c>
      <c r="G447" s="8" t="s">
        <v>938</v>
      </c>
      <c r="H447" s="8" t="s">
        <v>939</v>
      </c>
      <c r="I447" s="8" t="s">
        <v>198</v>
      </c>
      <c r="J447" s="16">
        <v>88201</v>
      </c>
      <c r="K447" s="2" t="s">
        <v>940</v>
      </c>
      <c r="L447" s="8" t="s">
        <v>941</v>
      </c>
      <c r="M447" s="8" t="s">
        <v>27</v>
      </c>
      <c r="N447" s="8" t="s">
        <v>942</v>
      </c>
      <c r="O447" s="8" t="s">
        <v>404</v>
      </c>
      <c r="P447" s="8" t="s">
        <v>405</v>
      </c>
      <c r="Q447" s="12" t="str">
        <f>HYPERLINK("http://www.kob.com/article/stories/s3867548.shtml#.Vb0ENTBVikr","http://www.kob.com/article/stories/s3867548.shtml#.Vb0ENTBVikr")</f>
        <v>http://www.kob.com/article/stories/s3867548.shtml#.Vb0ENTBVikr</v>
      </c>
      <c r="R447" s="8" t="s">
        <v>100</v>
      </c>
      <c r="S447" s="8" t="s">
        <v>28</v>
      </c>
      <c r="T447" s="8"/>
      <c r="U447" s="8"/>
    </row>
    <row r="448" spans="1:34" ht="12" customHeight="1">
      <c r="A448" s="8" t="s">
        <v>943</v>
      </c>
      <c r="B448" s="16">
        <v>38</v>
      </c>
      <c r="C448" s="8" t="s">
        <v>20</v>
      </c>
      <c r="D448" s="8" t="s">
        <v>37</v>
      </c>
      <c r="E448" s="8" t="str">
        <f>HYPERLINK("http://media.graytvinc.com/images/Mark+Perkins.jpg","http://media.graytvinc.com/images/Mark+Perkins.jpg")</f>
        <v>http://media.graytvinc.com/images/Mark+Perkins.jpg</v>
      </c>
      <c r="F448" s="17">
        <v>42216</v>
      </c>
      <c r="G448" s="8" t="s">
        <v>944</v>
      </c>
      <c r="H448" s="8" t="s">
        <v>945</v>
      </c>
      <c r="I448" s="8" t="s">
        <v>272</v>
      </c>
      <c r="J448" s="16">
        <v>89460</v>
      </c>
      <c r="K448" s="2" t="s">
        <v>946</v>
      </c>
      <c r="L448" s="8" t="s">
        <v>947</v>
      </c>
      <c r="M448" s="8" t="s">
        <v>27</v>
      </c>
      <c r="N448" s="8" t="s">
        <v>948</v>
      </c>
      <c r="O448" s="8" t="s">
        <v>404</v>
      </c>
      <c r="P448" s="8" t="s">
        <v>405</v>
      </c>
      <c r="Q448" s="12" t="str">
        <f>HYPERLINK("http://www.mynews4.com/news/local/story/Douglas-County-Sheriffs-Office-releases-names-of/4wNW73lzxEuxndl3bbvVUw.cspx","http://www.mynews4.com/news/local/story/Douglas-County-Sheriffs-Office-releases-names-of/4wNW73lzxEuxndl3bbvVUw.cspx")</f>
        <v>http://www.mynews4.com/news/local/story/Douglas-County-Sheriffs-Office-releases-names-of/4wNW73lzxEuxndl3bbvVUw.cspx</v>
      </c>
      <c r="R448" s="8" t="s">
        <v>100</v>
      </c>
      <c r="S448" s="8" t="s">
        <v>28</v>
      </c>
      <c r="T448" s="8"/>
      <c r="U448" s="8"/>
      <c r="V448" s="8"/>
      <c r="W448" s="8"/>
      <c r="X448" s="8"/>
    </row>
    <row r="449" spans="1:46" ht="12" customHeight="1">
      <c r="A449" s="8" t="s">
        <v>932</v>
      </c>
      <c r="B449" s="16">
        <v>30</v>
      </c>
      <c r="C449" s="8" t="s">
        <v>20</v>
      </c>
      <c r="D449" s="8" t="s">
        <v>48</v>
      </c>
      <c r="E449" s="8"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449" s="17">
        <v>42216</v>
      </c>
      <c r="G449" s="8" t="s">
        <v>933</v>
      </c>
      <c r="H449" s="8" t="s">
        <v>934</v>
      </c>
      <c r="I449" s="8" t="s">
        <v>73</v>
      </c>
      <c r="J449" s="16">
        <v>76102</v>
      </c>
      <c r="K449" s="2" t="s">
        <v>74</v>
      </c>
      <c r="L449" s="8" t="s">
        <v>935</v>
      </c>
      <c r="M449" s="8" t="s">
        <v>27</v>
      </c>
      <c r="N449" s="8" t="s">
        <v>936</v>
      </c>
      <c r="O449" s="8" t="s">
        <v>404</v>
      </c>
      <c r="P449" s="8" t="s">
        <v>405</v>
      </c>
      <c r="Q449" s="12" t="str">
        <f>HYPERLINK("http://fox13now.com/2015/07/07/carjacking-suspect-in-custody-after-assaulting-woman-being-tased-having-heart-attack/","http://fox13now.com/2015/07/07/carjacking-suspect-in-custody-after-assaulting-woman-being-tased-having-heart-attack/")</f>
        <v>http://fox13now.com/2015/07/07/carjacking-suspect-in-custody-after-assaulting-woman-being-tased-having-heart-attack/</v>
      </c>
      <c r="R449" s="8" t="s">
        <v>100</v>
      </c>
      <c r="S449" s="8" t="s">
        <v>28</v>
      </c>
      <c r="T449" s="8"/>
      <c r="U449" s="8"/>
    </row>
    <row r="450" spans="1:46" ht="12" customHeight="1">
      <c r="A450" s="8" t="s">
        <v>928</v>
      </c>
      <c r="B450" s="16">
        <v>33</v>
      </c>
      <c r="C450" s="8" t="s">
        <v>20</v>
      </c>
      <c r="D450" s="8" t="s">
        <v>48</v>
      </c>
      <c r="E450" s="8" t="str">
        <f>HYPERLINK("http://www.killedbypolice.net/victims/150680.jpg","http://www.killedbypolice.net/victims/150680.jpg")</f>
        <v>http://www.killedbypolice.net/victims/150680.jpg</v>
      </c>
      <c r="F450" s="17">
        <v>42216</v>
      </c>
      <c r="G450" s="8" t="s">
        <v>929</v>
      </c>
      <c r="H450" s="8" t="s">
        <v>930</v>
      </c>
      <c r="I450" s="8" t="s">
        <v>198</v>
      </c>
      <c r="J450" s="16">
        <v>87102</v>
      </c>
      <c r="K450" s="2" t="s">
        <v>471</v>
      </c>
      <c r="L450" s="8" t="s">
        <v>5024</v>
      </c>
      <c r="M450" s="8" t="s">
        <v>27</v>
      </c>
      <c r="N450" s="8" t="s">
        <v>931</v>
      </c>
      <c r="O450" s="8" t="s">
        <v>404</v>
      </c>
      <c r="P450" s="8" t="s">
        <v>405</v>
      </c>
      <c r="Q450" s="12" t="str">
        <f>HYPERLINK("http://www.koat.com/news/police-ask-residents-to-avoid-garfield-at-edith/34474822","http://www.koat.com/news/police-ask-residents-to-avoid-garfield-at-edith/34474822")</f>
        <v>http://www.koat.com/news/police-ask-residents-to-avoid-garfield-at-edith/34474822</v>
      </c>
      <c r="R450" s="8" t="s">
        <v>100</v>
      </c>
      <c r="S450" s="8" t="s">
        <v>28</v>
      </c>
      <c r="T450" s="8"/>
      <c r="U450" s="8"/>
    </row>
    <row r="451" spans="1:46" ht="13.5" customHeight="1">
      <c r="A451" s="8" t="s">
        <v>949</v>
      </c>
      <c r="B451" s="16">
        <v>57</v>
      </c>
      <c r="C451" s="8" t="s">
        <v>20</v>
      </c>
      <c r="D451" s="8" t="s">
        <v>950</v>
      </c>
      <c r="E451" s="8" t="s">
        <v>951</v>
      </c>
      <c r="F451" s="17">
        <v>42215</v>
      </c>
      <c r="G451" s="8" t="s">
        <v>952</v>
      </c>
      <c r="H451" s="8" t="s">
        <v>953</v>
      </c>
      <c r="I451" s="8" t="s">
        <v>45</v>
      </c>
      <c r="J451" s="16">
        <v>94123</v>
      </c>
      <c r="K451" s="2" t="s">
        <v>953</v>
      </c>
      <c r="L451" s="8" t="s">
        <v>954</v>
      </c>
      <c r="M451" s="8" t="s">
        <v>2312</v>
      </c>
      <c r="N451" s="8" t="s">
        <v>955</v>
      </c>
      <c r="O451" s="8" t="s">
        <v>404</v>
      </c>
      <c r="P451" s="8" t="s">
        <v>405</v>
      </c>
      <c r="Q451" s="12" t="str">
        <f>HYPERLINK("http://www.sfgate.com/crime/article/Dead-body-probe-on-Lombard-Street-in-S-F-6414831.php","http://www.sfgate.com/crime/article/Dead-body-probe-on-Lombard-Street-in-S-F-6414831.php")</f>
        <v>http://www.sfgate.com/crime/article/Dead-body-probe-on-Lombard-Street-in-S-F-6414831.php</v>
      </c>
      <c r="R451" s="8" t="s">
        <v>100</v>
      </c>
      <c r="S451" s="8" t="s">
        <v>18</v>
      </c>
      <c r="T451" s="8"/>
      <c r="U451" s="8"/>
    </row>
    <row r="452" spans="1:46" ht="13.5" customHeight="1">
      <c r="A452" s="8" t="s">
        <v>961</v>
      </c>
      <c r="B452" s="16">
        <v>25</v>
      </c>
      <c r="C452" s="8" t="s">
        <v>20</v>
      </c>
      <c r="D452" s="8" t="s">
        <v>37</v>
      </c>
      <c r="E452" s="8" t="str">
        <f>HYPERLINK("http://www.killedbypolice.net/victims/150676.jpg","http://www.killedbypolice.net/victims/150676.jpg")</f>
        <v>http://www.killedbypolice.net/victims/150676.jpg</v>
      </c>
      <c r="F452" s="17">
        <v>42215</v>
      </c>
      <c r="G452" s="8" t="s">
        <v>962</v>
      </c>
      <c r="H452" s="8" t="s">
        <v>963</v>
      </c>
      <c r="I452" s="8" t="s">
        <v>45</v>
      </c>
      <c r="J452" s="16">
        <v>96067</v>
      </c>
      <c r="K452" s="2" t="s">
        <v>964</v>
      </c>
      <c r="L452" s="8" t="s">
        <v>965</v>
      </c>
      <c r="M452" s="8" t="s">
        <v>27</v>
      </c>
      <c r="N452" s="8" t="s">
        <v>966</v>
      </c>
      <c r="O452" s="8" t="s">
        <v>404</v>
      </c>
      <c r="P452" s="8" t="s">
        <v>405</v>
      </c>
      <c r="Q452" s="12" t="str">
        <f>HYPERLINK("http://www.siskiyoudaily.com/article/20150730/NEWS/150739965","http://www.siskiyoudaily.com/article/20150730/NEWS/150739965")</f>
        <v>http://www.siskiyoudaily.com/article/20150730/NEWS/150739965</v>
      </c>
      <c r="R452" s="8" t="s">
        <v>100</v>
      </c>
      <c r="S452" s="8" t="s">
        <v>28</v>
      </c>
      <c r="T452" s="8"/>
      <c r="U452" s="8"/>
    </row>
    <row r="453" spans="1:46" ht="13.5" customHeight="1">
      <c r="A453" s="8" t="s">
        <v>956</v>
      </c>
      <c r="B453" s="16">
        <v>38</v>
      </c>
      <c r="C453" s="8" t="s">
        <v>20</v>
      </c>
      <c r="D453" s="8" t="s">
        <v>48</v>
      </c>
      <c r="E453" s="8"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453" s="17">
        <v>42215</v>
      </c>
      <c r="G453" s="8" t="s">
        <v>957</v>
      </c>
      <c r="H453" s="8" t="s">
        <v>958</v>
      </c>
      <c r="I453" s="8" t="s">
        <v>46</v>
      </c>
      <c r="J453" s="16">
        <v>1610</v>
      </c>
      <c r="K453" s="2" t="s">
        <v>958</v>
      </c>
      <c r="L453" s="8" t="s">
        <v>959</v>
      </c>
      <c r="M453" s="8" t="s">
        <v>395</v>
      </c>
      <c r="N453" s="8" t="s">
        <v>1287</v>
      </c>
      <c r="O453" s="8" t="s">
        <v>404</v>
      </c>
      <c r="P453" s="8" t="s">
        <v>405</v>
      </c>
      <c r="Q453" s="12" t="str">
        <f>HYPERLINK("http://www.telegram.com/article/20150730/NEWS/307309660","http://www.telegram.com/article/20150730/NEWS/307309660")</f>
        <v>http://www.telegram.com/article/20150730/NEWS/307309660</v>
      </c>
      <c r="R453" s="8" t="s">
        <v>29</v>
      </c>
      <c r="S453" s="8" t="s">
        <v>18</v>
      </c>
      <c r="T453" s="8"/>
      <c r="U453" s="8"/>
      <c r="V453" s="8"/>
      <c r="W453" s="8"/>
      <c r="X453" s="8"/>
      <c r="Y453" s="8"/>
      <c r="Z453" s="8"/>
      <c r="AA453" s="8"/>
      <c r="AB453" s="8"/>
      <c r="AC453" s="8"/>
      <c r="AD453" s="8"/>
      <c r="AE453" s="8"/>
      <c r="AF453" s="8"/>
      <c r="AG453" s="8"/>
      <c r="AH453" s="8"/>
    </row>
    <row r="454" spans="1:46" ht="13.5" customHeight="1">
      <c r="A454" s="8" t="s">
        <v>967</v>
      </c>
      <c r="B454" s="16">
        <v>37</v>
      </c>
      <c r="C454" s="8" t="s">
        <v>20</v>
      </c>
      <c r="D454" s="8" t="s">
        <v>85</v>
      </c>
      <c r="E454" s="8" t="s">
        <v>968</v>
      </c>
      <c r="F454" s="17">
        <v>42214</v>
      </c>
      <c r="G454" s="8" t="s">
        <v>969</v>
      </c>
      <c r="H454" s="8" t="s">
        <v>192</v>
      </c>
      <c r="I454" s="8" t="s">
        <v>25</v>
      </c>
      <c r="J454" s="16">
        <v>70805</v>
      </c>
      <c r="K454" s="2" t="s">
        <v>970</v>
      </c>
      <c r="L454" s="8" t="s">
        <v>5704</v>
      </c>
      <c r="M454" s="8" t="s">
        <v>27</v>
      </c>
      <c r="N454" s="8" t="s">
        <v>19959</v>
      </c>
      <c r="O454" s="8" t="s">
        <v>404</v>
      </c>
      <c r="P454" s="8" t="s">
        <v>405</v>
      </c>
      <c r="Q454" s="12" t="s">
        <v>19960</v>
      </c>
      <c r="R454" s="8" t="s">
        <v>29</v>
      </c>
      <c r="S454" s="8" t="s">
        <v>28</v>
      </c>
      <c r="T454" s="8"/>
      <c r="U454" s="8"/>
      <c r="V454" s="8"/>
      <c r="W454" s="8"/>
      <c r="X454" s="8"/>
    </row>
    <row r="455" spans="1:46" ht="13.5" customHeight="1">
      <c r="A455" s="8" t="s">
        <v>977</v>
      </c>
      <c r="B455" s="16">
        <v>34</v>
      </c>
      <c r="C455" s="8" t="s">
        <v>20</v>
      </c>
      <c r="D455" s="8" t="s">
        <v>30</v>
      </c>
      <c r="E455" s="8" t="s">
        <v>20915</v>
      </c>
      <c r="F455" s="17">
        <v>42214</v>
      </c>
      <c r="G455" s="8" t="s">
        <v>978</v>
      </c>
      <c r="H455" s="8" t="s">
        <v>979</v>
      </c>
      <c r="I455" s="8" t="s">
        <v>198</v>
      </c>
      <c r="J455" s="16">
        <v>88005</v>
      </c>
      <c r="K455" s="2" t="s">
        <v>980</v>
      </c>
      <c r="L455" s="8" t="s">
        <v>981</v>
      </c>
      <c r="M455" s="8" t="s">
        <v>27</v>
      </c>
      <c r="N455" s="8" t="s">
        <v>982</v>
      </c>
      <c r="O455" s="8" t="s">
        <v>404</v>
      </c>
      <c r="P455" s="8" t="s">
        <v>405</v>
      </c>
      <c r="Q455" s="12" t="str">
        <f>HYPERLINK("http://www.lcsun-news.com/las_cruces-news/ci_28562671/officials-identify-man-shot-by-sheriffs-detective","http://www.lcsun-news.com/las_cruces-news/ci_28562671/officials-identify-man-shot-by-sheriffs-detective")</f>
        <v>http://www.lcsun-news.com/las_cruces-news/ci_28562671/officials-identify-man-shot-by-sheriffs-detective</v>
      </c>
      <c r="R455" s="8" t="s">
        <v>100</v>
      </c>
      <c r="S455" s="8" t="s">
        <v>28</v>
      </c>
      <c r="T455" s="8"/>
      <c r="U455" s="8"/>
      <c r="V455" s="8"/>
      <c r="W455" s="8"/>
      <c r="X455" s="8"/>
      <c r="Y455" s="8"/>
      <c r="Z455" s="8"/>
      <c r="AA455" s="8"/>
      <c r="AB455" s="8"/>
      <c r="AC455" s="8"/>
      <c r="AD455" s="8"/>
      <c r="AE455" s="8"/>
      <c r="AF455" s="8"/>
      <c r="AG455" s="8"/>
      <c r="AH455" s="8"/>
    </row>
    <row r="456" spans="1:46" ht="13.5" customHeight="1">
      <c r="A456" s="8" t="s">
        <v>973</v>
      </c>
      <c r="B456" s="16">
        <v>47</v>
      </c>
      <c r="C456" s="8" t="s">
        <v>20</v>
      </c>
      <c r="D456" s="8" t="s">
        <v>48</v>
      </c>
      <c r="F456" s="17">
        <v>42214</v>
      </c>
      <c r="G456" s="8" t="s">
        <v>974</v>
      </c>
      <c r="H456" s="8" t="s">
        <v>975</v>
      </c>
      <c r="I456" s="8" t="s">
        <v>45</v>
      </c>
      <c r="J456" s="16">
        <v>90606</v>
      </c>
      <c r="K456" s="2" t="s">
        <v>98</v>
      </c>
      <c r="L456" s="8" t="s">
        <v>5043</v>
      </c>
      <c r="M456" s="8" t="s">
        <v>27</v>
      </c>
      <c r="N456" s="8" t="s">
        <v>976</v>
      </c>
      <c r="O456" s="8" t="s">
        <v>404</v>
      </c>
      <c r="P456" s="8" t="s">
        <v>405</v>
      </c>
      <c r="Q456" s="12" t="str">
        <f>HYPERLINK("http://homicide.latimes.com/post/oscar-lotari-romero/","http://homicide.latimes.com/post/oscar-lotari-romero/")</f>
        <v>http://homicide.latimes.com/post/oscar-lotari-romero/</v>
      </c>
      <c r="R456" s="8" t="s">
        <v>972</v>
      </c>
      <c r="S456" s="8" t="s">
        <v>18</v>
      </c>
      <c r="T456" s="8"/>
      <c r="U456" s="8"/>
      <c r="V456" s="8"/>
      <c r="W456" s="8"/>
      <c r="X456" s="8"/>
    </row>
    <row r="457" spans="1:46" ht="13.5" customHeight="1">
      <c r="A457" s="8" t="s">
        <v>990</v>
      </c>
      <c r="B457" s="16">
        <v>23</v>
      </c>
      <c r="C457" s="8" t="s">
        <v>20</v>
      </c>
      <c r="D457" s="8" t="s">
        <v>37</v>
      </c>
      <c r="F457" s="17">
        <v>42213</v>
      </c>
      <c r="G457" s="8" t="s">
        <v>991</v>
      </c>
      <c r="H457" s="8" t="s">
        <v>992</v>
      </c>
      <c r="I457" s="8" t="s">
        <v>323</v>
      </c>
      <c r="J457" s="16">
        <v>37311</v>
      </c>
      <c r="K457" s="2" t="s">
        <v>993</v>
      </c>
      <c r="L457" s="8" t="s">
        <v>994</v>
      </c>
      <c r="M457" s="8" t="s">
        <v>27</v>
      </c>
      <c r="N457" s="8" t="s">
        <v>995</v>
      </c>
      <c r="P457" s="8" t="s">
        <v>405</v>
      </c>
      <c r="Q457" s="12" t="str">
        <f>HYPERLINK("http://www.timesfreepress.com/news/local/story/2015/jul/28/bradley-county-deputy-shoots-and-kills-man-her-home/316874/","http://www.timesfreepress.com/news/local/story/2015/jul/28/bradley-county-deputy-shoots-and-kills-man-her-home/316874/")</f>
        <v>http://www.timesfreepress.com/news/local/story/2015/jul/28/bradley-county-deputy-shoots-and-kills-man-her-home/316874/</v>
      </c>
      <c r="R457" s="8" t="s">
        <v>100</v>
      </c>
      <c r="S457" s="8" t="s">
        <v>18</v>
      </c>
      <c r="T457" s="8"/>
      <c r="U457" s="8"/>
      <c r="V457" s="8"/>
      <c r="W457" s="8"/>
      <c r="X457" s="8"/>
    </row>
    <row r="458" spans="1:46" ht="13.5" customHeight="1">
      <c r="A458" s="8" t="s">
        <v>996</v>
      </c>
      <c r="B458" s="16">
        <v>53</v>
      </c>
      <c r="C458" s="8" t="s">
        <v>20</v>
      </c>
      <c r="D458" s="8" t="s">
        <v>37</v>
      </c>
      <c r="E458" s="8"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458" s="17">
        <v>42213</v>
      </c>
      <c r="G458" s="8" t="s">
        <v>997</v>
      </c>
      <c r="H458" s="8" t="s">
        <v>998</v>
      </c>
      <c r="I458" s="8" t="s">
        <v>243</v>
      </c>
      <c r="J458" s="16">
        <v>84321</v>
      </c>
      <c r="K458" s="2" t="s">
        <v>999</v>
      </c>
      <c r="L458" s="8" t="s">
        <v>1000</v>
      </c>
      <c r="M458" s="8" t="s">
        <v>27</v>
      </c>
      <c r="N458" s="8" t="s">
        <v>1001</v>
      </c>
      <c r="O458" s="8" t="s">
        <v>404</v>
      </c>
      <c r="P458" s="8" t="s">
        <v>405</v>
      </c>
      <c r="Q458" s="12" t="str">
        <f>HYPERLINK("http://www.13newsnow.com/story/news/local/mycity/newport-news/2015/07/04/deadly-officer-involved-shooting-in-newport-news/29692873/","http://www.13newsnow.com/story/news/local/mycity/newport-news/2015/07/04/deadly-officer-involved-shooting-in-newport-news/29692873/")</f>
        <v>http://www.13newsnow.com/story/news/local/mycity/newport-news/2015/07/04/deadly-officer-involved-shooting-in-newport-news/29692873/</v>
      </c>
      <c r="R458" s="8" t="s">
        <v>559</v>
      </c>
      <c r="S458" s="8" t="s">
        <v>28</v>
      </c>
      <c r="T458" s="8"/>
      <c r="U458" s="8"/>
      <c r="AN458" s="8"/>
      <c r="AO458" s="8"/>
      <c r="AP458" s="8"/>
      <c r="AQ458" s="8"/>
      <c r="AR458" s="8"/>
      <c r="AS458" s="8"/>
      <c r="AT458" s="8"/>
    </row>
    <row r="459" spans="1:46" ht="13.5" customHeight="1">
      <c r="A459" s="8" t="s">
        <v>983</v>
      </c>
      <c r="B459" s="16">
        <v>41</v>
      </c>
      <c r="C459" s="8" t="s">
        <v>20</v>
      </c>
      <c r="D459" s="8" t="s">
        <v>37</v>
      </c>
      <c r="F459" s="17">
        <v>42213</v>
      </c>
      <c r="G459" s="8" t="s">
        <v>984</v>
      </c>
      <c r="H459" s="8" t="s">
        <v>985</v>
      </c>
      <c r="I459" s="8" t="s">
        <v>986</v>
      </c>
      <c r="J459" s="16">
        <v>72442</v>
      </c>
      <c r="K459" s="2" t="s">
        <v>987</v>
      </c>
      <c r="L459" s="8" t="s">
        <v>988</v>
      </c>
      <c r="M459" s="8" t="s">
        <v>27</v>
      </c>
      <c r="N459" s="8" t="s">
        <v>989</v>
      </c>
      <c r="O459" s="8" t="s">
        <v>404</v>
      </c>
      <c r="P459" s="8" t="s">
        <v>405</v>
      </c>
      <c r="Q459" s="12" t="str">
        <f>HYPERLINK("http://www.arkansasonline.com/news/2015/jul/29/one-dead-officer-involved-shooting-mississippi-cou/?f=news-arkansas","http://www.arkansasonline.com/news/2015/jul/29/one-dead-officer-involved-shooting-mississippi-cou/?f=news-arkansas")</f>
        <v>http://www.arkansasonline.com/news/2015/jul/29/one-dead-officer-involved-shooting-mississippi-cou/?f=news-arkansas</v>
      </c>
      <c r="R459" s="8" t="s">
        <v>29</v>
      </c>
      <c r="S459" s="8" t="s">
        <v>28</v>
      </c>
      <c r="T459" s="8"/>
      <c r="U459" s="8"/>
      <c r="AN459" s="8"/>
      <c r="AO459" s="8"/>
      <c r="AP459" s="8"/>
      <c r="AQ459" s="8"/>
      <c r="AR459" s="8"/>
      <c r="AS459" s="8"/>
      <c r="AT459" s="8"/>
    </row>
    <row r="460" spans="1:46" ht="13.5" customHeight="1">
      <c r="A460" s="8" t="s">
        <v>1007</v>
      </c>
      <c r="B460" s="16">
        <v>45</v>
      </c>
      <c r="C460" s="8" t="s">
        <v>20</v>
      </c>
      <c r="D460" s="8" t="s">
        <v>37</v>
      </c>
      <c r="E460" s="8" t="str">
        <f>HYPERLINK("http://bayoutimelive.com/wp-content/uploads/2013/04/Jean-P.-Falgout.jpg","http://bayoutimelive.com/wp-content/uploads/2013/04/Jean-P.-Falgout.jpg")</f>
        <v>http://bayoutimelive.com/wp-content/uploads/2013/04/Jean-P.-Falgout.jpg</v>
      </c>
      <c r="F460" s="17">
        <v>42212</v>
      </c>
      <c r="G460" s="8" t="s">
        <v>1008</v>
      </c>
      <c r="H460" s="8" t="s">
        <v>1009</v>
      </c>
      <c r="I460" s="8" t="s">
        <v>25</v>
      </c>
      <c r="J460" s="16">
        <v>70363</v>
      </c>
      <c r="K460" s="2" t="s">
        <v>1010</v>
      </c>
      <c r="L460" s="8" t="s">
        <v>1011</v>
      </c>
      <c r="M460" s="8" t="s">
        <v>27</v>
      </c>
      <c r="N460" s="8" t="s">
        <v>1012</v>
      </c>
      <c r="O460" s="8" t="s">
        <v>404</v>
      </c>
      <c r="P460" s="8" t="s">
        <v>405</v>
      </c>
      <c r="Q460" s="12" t="str">
        <f>HYPERLINK("http://www.houmatoday.com/article/20150728/ARTICLES/150729727/1319?p=1&amp;tc=pg","http://www.houmatoday.com/article/20150728/ARTICLES/150729727/1319?p=1&amp;tc=pg")</f>
        <v>http://www.houmatoday.com/article/20150728/ARTICLES/150729727/1319?p=1&amp;tc=pg</v>
      </c>
      <c r="R460" s="8" t="s">
        <v>100</v>
      </c>
      <c r="S460" s="8" t="s">
        <v>35</v>
      </c>
      <c r="T460" s="8"/>
      <c r="U460" s="8"/>
      <c r="AN460" s="8"/>
      <c r="AO460" s="8"/>
      <c r="AP460" s="8"/>
      <c r="AQ460" s="8"/>
      <c r="AR460" s="8"/>
      <c r="AS460" s="8"/>
      <c r="AT460" s="8"/>
    </row>
    <row r="461" spans="1:46" ht="13.5" customHeight="1">
      <c r="A461" s="8" t="s">
        <v>1002</v>
      </c>
      <c r="B461" s="16">
        <v>22</v>
      </c>
      <c r="C461" s="8" t="s">
        <v>20</v>
      </c>
      <c r="D461" s="8" t="s">
        <v>37</v>
      </c>
      <c r="E461" s="8" t="str">
        <f>HYPERLINK("http://images1.westword.com/imager/u/745xauto/6970529/sam.forgy.portrait.800.cropped.jpg","http://images1.westword.com/imager/u/745xauto/6970529/sam.forgy.portrait.800.cropped.jpg")</f>
        <v>http://images1.westword.com/imager/u/745xauto/6970529/sam.forgy.portrait.800.cropped.jpg</v>
      </c>
      <c r="F461" s="17">
        <v>42212</v>
      </c>
      <c r="G461" s="8" t="s">
        <v>1003</v>
      </c>
      <c r="H461" s="8" t="s">
        <v>1004</v>
      </c>
      <c r="I461" s="8" t="s">
        <v>212</v>
      </c>
      <c r="J461" s="16">
        <v>80302</v>
      </c>
      <c r="K461" s="2" t="s">
        <v>975</v>
      </c>
      <c r="L461" s="8" t="s">
        <v>1005</v>
      </c>
      <c r="M461" s="8" t="s">
        <v>27</v>
      </c>
      <c r="N461" s="8" t="s">
        <v>1006</v>
      </c>
      <c r="O461" s="8" t="s">
        <v>404</v>
      </c>
      <c r="P461" s="8" t="s">
        <v>405</v>
      </c>
      <c r="Q461" s="12"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461" s="8" t="s">
        <v>972</v>
      </c>
      <c r="S461" s="8" t="s">
        <v>28</v>
      </c>
      <c r="T461" s="8"/>
      <c r="U461" s="8"/>
      <c r="AN461" s="8"/>
      <c r="AO461" s="8"/>
      <c r="AP461" s="8"/>
      <c r="AQ461" s="8"/>
      <c r="AR461" s="8"/>
      <c r="AS461" s="8"/>
      <c r="AT461" s="8"/>
    </row>
    <row r="462" spans="1:46" ht="13.5" customHeight="1">
      <c r="A462" s="8" t="s">
        <v>1013</v>
      </c>
      <c r="B462" s="16">
        <v>56</v>
      </c>
      <c r="C462" s="8" t="s">
        <v>20</v>
      </c>
      <c r="D462" s="8" t="s">
        <v>37</v>
      </c>
      <c r="F462" s="17">
        <v>42212</v>
      </c>
      <c r="G462" s="8" t="s">
        <v>1014</v>
      </c>
      <c r="H462" s="8" t="s">
        <v>51</v>
      </c>
      <c r="I462" s="8" t="s">
        <v>32</v>
      </c>
      <c r="J462" s="16">
        <v>29212</v>
      </c>
      <c r="K462" s="2" t="s">
        <v>1015</v>
      </c>
      <c r="L462" s="8" t="s">
        <v>1016</v>
      </c>
      <c r="M462" s="8" t="s">
        <v>27</v>
      </c>
      <c r="N462" s="8" t="s">
        <v>1017</v>
      </c>
      <c r="O462" s="8" t="s">
        <v>1018</v>
      </c>
      <c r="P462" s="8" t="s">
        <v>405</v>
      </c>
      <c r="Q462" s="12" t="str">
        <f>HYPERLINK("http://www.wistv.com/story/29644189/sled-investigating-deputy-involved-shooting-in-lexington-county","http://www.wistv.com/story/29644189/sled-investigating-deputy-involved-shooting-in-lexington-county")</f>
        <v>http://www.wistv.com/story/29644189/sled-investigating-deputy-involved-shooting-in-lexington-county</v>
      </c>
      <c r="R462" s="8" t="s">
        <v>100</v>
      </c>
      <c r="S462" s="8" t="s">
        <v>28</v>
      </c>
      <c r="T462" s="8"/>
      <c r="U462" s="8"/>
      <c r="AN462" s="8"/>
      <c r="AO462" s="8"/>
      <c r="AP462" s="8"/>
      <c r="AQ462" s="8"/>
      <c r="AR462" s="8"/>
      <c r="AS462" s="8"/>
      <c r="AT462" s="8"/>
    </row>
    <row r="463" spans="1:46" ht="13.5" customHeight="1">
      <c r="A463" s="8" t="s">
        <v>1019</v>
      </c>
      <c r="B463" s="16">
        <v>33</v>
      </c>
      <c r="C463" s="8" t="s">
        <v>20</v>
      </c>
      <c r="D463" s="8" t="s">
        <v>85</v>
      </c>
      <c r="E463" s="8" t="s">
        <v>1020</v>
      </c>
      <c r="F463" s="17">
        <v>42211</v>
      </c>
      <c r="G463" s="8" t="s">
        <v>1021</v>
      </c>
      <c r="H463" s="8" t="s">
        <v>463</v>
      </c>
      <c r="I463" s="8" t="s">
        <v>25</v>
      </c>
      <c r="J463" s="16">
        <v>71109</v>
      </c>
      <c r="K463" s="2" t="s">
        <v>1022</v>
      </c>
      <c r="L463" s="8" t="s">
        <v>464</v>
      </c>
      <c r="M463" s="8" t="s">
        <v>27</v>
      </c>
      <c r="N463" s="8" t="s">
        <v>1023</v>
      </c>
      <c r="O463" s="8" t="s">
        <v>404</v>
      </c>
      <c r="P463" s="8" t="s">
        <v>405</v>
      </c>
      <c r="Q463" s="12"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463" s="8" t="s">
        <v>100</v>
      </c>
      <c r="S463" s="8" t="s">
        <v>28</v>
      </c>
      <c r="T463" s="8"/>
      <c r="U463" s="8"/>
    </row>
    <row r="464" spans="1:46" ht="13.5" customHeight="1">
      <c r="A464" s="8" t="s">
        <v>1024</v>
      </c>
      <c r="B464" s="16">
        <v>19</v>
      </c>
      <c r="C464" s="8" t="s">
        <v>20</v>
      </c>
      <c r="D464" s="8" t="s">
        <v>37</v>
      </c>
      <c r="E464" s="8" t="str">
        <f>HYPERLINK("http://www.independent.co.uk/incoming/article10446695.ece/alternates/w620/Zach-hammond.jpg","http://www.independent.co.uk/incoming/article10446695.ece/alternates/w620/Zach-hammond.jpg")</f>
        <v>http://www.independent.co.uk/incoming/article10446695.ece/alternates/w620/Zach-hammond.jpg</v>
      </c>
      <c r="F464" s="17">
        <v>42211</v>
      </c>
      <c r="G464" s="8" t="s">
        <v>1025</v>
      </c>
      <c r="H464" s="8" t="s">
        <v>1026</v>
      </c>
      <c r="I464" s="8" t="s">
        <v>32</v>
      </c>
      <c r="J464" s="16">
        <v>29678</v>
      </c>
      <c r="K464" s="2" t="s">
        <v>1027</v>
      </c>
      <c r="L464" s="8" t="s">
        <v>1028</v>
      </c>
      <c r="M464" s="8" t="s">
        <v>27</v>
      </c>
      <c r="N464" s="8" t="s">
        <v>1029</v>
      </c>
      <c r="O464" s="8" t="s">
        <v>404</v>
      </c>
      <c r="P464" s="8" t="s">
        <v>405</v>
      </c>
      <c r="Q464" s="12" t="str">
        <f>HYPERLINK("http://www.independentmail.com/news/man-killed-by-seneca-police-officer","http://www.independentmail.com/news/man-killed-by-seneca-police-officer")</f>
        <v>http://www.independentmail.com/news/man-killed-by-seneca-police-officer</v>
      </c>
      <c r="R464" s="8" t="s">
        <v>100</v>
      </c>
      <c r="S464" s="8" t="s">
        <v>383</v>
      </c>
      <c r="T464" s="8"/>
      <c r="U464" s="8"/>
      <c r="AN464" s="8"/>
      <c r="AO464" s="8"/>
      <c r="AP464" s="8"/>
      <c r="AQ464" s="8"/>
      <c r="AR464" s="8"/>
      <c r="AS464" s="8"/>
      <c r="AT464" s="8"/>
    </row>
    <row r="465" spans="1:46" ht="13.5" customHeight="1">
      <c r="A465" s="8" t="s">
        <v>1036</v>
      </c>
      <c r="B465" s="16">
        <v>36</v>
      </c>
      <c r="C465" s="8" t="s">
        <v>20</v>
      </c>
      <c r="D465" s="8" t="s">
        <v>85</v>
      </c>
      <c r="E465" s="8" t="s">
        <v>1037</v>
      </c>
      <c r="F465" s="17">
        <v>42210</v>
      </c>
      <c r="G465" s="8" t="s">
        <v>1038</v>
      </c>
      <c r="H465" s="8" t="s">
        <v>661</v>
      </c>
      <c r="I465" s="8" t="s">
        <v>272</v>
      </c>
      <c r="J465" s="16">
        <v>89104</v>
      </c>
      <c r="K465" s="2" t="s">
        <v>574</v>
      </c>
      <c r="L465" s="8" t="s">
        <v>575</v>
      </c>
      <c r="M465" s="8" t="s">
        <v>27</v>
      </c>
      <c r="N465" s="8" t="s">
        <v>1039</v>
      </c>
      <c r="O465" s="8" t="s">
        <v>404</v>
      </c>
      <c r="P465" s="8" t="s">
        <v>405</v>
      </c>
      <c r="Q465" s="12" t="str">
        <f>HYPERLINK("http://www.reviewjournal.com/news/las-vegas/metro-officer-wounded-suspect-shot-death","http://www.reviewjournal.com/news/las-vegas/metro-officer-wounded-suspect-shot-death")</f>
        <v>http://www.reviewjournal.com/news/las-vegas/metro-officer-wounded-suspect-shot-death</v>
      </c>
      <c r="R465" s="8" t="s">
        <v>100</v>
      </c>
      <c r="S465" s="8" t="s">
        <v>18</v>
      </c>
      <c r="T465" s="8"/>
      <c r="U465" s="8"/>
    </row>
    <row r="466" spans="1:46" ht="13.5" customHeight="1">
      <c r="A466" s="8" t="s">
        <v>1046</v>
      </c>
      <c r="B466" s="16">
        <v>60</v>
      </c>
      <c r="C466" s="8" t="s">
        <v>20</v>
      </c>
      <c r="D466" s="8" t="s">
        <v>37</v>
      </c>
      <c r="F466" s="17">
        <v>42210</v>
      </c>
      <c r="G466" s="8" t="s">
        <v>1047</v>
      </c>
      <c r="H466" s="8" t="s">
        <v>1048</v>
      </c>
      <c r="I466" s="8" t="s">
        <v>25</v>
      </c>
      <c r="J466" s="16">
        <v>70117</v>
      </c>
      <c r="K466" s="2" t="s">
        <v>1049</v>
      </c>
      <c r="L466" s="8" t="s">
        <v>1050</v>
      </c>
      <c r="M466" s="8" t="s">
        <v>27</v>
      </c>
      <c r="N466" s="8" t="s">
        <v>1051</v>
      </c>
      <c r="O466" s="8" t="s">
        <v>404</v>
      </c>
      <c r="P466" s="8" t="s">
        <v>405</v>
      </c>
      <c r="Q466" s="12" t="str">
        <f>HYPERLINK("http://www.nola.com/crime/index.ssf/2015/07/breaking_new_orleans_police_sh.html#incart_river","http://www.nola.com/crime/index.ssf/2015/07/breaking_new_orleans_police_sh.html#incart_river")</f>
        <v>http://www.nola.com/crime/index.ssf/2015/07/breaking_new_orleans_police_sh.html#incart_river</v>
      </c>
      <c r="R466" s="8" t="s">
        <v>100</v>
      </c>
      <c r="S466" s="8" t="s">
        <v>18</v>
      </c>
      <c r="T466" s="8"/>
      <c r="U466" s="8"/>
      <c r="AN466" s="8"/>
      <c r="AO466" s="8"/>
      <c r="AP466" s="8"/>
      <c r="AQ466" s="8"/>
      <c r="AR466" s="8"/>
      <c r="AS466" s="8"/>
      <c r="AT466" s="8"/>
    </row>
    <row r="467" spans="1:46" ht="13.5" customHeight="1">
      <c r="A467" s="8" t="s">
        <v>1030</v>
      </c>
      <c r="B467" s="16">
        <v>59</v>
      </c>
      <c r="C467" s="8" t="s">
        <v>20</v>
      </c>
      <c r="D467" s="8" t="s">
        <v>85</v>
      </c>
      <c r="F467" s="17">
        <v>42210</v>
      </c>
      <c r="G467" s="8" t="s">
        <v>1031</v>
      </c>
      <c r="H467" s="8" t="s">
        <v>1032</v>
      </c>
      <c r="I467" s="8" t="s">
        <v>62</v>
      </c>
      <c r="J467" s="16">
        <v>32667</v>
      </c>
      <c r="K467" s="2" t="s">
        <v>1033</v>
      </c>
      <c r="L467" s="8" t="s">
        <v>1034</v>
      </c>
      <c r="M467" s="8" t="s">
        <v>27</v>
      </c>
      <c r="N467" s="8" t="s">
        <v>1035</v>
      </c>
      <c r="O467" s="8" t="s">
        <v>404</v>
      </c>
      <c r="P467" s="8" t="s">
        <v>405</v>
      </c>
      <c r="Q467" s="12" t="str">
        <f>HYPERLINK("http://www.miamiherald.com/news/local/crime/article28915918.html","http://www.miamiherald.com/news/local/crime/article28915918.html")</f>
        <v>http://www.miamiherald.com/news/local/crime/article28915918.html</v>
      </c>
      <c r="R467" s="8" t="s">
        <v>100</v>
      </c>
      <c r="S467" s="8" t="s">
        <v>28</v>
      </c>
      <c r="T467" s="8"/>
      <c r="U467" s="8"/>
      <c r="V467" s="8"/>
      <c r="W467" s="8"/>
      <c r="X467" s="8"/>
    </row>
    <row r="468" spans="1:46" ht="13.5" customHeight="1">
      <c r="A468" s="8" t="s">
        <v>1040</v>
      </c>
      <c r="B468" s="16">
        <v>50</v>
      </c>
      <c r="C468" s="8" t="s">
        <v>20</v>
      </c>
      <c r="D468" s="8" t="s">
        <v>37</v>
      </c>
      <c r="F468" s="17">
        <v>42210</v>
      </c>
      <c r="G468" s="8" t="s">
        <v>1041</v>
      </c>
      <c r="H468" s="8" t="s">
        <v>1042</v>
      </c>
      <c r="I468" s="8" t="s">
        <v>175</v>
      </c>
      <c r="J468" s="16">
        <v>39825</v>
      </c>
      <c r="K468" s="2" t="s">
        <v>1043</v>
      </c>
      <c r="L468" s="8" t="s">
        <v>1044</v>
      </c>
      <c r="M468" s="8" t="s">
        <v>27</v>
      </c>
      <c r="N468" s="8" t="s">
        <v>1045</v>
      </c>
      <c r="O468" s="8" t="s">
        <v>404</v>
      </c>
      <c r="P468" s="8" t="s">
        <v>405</v>
      </c>
      <c r="Q468" s="12" t="str">
        <f>HYPERLINK("http://www.walb.com/story/29631891/1-dead-after-officer-involved-shooting-in-decatur-co","http://www.walb.com/story/29631891/1-dead-after-officer-involved-shooting-in-decatur-co")</f>
        <v>http://www.walb.com/story/29631891/1-dead-after-officer-involved-shooting-in-decatur-co</v>
      </c>
      <c r="R468" s="8" t="s">
        <v>559</v>
      </c>
      <c r="S468" s="8" t="s">
        <v>28</v>
      </c>
      <c r="T468" s="8"/>
      <c r="U468" s="8"/>
      <c r="AN468" s="8"/>
      <c r="AO468" s="8"/>
      <c r="AP468" s="8"/>
      <c r="AQ468" s="8"/>
      <c r="AR468" s="8"/>
      <c r="AS468" s="8"/>
      <c r="AT468" s="8"/>
    </row>
    <row r="469" spans="1:46" ht="13.5" customHeight="1">
      <c r="A469" s="8" t="s">
        <v>1052</v>
      </c>
      <c r="B469" s="16">
        <v>30</v>
      </c>
      <c r="C469" s="8" t="s">
        <v>20</v>
      </c>
      <c r="D469" s="8" t="s">
        <v>30</v>
      </c>
      <c r="F469" s="17">
        <v>42209</v>
      </c>
      <c r="G469" s="8" t="s">
        <v>1053</v>
      </c>
      <c r="H469" s="8" t="s">
        <v>1054</v>
      </c>
      <c r="I469" s="8" t="s">
        <v>370</v>
      </c>
      <c r="J469" s="16">
        <v>27043</v>
      </c>
      <c r="K469" s="2" t="s">
        <v>1055</v>
      </c>
      <c r="L469" s="8" t="s">
        <v>1056</v>
      </c>
      <c r="M469" s="8" t="s">
        <v>27</v>
      </c>
      <c r="N469" s="8" t="s">
        <v>1292</v>
      </c>
      <c r="O469" s="8" t="s">
        <v>1018</v>
      </c>
      <c r="P469" s="8" t="s">
        <v>405</v>
      </c>
      <c r="Q469" s="12" t="str">
        <f>HYPERLINK("http://www.wxii12.com/news/stabbing-standoff-reported-in-stokes-co/34345684","http://www.wxii12.com/news/stabbing-standoff-reported-in-stokes-co/34345684")</f>
        <v>http://www.wxii12.com/news/stabbing-standoff-reported-in-stokes-co/34345684</v>
      </c>
      <c r="R469" s="8" t="s">
        <v>100</v>
      </c>
      <c r="S469" s="8" t="s">
        <v>28</v>
      </c>
      <c r="T469" s="8"/>
      <c r="U469" s="8"/>
      <c r="V469" s="8"/>
      <c r="W469" s="8"/>
      <c r="X469" s="8"/>
    </row>
    <row r="470" spans="1:46" ht="13.5" customHeight="1">
      <c r="A470" s="8" t="s">
        <v>1058</v>
      </c>
      <c r="B470" s="16">
        <v>44</v>
      </c>
      <c r="C470" s="8" t="s">
        <v>20</v>
      </c>
      <c r="D470" s="8" t="s">
        <v>37</v>
      </c>
      <c r="E470" s="8" t="str">
        <f>HYPERLINK("http://cdn.abclocal.go.com/content/kabc/images/cms/889902_1280x720.jpg","http://cdn.abclocal.go.com/content/kabc/images/cms/889902_1280x720.jpg")</f>
        <v>http://cdn.abclocal.go.com/content/kabc/images/cms/889902_1280x720.jpg</v>
      </c>
      <c r="F470" s="17">
        <v>42209</v>
      </c>
      <c r="G470" s="8" t="s">
        <v>1059</v>
      </c>
      <c r="H470" s="8" t="s">
        <v>1060</v>
      </c>
      <c r="I470" s="8" t="s">
        <v>45</v>
      </c>
      <c r="J470" s="16">
        <v>91604</v>
      </c>
      <c r="K470" s="2" t="s">
        <v>98</v>
      </c>
      <c r="L470" s="8" t="s">
        <v>99</v>
      </c>
      <c r="M470" s="8" t="s">
        <v>27</v>
      </c>
      <c r="N470" s="8" t="s">
        <v>1061</v>
      </c>
      <c r="O470" s="8" t="s">
        <v>404</v>
      </c>
      <c r="P470" s="8" t="s">
        <v>405</v>
      </c>
      <c r="Q470" s="12"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470" s="8" t="s">
        <v>29</v>
      </c>
      <c r="S470" s="8" t="s">
        <v>28</v>
      </c>
      <c r="T470" s="8"/>
      <c r="U470" s="8"/>
      <c r="AN470" s="8"/>
      <c r="AO470" s="8"/>
      <c r="AP470" s="8"/>
      <c r="AQ470" s="8"/>
      <c r="AR470" s="8"/>
      <c r="AS470" s="8"/>
      <c r="AT470" s="8"/>
    </row>
    <row r="471" spans="1:46" ht="13.5" customHeight="1">
      <c r="A471" s="8" t="s">
        <v>1084</v>
      </c>
      <c r="B471" s="16">
        <v>32</v>
      </c>
      <c r="C471" s="8" t="s">
        <v>20</v>
      </c>
      <c r="D471" s="8" t="s">
        <v>37</v>
      </c>
      <c r="F471" s="17">
        <v>42208</v>
      </c>
      <c r="G471" s="8" t="s">
        <v>1085</v>
      </c>
      <c r="H471" s="8" t="s">
        <v>1086</v>
      </c>
      <c r="I471" s="8" t="s">
        <v>32</v>
      </c>
      <c r="J471" s="16">
        <v>29579</v>
      </c>
      <c r="K471" s="2" t="s">
        <v>1087</v>
      </c>
      <c r="L471" s="8" t="s">
        <v>1088</v>
      </c>
      <c r="M471" s="8" t="s">
        <v>27</v>
      </c>
      <c r="N471" s="8" t="s">
        <v>1089</v>
      </c>
      <c r="O471" s="8" t="s">
        <v>404</v>
      </c>
      <c r="P471" s="8" t="s">
        <v>405</v>
      </c>
      <c r="Q471" s="12" t="str">
        <f>HYPERLINK("http://www.carolinalive.com/news/story.aspx?id=1234584#.VdshGfZVikr","http://www.carolinalive.com/news/story.aspx?id=1234584#.VdshGfZVikr")</f>
        <v>http://www.carolinalive.com/news/story.aspx?id=1234584#.VdshGfZVikr</v>
      </c>
      <c r="R471" s="8" t="s">
        <v>100</v>
      </c>
      <c r="S471" s="8" t="s">
        <v>28</v>
      </c>
      <c r="T471" s="8"/>
      <c r="U471" s="8"/>
      <c r="AN471" s="8"/>
      <c r="AO471" s="8"/>
      <c r="AP471" s="8"/>
      <c r="AQ471" s="8"/>
      <c r="AR471" s="8"/>
      <c r="AS471" s="8"/>
      <c r="AT471" s="8"/>
    </row>
    <row r="472" spans="1:46" ht="13.5" customHeight="1">
      <c r="A472" s="8" t="s">
        <v>1078</v>
      </c>
      <c r="B472" s="16">
        <v>31</v>
      </c>
      <c r="C472" s="8" t="s">
        <v>20</v>
      </c>
      <c r="D472" s="8" t="s">
        <v>37</v>
      </c>
      <c r="F472" s="17">
        <v>42208</v>
      </c>
      <c r="G472" s="8" t="s">
        <v>1079</v>
      </c>
      <c r="H472" s="8" t="s">
        <v>1080</v>
      </c>
      <c r="I472" s="8" t="s">
        <v>135</v>
      </c>
      <c r="J472" s="16">
        <v>55447</v>
      </c>
      <c r="K472" s="2" t="s">
        <v>1081</v>
      </c>
      <c r="L472" s="8" t="s">
        <v>1082</v>
      </c>
      <c r="M472" s="8" t="s">
        <v>27</v>
      </c>
      <c r="N472" s="8" t="s">
        <v>1124</v>
      </c>
      <c r="O472" s="8" t="s">
        <v>404</v>
      </c>
      <c r="P472" s="8" t="s">
        <v>405</v>
      </c>
      <c r="Q472" s="12" t="str">
        <f>HYPERLINK("http://www.startribune.com/officer-involved-shooting-at-plymouth-arby-s-leaves-one-man-dead/318383701/","http://www.startribune.com/officer-involved-shooting-at-plymouth-arby-s-leaves-one-man-dead/318383701/")</f>
        <v>http://www.startribune.com/officer-involved-shooting-at-plymouth-arby-s-leaves-one-man-dead/318383701/</v>
      </c>
      <c r="R472" s="8" t="s">
        <v>29</v>
      </c>
      <c r="S472" s="8" t="s">
        <v>18</v>
      </c>
      <c r="T472" s="8"/>
      <c r="U472" s="8"/>
      <c r="V472" s="8"/>
      <c r="W472" s="8"/>
      <c r="X472" s="8"/>
    </row>
    <row r="473" spans="1:46" ht="13.5" customHeight="1">
      <c r="A473" s="8" t="s">
        <v>1062</v>
      </c>
      <c r="B473" s="16">
        <v>34</v>
      </c>
      <c r="C473" s="8" t="s">
        <v>20</v>
      </c>
      <c r="D473" s="8" t="s">
        <v>85</v>
      </c>
      <c r="F473" s="17">
        <v>42208</v>
      </c>
      <c r="G473" s="8" t="s">
        <v>1063</v>
      </c>
      <c r="H473" s="8" t="s">
        <v>1064</v>
      </c>
      <c r="I473" s="8" t="s">
        <v>69</v>
      </c>
      <c r="J473" s="16">
        <v>45405</v>
      </c>
      <c r="K473" s="2" t="s">
        <v>1065</v>
      </c>
      <c r="L473" s="8" t="s">
        <v>19946</v>
      </c>
      <c r="M473" s="8" t="s">
        <v>27</v>
      </c>
      <c r="N473" s="8" t="s">
        <v>1066</v>
      </c>
      <c r="O473" s="8" t="s">
        <v>404</v>
      </c>
      <c r="P473" s="8" t="s">
        <v>405</v>
      </c>
      <c r="Q473" s="12" t="str">
        <f>HYPERLINK("http://www.wcpo.com/news/region-north-cincinnati/report-man-killed-in-deputy-involved-shooting-in-montgomery-county","http://www.wcpo.com/news/region-north-cincinnati/report-man-killed-in-deputy-involved-shooting-in-montgomery-county")</f>
        <v>http://www.wcpo.com/news/region-north-cincinnati/report-man-killed-in-deputy-involved-shooting-in-montgomery-county</v>
      </c>
      <c r="R473" s="8" t="s">
        <v>100</v>
      </c>
      <c r="S473" s="8" t="s">
        <v>28</v>
      </c>
      <c r="T473" s="8"/>
      <c r="U473" s="8"/>
    </row>
    <row r="474" spans="1:46" ht="13.5" customHeight="1">
      <c r="A474" s="8" t="s">
        <v>1090</v>
      </c>
      <c r="B474" s="16">
        <v>47</v>
      </c>
      <c r="C474" s="8" t="s">
        <v>20</v>
      </c>
      <c r="D474" s="8" t="s">
        <v>37</v>
      </c>
      <c r="F474" s="17">
        <v>42208</v>
      </c>
      <c r="G474" s="8" t="s">
        <v>1091</v>
      </c>
      <c r="H474" s="8" t="s">
        <v>946</v>
      </c>
      <c r="I474" s="8" t="s">
        <v>1092</v>
      </c>
      <c r="J474" s="16">
        <v>82633</v>
      </c>
      <c r="K474" s="2" t="s">
        <v>1093</v>
      </c>
      <c r="L474" s="8" t="s">
        <v>1094</v>
      </c>
      <c r="M474" s="8" t="s">
        <v>27</v>
      </c>
      <c r="N474" s="8" t="s">
        <v>1095</v>
      </c>
      <c r="O474" s="8" t="s">
        <v>404</v>
      </c>
      <c r="P474" s="8" t="s">
        <v>405</v>
      </c>
      <c r="Q474" s="12" t="str">
        <f>HYPERLINK("http://www.wyff4.com/news/police-man-killed-after-shootout-with-officers/33901040","http://www.wyff4.com/news/police-man-killed-after-shootout-with-officers/33901040")</f>
        <v>http://www.wyff4.com/news/police-man-killed-after-shootout-with-officers/33901040</v>
      </c>
      <c r="R474" s="8" t="s">
        <v>100</v>
      </c>
      <c r="S474" s="8" t="s">
        <v>35</v>
      </c>
      <c r="T474" s="8"/>
      <c r="U474" s="8"/>
      <c r="AN474" s="8"/>
      <c r="AO474" s="8"/>
      <c r="AP474" s="8"/>
      <c r="AQ474" s="8"/>
      <c r="AR474" s="8"/>
      <c r="AS474" s="8"/>
      <c r="AT474" s="8"/>
    </row>
    <row r="475" spans="1:46" ht="13.5" customHeight="1">
      <c r="A475" s="8" t="s">
        <v>1067</v>
      </c>
      <c r="B475" s="16">
        <v>55</v>
      </c>
      <c r="C475" s="8" t="s">
        <v>20</v>
      </c>
      <c r="D475" s="8" t="s">
        <v>37</v>
      </c>
      <c r="E475" s="8" t="str">
        <f>HYPERLINK("http://www.killedbypolice.net/victims/2664.jpg","http://www.killedbypolice.net/victims/2664.jpg")</f>
        <v>http://www.killedbypolice.net/victims/2664.jpg</v>
      </c>
      <c r="F475" s="17">
        <v>42208</v>
      </c>
      <c r="G475" s="8" t="s">
        <v>1068</v>
      </c>
      <c r="H475" s="8" t="s">
        <v>1069</v>
      </c>
      <c r="I475" s="8" t="s">
        <v>62</v>
      </c>
      <c r="J475" s="16">
        <v>32819</v>
      </c>
      <c r="K475" s="2" t="s">
        <v>1070</v>
      </c>
      <c r="L475" s="8" t="s">
        <v>1071</v>
      </c>
      <c r="M475" s="8" t="s">
        <v>383</v>
      </c>
      <c r="P475" s="8" t="s">
        <v>405</v>
      </c>
      <c r="Q475" s="12" t="str">
        <f>HYPERLINK("http://www.wesh.com/news/bicyclist-struck-by-police-cruiser-has-died/34321568","http://www.wesh.com/news/bicyclist-struck-by-police-cruiser-has-died/34321568")</f>
        <v>http://www.wesh.com/news/bicyclist-struck-by-police-cruiser-has-died/34321568</v>
      </c>
      <c r="S475" s="8" t="s">
        <v>18</v>
      </c>
      <c r="T475" s="8"/>
      <c r="U475" s="8"/>
      <c r="AN475" s="13"/>
      <c r="AO475" s="13"/>
      <c r="AP475" s="13"/>
      <c r="AQ475" s="13"/>
      <c r="AR475" s="13"/>
      <c r="AS475" s="13"/>
      <c r="AT475" s="13"/>
    </row>
    <row r="476" spans="1:46" ht="13.5" customHeight="1">
      <c r="A476" s="8" t="s">
        <v>1072</v>
      </c>
      <c r="B476" s="16">
        <v>44</v>
      </c>
      <c r="C476" s="8" t="s">
        <v>115</v>
      </c>
      <c r="D476" s="8" t="s">
        <v>37</v>
      </c>
      <c r="F476" s="17">
        <v>42208</v>
      </c>
      <c r="G476" s="8" t="s">
        <v>1073</v>
      </c>
      <c r="H476" s="8" t="s">
        <v>1074</v>
      </c>
      <c r="I476" s="8" t="s">
        <v>45</v>
      </c>
      <c r="J476" s="16">
        <v>95722</v>
      </c>
      <c r="K476" s="2" t="s">
        <v>1075</v>
      </c>
      <c r="L476" s="8" t="s">
        <v>1076</v>
      </c>
      <c r="M476" s="8" t="s">
        <v>27</v>
      </c>
      <c r="N476" s="8" t="s">
        <v>1077</v>
      </c>
      <c r="O476" s="8" t="s">
        <v>404</v>
      </c>
      <c r="P476" s="8" t="s">
        <v>405</v>
      </c>
      <c r="Q476" s="12" t="str">
        <f>HYPERLINK("http://www.sacbee.com/news/local/crime/article28452859.html","http://www.sacbee.com/news/local/crime/article28452859.html")</f>
        <v>http://www.sacbee.com/news/local/crime/article28452859.html</v>
      </c>
      <c r="R476" s="8" t="s">
        <v>559</v>
      </c>
      <c r="S476" s="8" t="s">
        <v>28</v>
      </c>
      <c r="T476" s="8"/>
      <c r="U476" s="8"/>
      <c r="AN476" s="8"/>
      <c r="AO476" s="8"/>
      <c r="AP476" s="8"/>
      <c r="AQ476" s="8"/>
      <c r="AR476" s="8"/>
      <c r="AS476" s="8"/>
      <c r="AT476" s="8"/>
    </row>
    <row r="477" spans="1:46" ht="13.5" customHeight="1">
      <c r="A477" s="8" t="s">
        <v>1102</v>
      </c>
      <c r="B477" s="16">
        <v>26</v>
      </c>
      <c r="C477" s="8" t="s">
        <v>20</v>
      </c>
      <c r="D477" s="8" t="s">
        <v>85</v>
      </c>
      <c r="F477" s="17">
        <v>42207</v>
      </c>
      <c r="G477" s="8" t="s">
        <v>1103</v>
      </c>
      <c r="H477" s="8" t="s">
        <v>1104</v>
      </c>
      <c r="I477" s="8" t="s">
        <v>399</v>
      </c>
      <c r="J477" s="16">
        <v>73111</v>
      </c>
      <c r="K477" s="2" t="s">
        <v>1105</v>
      </c>
      <c r="L477" s="8" t="s">
        <v>1106</v>
      </c>
      <c r="M477" s="8" t="s">
        <v>27</v>
      </c>
      <c r="N477" s="8" t="s">
        <v>1107</v>
      </c>
      <c r="O477" s="8" t="s">
        <v>404</v>
      </c>
      <c r="P477" s="8" t="s">
        <v>405</v>
      </c>
      <c r="Q477" s="12"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477" s="8" t="s">
        <v>100</v>
      </c>
      <c r="S477" s="8" t="s">
        <v>28</v>
      </c>
      <c r="T477" s="8"/>
      <c r="U477" s="8"/>
    </row>
    <row r="478" spans="1:46" ht="13.5" customHeight="1">
      <c r="A478" s="8" t="s">
        <v>1108</v>
      </c>
      <c r="B478" s="16">
        <v>26</v>
      </c>
      <c r="C478" s="8" t="s">
        <v>20</v>
      </c>
      <c r="D478" s="8" t="s">
        <v>85</v>
      </c>
      <c r="F478" s="17">
        <v>42207</v>
      </c>
      <c r="G478" s="8" t="s">
        <v>1109</v>
      </c>
      <c r="H478" s="8" t="s">
        <v>1110</v>
      </c>
      <c r="I478" s="8" t="s">
        <v>408</v>
      </c>
      <c r="J478" s="16">
        <v>19154</v>
      </c>
      <c r="K478" s="2" t="s">
        <v>1110</v>
      </c>
      <c r="L478" s="8" t="s">
        <v>1111</v>
      </c>
      <c r="M478" s="8" t="s">
        <v>27</v>
      </c>
      <c r="N478" s="8" t="s">
        <v>1112</v>
      </c>
      <c r="O478" s="8" t="s">
        <v>1018</v>
      </c>
      <c r="P478" s="8" t="s">
        <v>405</v>
      </c>
      <c r="Q478" s="12"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478" s="8" t="s">
        <v>100</v>
      </c>
      <c r="S478" s="8" t="s">
        <v>28</v>
      </c>
      <c r="T478" s="8"/>
      <c r="U478" s="8"/>
      <c r="AI478" s="8"/>
      <c r="AJ478" s="8"/>
      <c r="AK478" s="8"/>
      <c r="AL478" s="8"/>
      <c r="AM478" s="8"/>
    </row>
    <row r="479" spans="1:46" ht="13.5" customHeight="1">
      <c r="A479" s="8" t="s">
        <v>1119</v>
      </c>
      <c r="B479" s="16">
        <v>20</v>
      </c>
      <c r="C479" s="8" t="s">
        <v>20</v>
      </c>
      <c r="D479" s="8" t="s">
        <v>37</v>
      </c>
      <c r="E479" s="8" t="str">
        <f>HYPERLINK("http://www.killedbypolice.net/victims/150651.jpg","http://www.killedbypolice.net/victims/150651.jpg")</f>
        <v>http://www.killedbypolice.net/victims/150651.jpg</v>
      </c>
      <c r="F479" s="17">
        <v>42207</v>
      </c>
      <c r="G479" s="8" t="s">
        <v>1120</v>
      </c>
      <c r="H479" s="8" t="s">
        <v>1121</v>
      </c>
      <c r="I479" s="8" t="s">
        <v>57</v>
      </c>
      <c r="J479" s="16">
        <v>48066</v>
      </c>
      <c r="K479" s="2" t="s">
        <v>1122</v>
      </c>
      <c r="L479" s="8" t="s">
        <v>1123</v>
      </c>
      <c r="M479" s="8" t="s">
        <v>383</v>
      </c>
      <c r="N479" s="8" t="s">
        <v>1265</v>
      </c>
      <c r="O479" s="8" t="s">
        <v>1018</v>
      </c>
      <c r="P479" s="8" t="s">
        <v>405</v>
      </c>
      <c r="Q479" s="12" t="str">
        <f>HYPERLINK("http://www.mlive.com/news/detroit/index.ssf/2015/07/st_clair_shores_police_car_tur.html","http://www.mlive.com/news/detroit/index.ssf/2015/07/st_clair_shores_police_car_tur.html")</f>
        <v>http://www.mlive.com/news/detroit/index.ssf/2015/07/st_clair_shores_police_car_tur.html</v>
      </c>
      <c r="R479" s="8" t="s">
        <v>100</v>
      </c>
      <c r="S479" s="8" t="s">
        <v>18</v>
      </c>
      <c r="T479" s="8"/>
      <c r="U479" s="8"/>
      <c r="V479" s="8"/>
      <c r="W479" s="8"/>
      <c r="X479" s="8"/>
      <c r="AN479" s="8"/>
      <c r="AO479" s="8"/>
      <c r="AP479" s="8"/>
      <c r="AQ479" s="8"/>
      <c r="AR479" s="8"/>
      <c r="AS479" s="8"/>
      <c r="AT479" s="8"/>
    </row>
    <row r="480" spans="1:46" ht="13.5" customHeight="1">
      <c r="A480" s="8" t="s">
        <v>1096</v>
      </c>
      <c r="B480" s="16">
        <v>35</v>
      </c>
      <c r="C480" s="8" t="s">
        <v>20</v>
      </c>
      <c r="D480" s="8" t="s">
        <v>85</v>
      </c>
      <c r="E480" s="8" t="str">
        <f>HYPERLINK("http://ksla.images.worldnow.com/images/8474631_G.jpg","http://ksla.images.worldnow.com/images/8474631_G.jpg")</f>
        <v>http://ksla.images.worldnow.com/images/8474631_G.jpg</v>
      </c>
      <c r="F480" s="17">
        <v>42207</v>
      </c>
      <c r="G480" s="8" t="s">
        <v>1097</v>
      </c>
      <c r="H480" s="8" t="s">
        <v>1098</v>
      </c>
      <c r="I480" s="8" t="s">
        <v>986</v>
      </c>
      <c r="J480" s="16">
        <v>75501</v>
      </c>
      <c r="K480" s="2" t="s">
        <v>1099</v>
      </c>
      <c r="L480" s="8" t="s">
        <v>1100</v>
      </c>
      <c r="M480" s="8" t="s">
        <v>1101</v>
      </c>
      <c r="P480" s="8" t="s">
        <v>405</v>
      </c>
      <c r="Q480" s="12" t="str">
        <f>HYPERLINK("http://www.wmcactionnews5.com/story/29700419/bi-state-jail-inmate-found-dead-laid-to-rest","http://www.wmcactionnews5.com/story/29700419/bi-state-jail-inmate-found-dead-laid-to-rest")</f>
        <v>http://www.wmcactionnews5.com/story/29700419/bi-state-jail-inmate-found-dead-laid-to-rest</v>
      </c>
      <c r="S480" s="8" t="s">
        <v>35</v>
      </c>
      <c r="T480" s="8"/>
      <c r="U480" s="8"/>
      <c r="AI480" s="8"/>
      <c r="AJ480" s="8"/>
      <c r="AK480" s="8"/>
      <c r="AL480" s="8"/>
      <c r="AM480" s="8"/>
    </row>
    <row r="481" spans="1:46" ht="13.5" customHeight="1">
      <c r="A481" s="8" t="s">
        <v>1113</v>
      </c>
      <c r="B481" s="16" t="s">
        <v>29</v>
      </c>
      <c r="C481" s="8" t="s">
        <v>20</v>
      </c>
      <c r="D481" s="8" t="s">
        <v>48</v>
      </c>
      <c r="F481" s="17">
        <v>42207</v>
      </c>
      <c r="G481" s="8" t="s">
        <v>1114</v>
      </c>
      <c r="H481" s="8" t="s">
        <v>1115</v>
      </c>
      <c r="I481" s="8" t="s">
        <v>442</v>
      </c>
      <c r="J481" s="16">
        <v>53566</v>
      </c>
      <c r="K481" s="2" t="s">
        <v>1116</v>
      </c>
      <c r="L481" s="8" t="s">
        <v>1117</v>
      </c>
      <c r="M481" s="8" t="s">
        <v>27</v>
      </c>
      <c r="N481" s="8" t="s">
        <v>1118</v>
      </c>
      <c r="O481" s="8" t="s">
        <v>1018</v>
      </c>
      <c r="P481" s="8" t="s">
        <v>405</v>
      </c>
      <c r="Q481" s="12" t="str">
        <f>HYPERLINK("http://www.wdtv.com/wdtv.cfm?func=view&amp;section=5-News&amp;item=EXCLUSIVE-Weston-Man-Dead-Police-Officer-on-Administrative-Leave-24479","http://www.wdtv.com/wdtv.cfm?func=view&amp;section=5-News&amp;item=EXCLUSIVE-Weston-Man-Dead-Police-Officer-on-Administrative-Leave-24479")</f>
        <v>http://www.wdtv.com/wdtv.cfm?func=view&amp;section=5-News&amp;item=EXCLUSIVE-Weston-Man-Dead-Police-Officer-on-Administrative-Leave-24479</v>
      </c>
      <c r="R481" s="8" t="s">
        <v>100</v>
      </c>
      <c r="S481" s="8" t="s">
        <v>28</v>
      </c>
      <c r="T481" s="8"/>
      <c r="U481" s="8"/>
      <c r="V481" s="8"/>
      <c r="W481" s="8"/>
      <c r="X481" s="8"/>
    </row>
    <row r="482" spans="1:46" ht="13.5" customHeight="1">
      <c r="A482" s="8" t="s">
        <v>1125</v>
      </c>
      <c r="B482" s="16">
        <v>47</v>
      </c>
      <c r="C482" s="8" t="s">
        <v>20</v>
      </c>
      <c r="D482" s="8" t="s">
        <v>30</v>
      </c>
      <c r="F482" s="17">
        <v>42206</v>
      </c>
      <c r="G482" s="8" t="s">
        <v>1126</v>
      </c>
      <c r="H482" s="8" t="s">
        <v>1127</v>
      </c>
      <c r="I482" s="8" t="s">
        <v>175</v>
      </c>
      <c r="J482" s="16">
        <v>30184</v>
      </c>
      <c r="K482" s="2" t="s">
        <v>1128</v>
      </c>
      <c r="L482" s="8" t="s">
        <v>1129</v>
      </c>
      <c r="M482" s="8" t="s">
        <v>27</v>
      </c>
      <c r="N482" s="8" t="s">
        <v>1130</v>
      </c>
      <c r="O482" s="8" t="s">
        <v>404</v>
      </c>
      <c r="P482" s="8" t="s">
        <v>405</v>
      </c>
      <c r="Q482" s="12" t="str">
        <f>HYPERLINK("http://www.ajc.com/news/news/crime-law/gbi-identifies-stick-carrying-man-killed-by-bartow/nm44J/","http://www.ajc.com/news/news/crime-law/gbi-identifies-stick-carrying-man-killed-by-bartow/nm44J/")</f>
        <v>http://www.ajc.com/news/news/crime-law/gbi-identifies-stick-carrying-man-killed-by-bartow/nm44J/</v>
      </c>
      <c r="R482" s="8" t="s">
        <v>100</v>
      </c>
      <c r="S482" s="8" t="s">
        <v>28</v>
      </c>
      <c r="T482" s="8"/>
      <c r="U482" s="8"/>
    </row>
    <row r="483" spans="1:46" ht="13.5" customHeight="1">
      <c r="A483" s="8" t="s">
        <v>1136</v>
      </c>
      <c r="B483" s="16">
        <v>35</v>
      </c>
      <c r="C483" s="8" t="s">
        <v>20</v>
      </c>
      <c r="D483" s="8" t="s">
        <v>37</v>
      </c>
      <c r="F483" s="17">
        <v>42206</v>
      </c>
      <c r="G483" s="8" t="s">
        <v>1137</v>
      </c>
      <c r="H483" s="8" t="s">
        <v>1138</v>
      </c>
      <c r="I483" s="8" t="s">
        <v>175</v>
      </c>
      <c r="J483" s="16">
        <v>31545</v>
      </c>
      <c r="K483" s="2" t="s">
        <v>1139</v>
      </c>
      <c r="L483" s="8" t="s">
        <v>1140</v>
      </c>
      <c r="M483" s="8" t="s">
        <v>27</v>
      </c>
      <c r="N483" s="8" t="s">
        <v>1141</v>
      </c>
      <c r="O483" s="8" t="s">
        <v>404</v>
      </c>
      <c r="P483" s="8" t="s">
        <v>405</v>
      </c>
      <c r="Q483" s="12" t="str">
        <f>HYPERLINK("http://www.thepress-sentinel.com/view/full_story_free/26766255/article-Man-shot-by-deputy-is-identified?instance=lead_story","http://www.thepress-sentinel.com/view/full_story_free/26766255/article-Man-shot-by-deputy-is-identified?instance=lead_story")</f>
        <v>http://www.thepress-sentinel.com/view/full_story_free/26766255/article-Man-shot-by-deputy-is-identified?instance=lead_story</v>
      </c>
      <c r="R483" s="8" t="s">
        <v>29</v>
      </c>
      <c r="S483" s="8" t="s">
        <v>28</v>
      </c>
      <c r="T483" s="8"/>
      <c r="U483" s="8"/>
      <c r="AN483" s="8"/>
      <c r="AO483" s="8"/>
      <c r="AP483" s="8"/>
      <c r="AQ483" s="8"/>
      <c r="AR483" s="8"/>
      <c r="AS483" s="8"/>
      <c r="AT483" s="8"/>
    </row>
    <row r="484" spans="1:46" ht="13.5" customHeight="1">
      <c r="A484" s="8" t="s">
        <v>1131</v>
      </c>
      <c r="B484" s="16">
        <v>24</v>
      </c>
      <c r="C484" s="8" t="s">
        <v>20</v>
      </c>
      <c r="D484" s="8" t="s">
        <v>37</v>
      </c>
      <c r="F484" s="17">
        <v>42206</v>
      </c>
      <c r="G484" s="8" t="s">
        <v>1132</v>
      </c>
      <c r="H484" s="8" t="s">
        <v>1133</v>
      </c>
      <c r="I484" s="8" t="s">
        <v>62</v>
      </c>
      <c r="J484" s="16">
        <v>33334</v>
      </c>
      <c r="K484" s="2" t="s">
        <v>1134</v>
      </c>
      <c r="L484" s="8" t="s">
        <v>4438</v>
      </c>
      <c r="M484" s="8" t="s">
        <v>27</v>
      </c>
      <c r="N484" s="8" t="s">
        <v>1135</v>
      </c>
      <c r="O484" s="8" t="s">
        <v>1018</v>
      </c>
      <c r="P484" s="8" t="s">
        <v>405</v>
      </c>
      <c r="Q484" s="12" t="str">
        <f>HYPERLINK("http://www.sun-sentinel.com/local/broward/oakland-park/fl-shooting-deputy-oakland-park-20150721-story.html","http://www.sun-sentinel.com/local/broward/oakland-park/fl-shooting-deputy-oakland-park-20150721-story.html")</f>
        <v>http://www.sun-sentinel.com/local/broward/oakland-park/fl-shooting-deputy-oakland-park-20150721-story.html</v>
      </c>
      <c r="R484" s="8" t="s">
        <v>100</v>
      </c>
      <c r="S484" s="8" t="s">
        <v>28</v>
      </c>
      <c r="T484" s="8"/>
      <c r="U484" s="8"/>
      <c r="AN484" s="8"/>
      <c r="AO484" s="8"/>
      <c r="AP484" s="8"/>
      <c r="AQ484" s="8"/>
      <c r="AR484" s="8"/>
      <c r="AS484" s="8"/>
      <c r="AT484" s="8"/>
    </row>
    <row r="485" spans="1:46" ht="13.5" customHeight="1">
      <c r="A485" s="8" t="s">
        <v>1142</v>
      </c>
      <c r="B485" s="16">
        <v>59</v>
      </c>
      <c r="C485" s="8" t="s">
        <v>20</v>
      </c>
      <c r="D485" s="8" t="s">
        <v>85</v>
      </c>
      <c r="E485" s="8" t="str">
        <f>HYPERLINK("http://www.killedbypolice.net/victims/150637.jpg","http://www.killedbypolice.net/victims/150637.jpg")</f>
        <v>http://www.killedbypolice.net/victims/150637.jpg</v>
      </c>
      <c r="F485" s="17">
        <v>42205</v>
      </c>
      <c r="G485" s="8" t="s">
        <v>1143</v>
      </c>
      <c r="H485" s="8" t="s">
        <v>731</v>
      </c>
      <c r="I485" s="8" t="s">
        <v>73</v>
      </c>
      <c r="J485" s="16">
        <v>77017</v>
      </c>
      <c r="K485" s="2" t="s">
        <v>562</v>
      </c>
      <c r="L485" s="8" t="s">
        <v>732</v>
      </c>
      <c r="M485" s="8" t="s">
        <v>3407</v>
      </c>
      <c r="N485" s="8" t="s">
        <v>1144</v>
      </c>
      <c r="O485" s="8" t="s">
        <v>1018</v>
      </c>
      <c r="P485" s="8" t="s">
        <v>405</v>
      </c>
      <c r="Q485" s="12" t="str">
        <f>HYPERLINK("http://www.12newsnow.com/story/29588216/chambers-county-deputy-involved-shooting-near-winnie","http://www.12newsnow.com/story/29588216/chambers-county-deputy-involved-shooting-near-winnie")</f>
        <v>http://www.12newsnow.com/story/29588216/chambers-county-deputy-involved-shooting-near-winnie</v>
      </c>
      <c r="R485" s="8" t="s">
        <v>29</v>
      </c>
      <c r="S485" s="8" t="s">
        <v>18</v>
      </c>
      <c r="T485" s="8"/>
      <c r="U485" s="8"/>
      <c r="AI485" s="8"/>
      <c r="AJ485" s="8"/>
      <c r="AK485" s="8"/>
      <c r="AL485" s="8"/>
      <c r="AM485" s="8"/>
    </row>
    <row r="486" spans="1:46" ht="13.5" customHeight="1">
      <c r="A486" s="8" t="s">
        <v>1145</v>
      </c>
      <c r="B486" s="16">
        <v>24</v>
      </c>
      <c r="C486" s="8" t="s">
        <v>20</v>
      </c>
      <c r="D486" s="8" t="s">
        <v>48</v>
      </c>
      <c r="E486" s="8" t="str">
        <f>HYPERLINK("http://www.killedbypolice.net/victims/150642.jpg","http://www.killedbypolice.net/victims/150642.jpg")</f>
        <v>http://www.killedbypolice.net/victims/150642.jpg</v>
      </c>
      <c r="F486" s="17">
        <v>42205</v>
      </c>
      <c r="G486" s="8" t="s">
        <v>1146</v>
      </c>
      <c r="H486" s="8" t="s">
        <v>87</v>
      </c>
      <c r="I486" s="8" t="s">
        <v>44</v>
      </c>
      <c r="J486" s="16">
        <v>60632</v>
      </c>
      <c r="K486" s="2" t="s">
        <v>88</v>
      </c>
      <c r="L486" s="8" t="s">
        <v>89</v>
      </c>
      <c r="M486" t="s">
        <v>2312</v>
      </c>
      <c r="N486" s="8" t="s">
        <v>19957</v>
      </c>
      <c r="O486" s="8" t="s">
        <v>1018</v>
      </c>
      <c r="P486" s="8" t="s">
        <v>405</v>
      </c>
      <c r="Q486" s="12" t="s">
        <v>19958</v>
      </c>
      <c r="R486" s="8" t="s">
        <v>29</v>
      </c>
      <c r="S486" s="8" t="s">
        <v>18</v>
      </c>
      <c r="T486" s="8"/>
      <c r="U486" s="8"/>
      <c r="V486" s="8"/>
      <c r="W486" s="8"/>
      <c r="X486" s="8"/>
    </row>
    <row r="487" spans="1:46" ht="13.5" customHeight="1">
      <c r="A487" s="8" t="s">
        <v>1159</v>
      </c>
      <c r="B487" s="16">
        <v>35</v>
      </c>
      <c r="C487" s="8" t="s">
        <v>20</v>
      </c>
      <c r="D487" s="8" t="s">
        <v>37</v>
      </c>
      <c r="F487" s="17">
        <v>42205</v>
      </c>
      <c r="G487" s="8" t="s">
        <v>1160</v>
      </c>
      <c r="H487" s="8" t="s">
        <v>1161</v>
      </c>
      <c r="I487" s="8" t="s">
        <v>73</v>
      </c>
      <c r="J487" s="16">
        <v>77665</v>
      </c>
      <c r="K487" s="2" t="s">
        <v>1162</v>
      </c>
      <c r="L487" s="8" t="s">
        <v>1163</v>
      </c>
      <c r="M487" s="8" t="s">
        <v>27</v>
      </c>
      <c r="N487" s="8" t="s">
        <v>1164</v>
      </c>
      <c r="O487" s="8" t="s">
        <v>1018</v>
      </c>
      <c r="P487" s="8" t="s">
        <v>405</v>
      </c>
      <c r="Q487" s="12" t="str">
        <f>HYPERLINK("http://www.houstonchronicle.com/news/houston-texas/houston/article/Man-shot-and-killed-by-deputy-outside-club-6400462.php","http://www.houstonchronicle.com/news/houston-texas/houston/article/Man-shot-and-killed-by-deputy-outside-club-6400462.php")</f>
        <v>http://www.houstonchronicle.com/news/houston-texas/houston/article/Man-shot-and-killed-by-deputy-outside-club-6400462.php</v>
      </c>
      <c r="R487" s="8" t="s">
        <v>100</v>
      </c>
      <c r="S487" s="8" t="s">
        <v>28</v>
      </c>
      <c r="T487" s="8"/>
      <c r="U487" s="8"/>
      <c r="AN487" s="8"/>
      <c r="AO487" s="8"/>
      <c r="AP487" s="8"/>
      <c r="AQ487" s="8"/>
      <c r="AR487" s="8"/>
      <c r="AS487" s="8"/>
      <c r="AT487" s="8"/>
    </row>
    <row r="488" spans="1:46" ht="13.5" customHeight="1">
      <c r="A488" s="8" t="s">
        <v>1147</v>
      </c>
      <c r="B488" s="16" t="s">
        <v>29</v>
      </c>
      <c r="C488" s="8" t="s">
        <v>20</v>
      </c>
      <c r="D488" s="8" t="s">
        <v>48</v>
      </c>
      <c r="F488" s="17">
        <v>42205</v>
      </c>
      <c r="G488" s="8" t="s">
        <v>1148</v>
      </c>
      <c r="H488" s="8" t="s">
        <v>731</v>
      </c>
      <c r="I488" s="8" t="s">
        <v>73</v>
      </c>
      <c r="J488" s="16">
        <v>77092</v>
      </c>
      <c r="K488" s="2" t="s">
        <v>562</v>
      </c>
      <c r="L488" s="8" t="s">
        <v>563</v>
      </c>
      <c r="M488" s="8" t="s">
        <v>27</v>
      </c>
      <c r="N488" s="8" t="s">
        <v>1149</v>
      </c>
      <c r="O488" s="8" t="s">
        <v>404</v>
      </c>
      <c r="P488" s="8" t="s">
        <v>405</v>
      </c>
      <c r="Q488" s="12" t="str">
        <f>HYPERLINK("http://dfw.cbslocal.com/2015/07/31/police-officer-shoots-kills-armed-man-in-downtown-fort-worth/","http://dfw.cbslocal.com/2015/07/31/police-officer-shoots-kills-armed-man-in-downtown-fort-worth/")</f>
        <v>http://dfw.cbslocal.com/2015/07/31/police-officer-shoots-kills-armed-man-in-downtown-fort-worth/</v>
      </c>
      <c r="R488" s="8" t="s">
        <v>100</v>
      </c>
      <c r="S488" s="8" t="s">
        <v>28</v>
      </c>
      <c r="T488" s="8"/>
      <c r="U488" s="8"/>
      <c r="V488" s="8"/>
      <c r="W488" s="8"/>
      <c r="X488" s="8"/>
    </row>
    <row r="489" spans="1:46" ht="13.5" customHeight="1">
      <c r="A489" s="8" t="s">
        <v>1154</v>
      </c>
      <c r="B489" s="16">
        <v>54</v>
      </c>
      <c r="C489" s="8" t="s">
        <v>20</v>
      </c>
      <c r="D489" s="8" t="s">
        <v>37</v>
      </c>
      <c r="F489" s="17">
        <v>42205</v>
      </c>
      <c r="G489" s="8" t="s">
        <v>1155</v>
      </c>
      <c r="H489" s="8" t="s">
        <v>1156</v>
      </c>
      <c r="I489" s="8" t="s">
        <v>399</v>
      </c>
      <c r="J489" s="16">
        <v>73020</v>
      </c>
      <c r="K489" s="2" t="s">
        <v>1105</v>
      </c>
      <c r="L489" s="8" t="s">
        <v>1157</v>
      </c>
      <c r="M489" s="8" t="s">
        <v>27</v>
      </c>
      <c r="N489" s="8" t="s">
        <v>1158</v>
      </c>
      <c r="O489" s="8" t="s">
        <v>554</v>
      </c>
      <c r="P489" s="8" t="s">
        <v>405</v>
      </c>
      <c r="Q489" s="12" t="str">
        <f>HYPERLINK("http://www.news9.com/story/29591603/one-injured-in-home-invasion-shooting-police-said","http://www.news9.com/story/29591603/one-injured-in-home-invasion-shooting-police-said")</f>
        <v>http://www.news9.com/story/29591603/one-injured-in-home-invasion-shooting-police-said</v>
      </c>
      <c r="R489" s="8" t="s">
        <v>100</v>
      </c>
      <c r="S489" s="8" t="s">
        <v>28</v>
      </c>
      <c r="T489" s="8"/>
      <c r="U489" s="8"/>
      <c r="AN489" s="8"/>
      <c r="AO489" s="8"/>
      <c r="AP489" s="8"/>
      <c r="AQ489" s="8"/>
      <c r="AR489" s="8"/>
      <c r="AS489" s="8"/>
      <c r="AT489" s="8"/>
    </row>
    <row r="490" spans="1:46" ht="13.5" customHeight="1">
      <c r="A490" s="8" t="s">
        <v>1150</v>
      </c>
      <c r="B490" s="16">
        <v>54</v>
      </c>
      <c r="C490" s="8" t="s">
        <v>20</v>
      </c>
      <c r="D490" s="8" t="s">
        <v>30</v>
      </c>
      <c r="F490" s="17">
        <v>42205</v>
      </c>
      <c r="G490" s="8" t="s">
        <v>1151</v>
      </c>
      <c r="H490" s="8" t="s">
        <v>1152</v>
      </c>
      <c r="I490" s="8" t="s">
        <v>45</v>
      </c>
      <c r="J490" s="16">
        <v>94536</v>
      </c>
      <c r="K490" s="2" t="s">
        <v>608</v>
      </c>
      <c r="L490" s="8" t="s">
        <v>1153</v>
      </c>
      <c r="M490" s="8" t="s">
        <v>27</v>
      </c>
      <c r="P490" s="8" t="s">
        <v>405</v>
      </c>
      <c r="Q490" s="12" t="str">
        <f>HYPERLINK("http://www.mercurynews.com/crime-courts/ci_28681936/fremont-man-dies-from-gunshot-wounds-officer-involved","http://www.mercurynews.com/crime-courts/ci_28681936/fremont-man-dies-from-gunshot-wounds-officer-involved")</f>
        <v>http://www.mercurynews.com/crime-courts/ci_28681936/fremont-man-dies-from-gunshot-wounds-officer-involved</v>
      </c>
      <c r="S490" s="8" t="s">
        <v>28</v>
      </c>
      <c r="T490" s="8"/>
      <c r="U490" s="8"/>
    </row>
    <row r="491" spans="1:46" ht="13.5" customHeight="1">
      <c r="A491" s="8" t="s">
        <v>1165</v>
      </c>
      <c r="B491" s="16">
        <v>43</v>
      </c>
      <c r="C491" s="8" t="s">
        <v>20</v>
      </c>
      <c r="D491" s="8" t="s">
        <v>85</v>
      </c>
      <c r="E491" s="8" t="s">
        <v>1166</v>
      </c>
      <c r="F491" s="17">
        <v>42204</v>
      </c>
      <c r="G491" s="8" t="s">
        <v>1167</v>
      </c>
      <c r="H491" s="8" t="s">
        <v>551</v>
      </c>
      <c r="I491" s="8" t="s">
        <v>69</v>
      </c>
      <c r="J491" s="16">
        <v>45219</v>
      </c>
      <c r="K491" s="2" t="s">
        <v>552</v>
      </c>
      <c r="L491" s="8" t="s">
        <v>1168</v>
      </c>
      <c r="M491" s="8" t="s">
        <v>27</v>
      </c>
      <c r="N491" s="8" t="s">
        <v>1169</v>
      </c>
      <c r="O491" s="8" t="s">
        <v>1170</v>
      </c>
      <c r="P491" s="8" t="s">
        <v>1171</v>
      </c>
      <c r="Q491" s="12" t="str">
        <f>HYPERLINK("http://www.cincinnati.com/story/news/2015/07/29/publish/30830777/","http://www.cincinnati.com/story/news/2015/07/29/publish/30830777/")</f>
        <v>http://www.cincinnati.com/story/news/2015/07/29/publish/30830777/</v>
      </c>
      <c r="R491" s="8" t="s">
        <v>100</v>
      </c>
      <c r="S491" s="8" t="s">
        <v>383</v>
      </c>
      <c r="T491" s="8"/>
      <c r="U491" s="8"/>
      <c r="Y491" s="8"/>
      <c r="Z491" s="8"/>
      <c r="AA491" s="8"/>
      <c r="AB491" s="8"/>
      <c r="AC491" s="8"/>
      <c r="AD491" s="8"/>
      <c r="AE491" s="8"/>
      <c r="AF491" s="8"/>
      <c r="AG491" s="8"/>
      <c r="AH491" s="8"/>
      <c r="AI491" s="8"/>
      <c r="AJ491" s="8"/>
      <c r="AK491" s="8"/>
      <c r="AL491" s="8"/>
      <c r="AM491" s="8"/>
    </row>
    <row r="492" spans="1:46" ht="13.5" customHeight="1">
      <c r="A492" s="8" t="s">
        <v>1186</v>
      </c>
      <c r="B492" s="16">
        <v>65</v>
      </c>
      <c r="C492" s="8" t="s">
        <v>20</v>
      </c>
      <c r="D492" s="8" t="s">
        <v>37</v>
      </c>
      <c r="F492" s="17">
        <v>42203</v>
      </c>
      <c r="G492" s="8" t="s">
        <v>1187</v>
      </c>
      <c r="H492" s="8" t="s">
        <v>1188</v>
      </c>
      <c r="I492" s="8" t="s">
        <v>367</v>
      </c>
      <c r="J492" s="16">
        <v>67701</v>
      </c>
      <c r="K492" s="2" t="s">
        <v>1189</v>
      </c>
      <c r="L492" s="8" t="s">
        <v>1190</v>
      </c>
      <c r="M492" s="8" t="s">
        <v>27</v>
      </c>
      <c r="N492" s="8" t="s">
        <v>1191</v>
      </c>
      <c r="O492" s="8" t="s">
        <v>1018</v>
      </c>
      <c r="P492" s="8" t="s">
        <v>405</v>
      </c>
      <c r="Q492" s="12"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492" s="8" t="s">
        <v>100</v>
      </c>
      <c r="S492" s="8" t="s">
        <v>28</v>
      </c>
      <c r="T492" s="8"/>
      <c r="U492" s="8"/>
      <c r="AN492" s="8"/>
      <c r="AO492" s="8"/>
      <c r="AP492" s="8"/>
      <c r="AQ492" s="8"/>
      <c r="AR492" s="8"/>
      <c r="AS492" s="8"/>
      <c r="AT492" s="8"/>
    </row>
    <row r="493" spans="1:46" ht="13.5" customHeight="1">
      <c r="A493" s="8" t="s">
        <v>1181</v>
      </c>
      <c r="B493" s="16">
        <v>22</v>
      </c>
      <c r="C493" s="8" t="s">
        <v>20</v>
      </c>
      <c r="D493" s="8" t="s">
        <v>37</v>
      </c>
      <c r="F493" s="17">
        <v>42203</v>
      </c>
      <c r="G493" s="8" t="s">
        <v>1182</v>
      </c>
      <c r="H493" s="8" t="s">
        <v>1183</v>
      </c>
      <c r="I493" s="8" t="s">
        <v>212</v>
      </c>
      <c r="J493" s="16">
        <v>80526</v>
      </c>
      <c r="K493" s="2" t="s">
        <v>557</v>
      </c>
      <c r="L493" s="8" t="s">
        <v>1184</v>
      </c>
      <c r="M493" s="8" t="s">
        <v>27</v>
      </c>
      <c r="N493" s="8" t="s">
        <v>1185</v>
      </c>
      <c r="O493" s="8" t="s">
        <v>554</v>
      </c>
      <c r="P493" s="8" t="s">
        <v>405</v>
      </c>
      <c r="Q493" s="12"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493" s="8" t="s">
        <v>559</v>
      </c>
      <c r="S493" s="8" t="s">
        <v>28</v>
      </c>
      <c r="T493" s="8"/>
      <c r="U493" s="8"/>
      <c r="V493" s="8"/>
      <c r="W493" s="8"/>
      <c r="X493" s="8"/>
      <c r="AN493" s="8"/>
      <c r="AO493" s="8"/>
      <c r="AP493" s="8"/>
      <c r="AQ493" s="8"/>
      <c r="AR493" s="8"/>
      <c r="AS493" s="8"/>
      <c r="AT493" s="8"/>
    </row>
    <row r="494" spans="1:46" ht="13.5" customHeight="1">
      <c r="A494" s="8" t="s">
        <v>1172</v>
      </c>
      <c r="B494" s="16">
        <v>26</v>
      </c>
      <c r="C494" s="8" t="s">
        <v>20</v>
      </c>
      <c r="D494" s="8" t="s">
        <v>48</v>
      </c>
      <c r="F494" s="17">
        <v>42203</v>
      </c>
      <c r="G494" s="8" t="s">
        <v>1173</v>
      </c>
      <c r="H494" s="8" t="s">
        <v>1174</v>
      </c>
      <c r="I494" s="8" t="s">
        <v>45</v>
      </c>
      <c r="J494" s="16">
        <v>93223</v>
      </c>
      <c r="K494" s="2" t="s">
        <v>1175</v>
      </c>
      <c r="L494" s="8" t="s">
        <v>1176</v>
      </c>
      <c r="M494" s="8" t="s">
        <v>27</v>
      </c>
      <c r="N494" s="8" t="s">
        <v>1177</v>
      </c>
      <c r="O494" s="8" t="s">
        <v>1018</v>
      </c>
      <c r="P494" s="8" t="s">
        <v>405</v>
      </c>
      <c r="Q494" s="12"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494" s="8" t="s">
        <v>100</v>
      </c>
      <c r="S494" s="8" t="s">
        <v>18</v>
      </c>
      <c r="T494" s="8"/>
      <c r="U494" s="8"/>
    </row>
    <row r="495" spans="1:46" ht="13.5" customHeight="1">
      <c r="A495" s="8" t="s">
        <v>1178</v>
      </c>
      <c r="B495" s="16">
        <v>46</v>
      </c>
      <c r="C495" s="8" t="s">
        <v>20</v>
      </c>
      <c r="D495" s="8" t="s">
        <v>37</v>
      </c>
      <c r="F495" s="17">
        <v>42203</v>
      </c>
      <c r="G495" s="8" t="s">
        <v>1179</v>
      </c>
      <c r="H495" s="8" t="s">
        <v>638</v>
      </c>
      <c r="I495" s="8" t="s">
        <v>124</v>
      </c>
      <c r="J495" s="16">
        <v>85051</v>
      </c>
      <c r="K495" s="2" t="s">
        <v>639</v>
      </c>
      <c r="L495" s="8" t="s">
        <v>640</v>
      </c>
      <c r="M495" s="8" t="s">
        <v>27</v>
      </c>
      <c r="N495" s="8" t="s">
        <v>1180</v>
      </c>
      <c r="O495" s="8" t="s">
        <v>1018</v>
      </c>
      <c r="P495" s="8" t="s">
        <v>405</v>
      </c>
      <c r="Q495" s="12"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495" s="8" t="s">
        <v>100</v>
      </c>
      <c r="S495" s="8" t="s">
        <v>28</v>
      </c>
      <c r="T495" s="8"/>
      <c r="U495" s="8"/>
      <c r="AN495" s="8"/>
      <c r="AO495" s="8"/>
      <c r="AP495" s="8"/>
      <c r="AQ495" s="8"/>
      <c r="AR495" s="8"/>
      <c r="AS495" s="8"/>
      <c r="AT495" s="8"/>
    </row>
    <row r="496" spans="1:46" ht="13.5" customHeight="1">
      <c r="A496" s="8" t="s">
        <v>1192</v>
      </c>
      <c r="B496" s="16">
        <v>30</v>
      </c>
      <c r="C496" s="8" t="s">
        <v>20</v>
      </c>
      <c r="D496" s="8" t="s">
        <v>37</v>
      </c>
      <c r="F496" s="17">
        <v>42203</v>
      </c>
      <c r="G496" s="8" t="s">
        <v>1193</v>
      </c>
      <c r="H496" s="8" t="s">
        <v>1194</v>
      </c>
      <c r="I496" s="8" t="s">
        <v>675</v>
      </c>
      <c r="J496" s="16">
        <v>38654</v>
      </c>
      <c r="K496" s="2" t="s">
        <v>1195</v>
      </c>
      <c r="L496" s="8" t="s">
        <v>1196</v>
      </c>
      <c r="M496" s="8" t="s">
        <v>2312</v>
      </c>
      <c r="N496" s="8" t="s">
        <v>1386</v>
      </c>
      <c r="O496" s="8" t="s">
        <v>1363</v>
      </c>
      <c r="P496" s="8" t="s">
        <v>405</v>
      </c>
      <c r="Q496" s="12" t="str">
        <f>HYPERLINK("http://www.ksdk.com/story/news/nation/2015/07/20/man-hogtied-police-death/30433375/","http://www.ksdk.com/story/news/nation/2015/07/20/man-hogtied-police-death/30433375/")</f>
        <v>http://www.ksdk.com/story/news/nation/2015/07/20/man-hogtied-police-death/30433375/</v>
      </c>
      <c r="R496" s="8" t="s">
        <v>29</v>
      </c>
      <c r="S496" s="8" t="s">
        <v>18</v>
      </c>
      <c r="T496" s="8"/>
      <c r="U496" s="8"/>
      <c r="V496" s="8"/>
      <c r="W496" s="8"/>
      <c r="X496" s="8"/>
      <c r="AN496" s="8"/>
      <c r="AO496" s="8"/>
      <c r="AP496" s="8"/>
      <c r="AQ496" s="8"/>
      <c r="AR496" s="8"/>
      <c r="AS496" s="8"/>
      <c r="AT496" s="8"/>
    </row>
    <row r="497" spans="1:39" ht="13.5" customHeight="1">
      <c r="A497" s="8" t="s">
        <v>1198</v>
      </c>
      <c r="B497" s="16">
        <v>23</v>
      </c>
      <c r="C497" s="8" t="s">
        <v>20</v>
      </c>
      <c r="D497" s="8" t="s">
        <v>85</v>
      </c>
      <c r="E497" s="8" t="s">
        <v>1199</v>
      </c>
      <c r="F497" s="17">
        <v>42202</v>
      </c>
      <c r="G497" s="8" t="s">
        <v>1200</v>
      </c>
      <c r="H497" s="8" t="s">
        <v>1069</v>
      </c>
      <c r="I497" s="8" t="s">
        <v>62</v>
      </c>
      <c r="J497" s="16">
        <v>32812</v>
      </c>
      <c r="K497" s="2" t="s">
        <v>1070</v>
      </c>
      <c r="L497" s="8" t="s">
        <v>1071</v>
      </c>
      <c r="M497" s="8" t="s">
        <v>27</v>
      </c>
      <c r="N497" s="8" t="s">
        <v>1201</v>
      </c>
      <c r="O497" s="8" t="s">
        <v>404</v>
      </c>
      <c r="P497" s="8" t="s">
        <v>405</v>
      </c>
      <c r="Q497" s="12"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497" s="8" t="s">
        <v>100</v>
      </c>
      <c r="S497" s="8" t="s">
        <v>18</v>
      </c>
      <c r="T497" s="8"/>
      <c r="U497" s="8"/>
      <c r="AI497" s="8"/>
      <c r="AJ497" s="8"/>
      <c r="AK497" s="8"/>
      <c r="AL497" s="8"/>
      <c r="AM497" s="8"/>
    </row>
    <row r="498" spans="1:39" ht="13.5" customHeight="1">
      <c r="A498" s="8" t="s">
        <v>1202</v>
      </c>
      <c r="B498" s="16">
        <v>19</v>
      </c>
      <c r="C498" s="8" t="s">
        <v>20</v>
      </c>
      <c r="D498" s="8" t="s">
        <v>85</v>
      </c>
      <c r="F498" s="17">
        <v>42202</v>
      </c>
      <c r="G498" s="8" t="s">
        <v>1203</v>
      </c>
      <c r="H498" s="8" t="s">
        <v>1204</v>
      </c>
      <c r="I498" s="8" t="s">
        <v>323</v>
      </c>
      <c r="J498" s="16">
        <v>38115</v>
      </c>
      <c r="K498" s="2" t="s">
        <v>1205</v>
      </c>
      <c r="L498" s="8" t="s">
        <v>1206</v>
      </c>
      <c r="M498" s="8" t="s">
        <v>27</v>
      </c>
      <c r="N498" s="8" t="s">
        <v>1207</v>
      </c>
      <c r="O498" s="8" t="s">
        <v>404</v>
      </c>
      <c r="P498" s="8" t="s">
        <v>405</v>
      </c>
      <c r="Q498" s="12" t="str">
        <f>HYPERLINK("http://www.wmcactionnews5.com/story/29578116/man-dead-after-struggle-with-mpd-officer","http://www.wmcactionnews5.com/story/29578116/man-dead-after-struggle-with-mpd-officer")</f>
        <v>http://www.wmcactionnews5.com/story/29578116/man-dead-after-struggle-with-mpd-officer</v>
      </c>
      <c r="R498" s="8" t="s">
        <v>100</v>
      </c>
      <c r="S498" s="8" t="s">
        <v>18</v>
      </c>
      <c r="T498" s="8"/>
      <c r="U498" s="8"/>
      <c r="AI498" s="8"/>
      <c r="AJ498" s="8"/>
      <c r="AK498" s="8"/>
      <c r="AL498" s="8"/>
      <c r="AM498" s="8"/>
    </row>
    <row r="499" spans="1:39" ht="13.5" customHeight="1">
      <c r="A499" s="8" t="s">
        <v>1214</v>
      </c>
      <c r="B499" s="16">
        <v>50</v>
      </c>
      <c r="C499" s="8" t="s">
        <v>20</v>
      </c>
      <c r="D499" s="8" t="s">
        <v>37</v>
      </c>
      <c r="F499" s="17">
        <v>42202</v>
      </c>
      <c r="G499" s="8" t="s">
        <v>1215</v>
      </c>
      <c r="H499" s="8" t="s">
        <v>1216</v>
      </c>
      <c r="I499" s="8" t="s">
        <v>45</v>
      </c>
      <c r="J499" s="16">
        <v>92363</v>
      </c>
      <c r="K499" s="2" t="s">
        <v>111</v>
      </c>
      <c r="L499" s="8" t="s">
        <v>314</v>
      </c>
      <c r="M499" s="8" t="s">
        <v>27</v>
      </c>
      <c r="N499" s="8" t="s">
        <v>1217</v>
      </c>
      <c r="O499" s="8" t="s">
        <v>404</v>
      </c>
      <c r="P499" s="8" t="s">
        <v>405</v>
      </c>
      <c r="Q499" s="12" t="str">
        <f>HYPERLINK("http://www.sbsun.com/general-news/20150718/sheriffs-deputies-shoot-kill-highland-man-in-needles","http://www.sbsun.com/general-news/20150718/sheriffs-deputies-shoot-kill-highland-man-in-needles")</f>
        <v>http://www.sbsun.com/general-news/20150718/sheriffs-deputies-shoot-kill-highland-man-in-needles</v>
      </c>
      <c r="R499" s="8" t="s">
        <v>559</v>
      </c>
      <c r="S499" s="8" t="s">
        <v>28</v>
      </c>
      <c r="T499" s="8"/>
      <c r="U499" s="8"/>
    </row>
    <row r="500" spans="1:39" ht="13.5" customHeight="1">
      <c r="A500" s="8" t="s">
        <v>1208</v>
      </c>
      <c r="B500" s="16">
        <v>24</v>
      </c>
      <c r="C500" s="8" t="s">
        <v>20</v>
      </c>
      <c r="D500" s="8" t="s">
        <v>48</v>
      </c>
      <c r="F500" s="17">
        <v>42202</v>
      </c>
      <c r="G500" s="8" t="s">
        <v>1209</v>
      </c>
      <c r="H500" s="8" t="s">
        <v>1210</v>
      </c>
      <c r="I500" s="8" t="s">
        <v>73</v>
      </c>
      <c r="J500" s="16">
        <v>78520</v>
      </c>
      <c r="K500" s="2" t="s">
        <v>1211</v>
      </c>
      <c r="L500" s="8" t="s">
        <v>1212</v>
      </c>
      <c r="M500" s="8" t="s">
        <v>27</v>
      </c>
      <c r="N500" s="8" t="s">
        <v>1213</v>
      </c>
      <c r="O500" s="8" t="s">
        <v>404</v>
      </c>
      <c r="P500" s="8" t="s">
        <v>405</v>
      </c>
      <c r="Q500" s="12"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500" s="8" t="s">
        <v>100</v>
      </c>
      <c r="S500" s="8" t="s">
        <v>28</v>
      </c>
      <c r="T500" s="8"/>
      <c r="U500" s="8"/>
    </row>
    <row r="501" spans="1:39" ht="13.5" customHeight="1">
      <c r="A501" s="8" t="s">
        <v>1218</v>
      </c>
      <c r="B501" s="16">
        <v>27</v>
      </c>
      <c r="C501" s="8" t="s">
        <v>20</v>
      </c>
      <c r="D501" s="8" t="s">
        <v>37</v>
      </c>
      <c r="F501" s="17">
        <v>42202</v>
      </c>
      <c r="G501" s="8" t="s">
        <v>1219</v>
      </c>
      <c r="H501" s="8" t="s">
        <v>1220</v>
      </c>
      <c r="I501" s="8" t="s">
        <v>306</v>
      </c>
      <c r="J501" s="16">
        <v>98115</v>
      </c>
      <c r="K501" s="2" t="s">
        <v>1221</v>
      </c>
      <c r="L501" s="8" t="s">
        <v>1222</v>
      </c>
      <c r="M501" s="8" t="s">
        <v>27</v>
      </c>
      <c r="N501" s="8" t="s">
        <v>1223</v>
      </c>
      <c r="O501" s="8" t="s">
        <v>404</v>
      </c>
      <c r="P501" s="8" t="s">
        <v>405</v>
      </c>
      <c r="Q501" s="12" t="str">
        <f>HYPERLINK("http://fox6now.com/2015/07/17/friend-of-wauwatosa-man-shot-by-police-says-he-was-a-good-man-he-started-getting-violent-hes-never-done-that-before/","http://fox6now.com/2015/07/17/friend-of-wauwatosa-man-shot-by-police-says-he-was-a-good-man-he-started-getting-violent-hes-never-done-that-before/")</f>
        <v>http://fox6now.com/2015/07/17/friend-of-wauwatosa-man-shot-by-police-says-he-was-a-good-man-he-started-getting-violent-hes-never-done-that-before/</v>
      </c>
      <c r="R501" s="8" t="s">
        <v>100</v>
      </c>
      <c r="S501" s="8" t="s">
        <v>28</v>
      </c>
      <c r="T501" s="8"/>
      <c r="U501" s="8"/>
    </row>
    <row r="502" spans="1:39" ht="13.5" customHeight="1">
      <c r="A502" s="8" t="s">
        <v>1229</v>
      </c>
      <c r="B502" s="16">
        <v>25</v>
      </c>
      <c r="C502" s="8" t="s">
        <v>20</v>
      </c>
      <c r="D502" s="8" t="s">
        <v>85</v>
      </c>
      <c r="F502" s="17">
        <v>42201</v>
      </c>
      <c r="G502" s="8" t="s">
        <v>1230</v>
      </c>
      <c r="H502" s="8" t="s">
        <v>1231</v>
      </c>
      <c r="I502" s="8" t="s">
        <v>45</v>
      </c>
      <c r="J502" s="16">
        <v>92553</v>
      </c>
      <c r="K502" s="2" t="s">
        <v>791</v>
      </c>
      <c r="L502" s="8" t="s">
        <v>1232</v>
      </c>
      <c r="M502" s="8" t="s">
        <v>27</v>
      </c>
      <c r="N502" s="8" t="s">
        <v>19955</v>
      </c>
      <c r="O502" s="8" t="s">
        <v>404</v>
      </c>
      <c r="P502" s="8" t="s">
        <v>405</v>
      </c>
      <c r="Q502" s="12" t="s">
        <v>19956</v>
      </c>
      <c r="R502" s="8" t="s">
        <v>559</v>
      </c>
      <c r="S502" s="8" t="s">
        <v>28</v>
      </c>
      <c r="T502" s="8"/>
      <c r="U502" s="8"/>
      <c r="V502" s="8"/>
      <c r="W502" s="8"/>
      <c r="X502" s="8"/>
      <c r="AI502" s="8"/>
      <c r="AJ502" s="8"/>
      <c r="AK502" s="8"/>
      <c r="AL502" s="8"/>
      <c r="AM502" s="8"/>
    </row>
    <row r="503" spans="1:39" ht="13.5" customHeight="1">
      <c r="A503" s="8" t="s">
        <v>1239</v>
      </c>
      <c r="B503" s="16">
        <v>29</v>
      </c>
      <c r="C503" s="8" t="s">
        <v>20</v>
      </c>
      <c r="D503" s="8" t="s">
        <v>48</v>
      </c>
      <c r="E503" s="8" t="str">
        <f>HYPERLINK("https://localtvwiti.files.wordpress.com/2015/07/antonio-gonzales2.jpeg","https://localtvwiti.files.wordpress.com/2015/07/antonio-gonzales2.jpeg")</f>
        <v>https://localtvwiti.files.wordpress.com/2015/07/antonio-gonzales2.jpeg</v>
      </c>
      <c r="F503" s="17">
        <v>42201</v>
      </c>
      <c r="G503" s="8" t="s">
        <v>1240</v>
      </c>
      <c r="H503" s="8" t="s">
        <v>1241</v>
      </c>
      <c r="I503" s="8" t="s">
        <v>442</v>
      </c>
      <c r="J503" s="16">
        <v>53226</v>
      </c>
      <c r="K503" s="2" t="s">
        <v>895</v>
      </c>
      <c r="L503" s="8" t="s">
        <v>1242</v>
      </c>
      <c r="M503" s="8" t="s">
        <v>27</v>
      </c>
      <c r="N503" s="8" t="s">
        <v>1243</v>
      </c>
      <c r="O503" s="8" t="s">
        <v>1018</v>
      </c>
      <c r="P503" s="8" t="s">
        <v>405</v>
      </c>
      <c r="Q503" s="12" t="str">
        <f>HYPERLINK("http://www.nbc15.com/home/headlines/Reports-of-shooting-in-Monroe-318229761.html","http://www.nbc15.com/home/headlines/Reports-of-shooting-in-Monroe-318229761.html")</f>
        <v>http://www.nbc15.com/home/headlines/Reports-of-shooting-in-Monroe-318229761.html</v>
      </c>
      <c r="R503" s="8" t="s">
        <v>29</v>
      </c>
      <c r="S503" s="8" t="s">
        <v>28</v>
      </c>
      <c r="T503" s="8"/>
      <c r="U503" s="8"/>
    </row>
    <row r="504" spans="1:39" ht="13.5" customHeight="1">
      <c r="A504" s="8" t="s">
        <v>1234</v>
      </c>
      <c r="B504" s="16">
        <v>35</v>
      </c>
      <c r="C504" s="8" t="s">
        <v>20</v>
      </c>
      <c r="D504" s="8" t="s">
        <v>85</v>
      </c>
      <c r="F504" s="17">
        <v>42201</v>
      </c>
      <c r="G504" s="8" t="s">
        <v>1235</v>
      </c>
      <c r="H504" s="8" t="s">
        <v>1236</v>
      </c>
      <c r="I504" s="8" t="s">
        <v>62</v>
      </c>
      <c r="J504" s="16">
        <v>33030</v>
      </c>
      <c r="K504" s="2" t="s">
        <v>163</v>
      </c>
      <c r="L504" s="8" t="s">
        <v>1237</v>
      </c>
      <c r="M504" s="8" t="s">
        <v>27</v>
      </c>
      <c r="N504" s="8" t="s">
        <v>1238</v>
      </c>
      <c r="O504" s="8" t="s">
        <v>404</v>
      </c>
      <c r="P504" s="8" t="s">
        <v>405</v>
      </c>
      <c r="Q504" s="12" t="str">
        <f>HYPERLINK("http://www.miamiherald.com/news/local/crime/article27524482.html","http://www.miamiherald.com/news/local/crime/article27524482.html")</f>
        <v>http://www.miamiherald.com/news/local/crime/article27524482.html</v>
      </c>
      <c r="R504" s="8" t="s">
        <v>100</v>
      </c>
      <c r="S504" s="8" t="s">
        <v>28</v>
      </c>
      <c r="T504" s="8"/>
      <c r="U504" s="8"/>
      <c r="V504" s="8"/>
      <c r="W504" s="8"/>
      <c r="X504" s="8"/>
      <c r="AI504" s="8"/>
      <c r="AJ504" s="8"/>
      <c r="AK504" s="8"/>
      <c r="AL504" s="8"/>
      <c r="AM504" s="8"/>
    </row>
    <row r="505" spans="1:39" ht="13.5" customHeight="1">
      <c r="A505" s="8" t="s">
        <v>1224</v>
      </c>
      <c r="B505" s="16">
        <v>24</v>
      </c>
      <c r="C505" s="8" t="s">
        <v>20</v>
      </c>
      <c r="D505" s="8" t="s">
        <v>21</v>
      </c>
      <c r="F505" s="17">
        <v>42201</v>
      </c>
      <c r="G505" s="8" t="s">
        <v>1225</v>
      </c>
      <c r="H505" s="8" t="s">
        <v>1226</v>
      </c>
      <c r="I505" s="8" t="s">
        <v>323</v>
      </c>
      <c r="J505" s="16">
        <v>37406</v>
      </c>
      <c r="K505" s="2" t="s">
        <v>552</v>
      </c>
      <c r="L505" s="8" t="s">
        <v>1227</v>
      </c>
      <c r="M505" s="8" t="s">
        <v>27</v>
      </c>
      <c r="N505" s="8" t="s">
        <v>1228</v>
      </c>
      <c r="O505" s="8" t="s">
        <v>404</v>
      </c>
      <c r="P505" s="8" t="s">
        <v>405</v>
      </c>
      <c r="Q505" s="12" t="str">
        <f>HYPERLINK("http://www.cnn.com/2015/07/17/us/tennessee-shooter-mohammad-youssuf-abdulazeez/","http://www.cnn.com/2015/07/17/us/tennessee-shooter-mohammad-youssuf-abdulazeez/")</f>
        <v>http://www.cnn.com/2015/07/17/us/tennessee-shooter-mohammad-youssuf-abdulazeez/</v>
      </c>
      <c r="R505" s="8" t="s">
        <v>100</v>
      </c>
      <c r="S505" s="8" t="s">
        <v>28</v>
      </c>
      <c r="T505" s="8"/>
      <c r="U505" s="8"/>
    </row>
    <row r="506" spans="1:39" ht="13.5" customHeight="1">
      <c r="A506" s="8" t="s">
        <v>1256</v>
      </c>
      <c r="B506" s="16">
        <v>30</v>
      </c>
      <c r="C506" s="8" t="s">
        <v>20</v>
      </c>
      <c r="D506" s="8" t="s">
        <v>37</v>
      </c>
      <c r="F506" s="17">
        <v>42201</v>
      </c>
      <c r="G506" s="8" t="s">
        <v>1257</v>
      </c>
      <c r="H506" s="8" t="s">
        <v>434</v>
      </c>
      <c r="I506" s="8" t="s">
        <v>367</v>
      </c>
      <c r="J506" s="16">
        <v>66205</v>
      </c>
      <c r="K506" s="2" t="s">
        <v>604</v>
      </c>
      <c r="L506" s="8" t="s">
        <v>2140</v>
      </c>
      <c r="M506" s="8" t="s">
        <v>27</v>
      </c>
      <c r="N506" s="8" t="s">
        <v>1258</v>
      </c>
      <c r="O506" s="8" t="s">
        <v>404</v>
      </c>
      <c r="P506" s="8" t="s">
        <v>405</v>
      </c>
      <c r="Q506" s="12" t="str">
        <f>HYPERLINK("http://www.kmbc.com/news/armed-man-shot-and-killed-by-police-on-i35-identified/34224622?absolute=true","http://www.kmbc.com/news/armed-man-shot-and-killed-by-police-on-i35-identified/34224622?absolute=true")</f>
        <v>http://www.kmbc.com/news/armed-man-shot-and-killed-by-police-on-i35-identified/34224622?absolute=true</v>
      </c>
      <c r="R506" s="8" t="s">
        <v>100</v>
      </c>
      <c r="S506" s="8" t="s">
        <v>28</v>
      </c>
      <c r="T506" s="8"/>
      <c r="U506" s="8"/>
      <c r="V506" s="8"/>
      <c r="W506" s="8"/>
      <c r="X506" s="8"/>
    </row>
    <row r="507" spans="1:39" ht="13.5" customHeight="1">
      <c r="A507" s="8" t="s">
        <v>1250</v>
      </c>
      <c r="B507" s="16">
        <v>29</v>
      </c>
      <c r="C507" s="8" t="s">
        <v>20</v>
      </c>
      <c r="D507" s="8" t="s">
        <v>30</v>
      </c>
      <c r="F507" s="17">
        <v>42201</v>
      </c>
      <c r="G507" s="8" t="s">
        <v>1251</v>
      </c>
      <c r="H507" s="8" t="s">
        <v>1252</v>
      </c>
      <c r="I507" s="8" t="s">
        <v>94</v>
      </c>
      <c r="J507" s="16">
        <v>36467</v>
      </c>
      <c r="K507" s="2" t="s">
        <v>1253</v>
      </c>
      <c r="L507" s="8" t="s">
        <v>1254</v>
      </c>
      <c r="M507" s="8" t="s">
        <v>27</v>
      </c>
      <c r="N507" s="8" t="s">
        <v>1255</v>
      </c>
      <c r="O507" s="8" t="s">
        <v>1018</v>
      </c>
      <c r="P507" s="8" t="s">
        <v>405</v>
      </c>
      <c r="Q507" s="12" t="str">
        <f>HYPERLINK("http://www.myfoxal.com/story/29566625/man-in-opp-officer-involved-shooting-dies","http://www.myfoxal.com/story/29566625/man-in-opp-officer-involved-shooting-dies")</f>
        <v>http://www.myfoxal.com/story/29566625/man-in-opp-officer-involved-shooting-dies</v>
      </c>
      <c r="R507" s="8" t="s">
        <v>100</v>
      </c>
      <c r="S507" s="8" t="s">
        <v>28</v>
      </c>
      <c r="T507" s="8"/>
      <c r="U507" s="8"/>
    </row>
    <row r="508" spans="1:39" ht="13.5" customHeight="1">
      <c r="A508" s="8" t="s">
        <v>1244</v>
      </c>
      <c r="B508" s="16">
        <v>23</v>
      </c>
      <c r="C508" s="8" t="s">
        <v>20</v>
      </c>
      <c r="D508" s="8" t="s">
        <v>141</v>
      </c>
      <c r="E508" s="8" t="str">
        <f>HYPERLINK("http://media.graytvinc.com/images/saige+hack+2.jpg","http://media.graytvinc.com/images/saige+hack+2.jpg")</f>
        <v>http://media.graytvinc.com/images/saige+hack+2.jpg</v>
      </c>
      <c r="F508" s="17">
        <v>42201</v>
      </c>
      <c r="G508" s="8" t="s">
        <v>1245</v>
      </c>
      <c r="H508" s="8" t="s">
        <v>1246</v>
      </c>
      <c r="I508" s="8" t="s">
        <v>1092</v>
      </c>
      <c r="J508" s="16">
        <v>82007</v>
      </c>
      <c r="K508" s="2" t="s">
        <v>1247</v>
      </c>
      <c r="L508" s="8" t="s">
        <v>1248</v>
      </c>
      <c r="M508" s="8" t="s">
        <v>27</v>
      </c>
      <c r="N508" s="8" t="s">
        <v>1249</v>
      </c>
      <c r="O508" s="8" t="s">
        <v>404</v>
      </c>
      <c r="P508" s="8" t="s">
        <v>405</v>
      </c>
      <c r="Q508" s="12"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508" s="8" t="s">
        <v>100</v>
      </c>
      <c r="S508" s="8" t="s">
        <v>28</v>
      </c>
      <c r="T508" s="8"/>
      <c r="U508" s="8"/>
    </row>
    <row r="509" spans="1:39" ht="13.5" customHeight="1">
      <c r="A509" s="8" t="s">
        <v>1262</v>
      </c>
      <c r="B509" s="16">
        <v>43</v>
      </c>
      <c r="C509" s="8" t="s">
        <v>20</v>
      </c>
      <c r="D509" s="8" t="s">
        <v>37</v>
      </c>
      <c r="E509" s="8" t="str">
        <f>HYPERLINK("http://media.mlive.com/grpress/news_impact/photo/eugene-kailingjpg-1325419215b33c26.jpg","http://media.mlive.com/grpress/news_impact/photo/eugene-kailingjpg-1325419215b33c26.jpg")</f>
        <v>http://media.mlive.com/grpress/news_impact/photo/eugene-kailingjpg-1325419215b33c26.jpg</v>
      </c>
      <c r="F509" s="17">
        <v>42200</v>
      </c>
      <c r="G509" s="8" t="s">
        <v>1263</v>
      </c>
      <c r="H509" s="8" t="s">
        <v>424</v>
      </c>
      <c r="I509" s="8" t="s">
        <v>57</v>
      </c>
      <c r="J509" s="16">
        <v>49665</v>
      </c>
      <c r="K509" s="2" t="s">
        <v>1264</v>
      </c>
      <c r="L509" s="8" t="s">
        <v>4002</v>
      </c>
      <c r="M509" s="8" t="s">
        <v>27</v>
      </c>
      <c r="N509" s="8" t="s">
        <v>960</v>
      </c>
      <c r="O509" s="8" t="s">
        <v>404</v>
      </c>
      <c r="P509" s="8" t="s">
        <v>405</v>
      </c>
      <c r="Q509" s="12" t="str">
        <f>HYPERLINK("http://www.mlive.com/news/grand-rapids/index.ssf/2015/07/no_reason_to_shoot_him_step-da.html","http://www.mlive.com/news/grand-rapids/index.ssf/2015/07/no_reason_to_shoot_him_step-da.html")</f>
        <v>http://www.mlive.com/news/grand-rapids/index.ssf/2015/07/no_reason_to_shoot_him_step-da.html</v>
      </c>
      <c r="R509" s="8" t="s">
        <v>29</v>
      </c>
      <c r="S509" s="8" t="s">
        <v>35</v>
      </c>
      <c r="T509" s="8"/>
      <c r="U509" s="8"/>
      <c r="V509" s="8"/>
      <c r="W509" s="8"/>
      <c r="X509" s="8"/>
    </row>
    <row r="510" spans="1:39" ht="13.5" customHeight="1">
      <c r="A510" s="8" t="s">
        <v>1259</v>
      </c>
      <c r="B510" s="16">
        <v>41</v>
      </c>
      <c r="C510" s="8" t="s">
        <v>20</v>
      </c>
      <c r="D510" s="8" t="s">
        <v>37</v>
      </c>
      <c r="F510" s="17">
        <v>42200</v>
      </c>
      <c r="G510" s="8" t="s">
        <v>1260</v>
      </c>
      <c r="H510" s="8" t="s">
        <v>98</v>
      </c>
      <c r="I510" s="8" t="s">
        <v>45</v>
      </c>
      <c r="J510" s="16">
        <v>90291</v>
      </c>
      <c r="K510" s="2" t="s">
        <v>98</v>
      </c>
      <c r="L510" s="8" t="s">
        <v>99</v>
      </c>
      <c r="M510" s="8" t="s">
        <v>27</v>
      </c>
      <c r="N510" s="8" t="s">
        <v>1261</v>
      </c>
      <c r="O510" s="8" t="s">
        <v>404</v>
      </c>
      <c r="P510" s="8" t="s">
        <v>405</v>
      </c>
      <c r="Q510" s="12" t="str">
        <f>HYPERLINK("http://homicide.latimes.com/post/jason-charles-davis/","http://homicide.latimes.com/post/jason-charles-davis/")</f>
        <v>http://homicide.latimes.com/post/jason-charles-davis/</v>
      </c>
      <c r="R510" s="8" t="s">
        <v>100</v>
      </c>
      <c r="S510" s="8" t="s">
        <v>28</v>
      </c>
      <c r="T510" s="8"/>
      <c r="U510" s="8"/>
      <c r="V510" s="8"/>
      <c r="W510" s="8"/>
      <c r="X510" s="8"/>
    </row>
    <row r="511" spans="1:39" ht="13.5" customHeight="1">
      <c r="A511" s="8" t="s">
        <v>1266</v>
      </c>
      <c r="B511" s="16">
        <v>20</v>
      </c>
      <c r="C511" s="8" t="s">
        <v>20</v>
      </c>
      <c r="D511" s="8" t="s">
        <v>85</v>
      </c>
      <c r="F511" s="17">
        <v>42199</v>
      </c>
      <c r="G511" s="8" t="s">
        <v>1267</v>
      </c>
      <c r="H511" s="8" t="s">
        <v>1268</v>
      </c>
      <c r="I511" s="8" t="s">
        <v>62</v>
      </c>
      <c r="J511" s="16">
        <v>34753</v>
      </c>
      <c r="K511" s="2" t="s">
        <v>1269</v>
      </c>
      <c r="L511" s="8" t="s">
        <v>1270</v>
      </c>
      <c r="M511" s="8" t="s">
        <v>27</v>
      </c>
      <c r="N511" s="8" t="s">
        <v>1271</v>
      </c>
      <c r="O511" s="8" t="s">
        <v>404</v>
      </c>
      <c r="P511" s="8" t="s">
        <v>405</v>
      </c>
      <c r="Q511" s="12" t="str">
        <f>HYPERLINK("http://www.clickorlando.com/news/1-dead-in-deputyinvolved-shooting-in-lake-county/34153664","http://www.clickorlando.com/news/1-dead-in-deputyinvolved-shooting-in-lake-county/34153664")</f>
        <v>http://www.clickorlando.com/news/1-dead-in-deputyinvolved-shooting-in-lake-county/34153664</v>
      </c>
      <c r="R511" s="8" t="s">
        <v>100</v>
      </c>
      <c r="S511" s="8" t="s">
        <v>28</v>
      </c>
      <c r="T511" s="8"/>
      <c r="U511" s="8"/>
      <c r="AI511" s="8"/>
      <c r="AJ511" s="8"/>
      <c r="AK511" s="8"/>
      <c r="AL511" s="8"/>
      <c r="AM511" s="8"/>
    </row>
    <row r="512" spans="1:39" ht="13.5" customHeight="1">
      <c r="A512" s="8" t="s">
        <v>1272</v>
      </c>
      <c r="B512" s="16">
        <v>76</v>
      </c>
      <c r="C512" s="8" t="s">
        <v>20</v>
      </c>
      <c r="D512" s="8" t="s">
        <v>30</v>
      </c>
      <c r="F512" s="17">
        <v>42199</v>
      </c>
      <c r="G512" s="8" t="s">
        <v>1273</v>
      </c>
      <c r="H512" s="8" t="s">
        <v>1274</v>
      </c>
      <c r="I512" s="8" t="s">
        <v>69</v>
      </c>
      <c r="J512" s="16">
        <v>44470</v>
      </c>
      <c r="K512" s="2" t="s">
        <v>1275</v>
      </c>
      <c r="L512" s="8" t="s">
        <v>1276</v>
      </c>
      <c r="M512" s="8" t="s">
        <v>27</v>
      </c>
      <c r="N512" s="8" t="s">
        <v>1277</v>
      </c>
      <c r="O512" s="8" t="s">
        <v>404</v>
      </c>
      <c r="P512" s="8" t="s">
        <v>405</v>
      </c>
      <c r="Q512" s="12" t="str">
        <f>HYPERLINK("http://wkbn.com/2015/07/14/man-dies-in-shootout-with-police-in-southington/","http://wkbn.com/2015/07/14/man-dies-in-shootout-with-police-in-southington/")</f>
        <v>http://wkbn.com/2015/07/14/man-dies-in-shootout-with-police-in-southington/</v>
      </c>
      <c r="R512" s="8" t="s">
        <v>100</v>
      </c>
      <c r="S512" s="8" t="s">
        <v>28</v>
      </c>
      <c r="T512" s="8"/>
      <c r="U512" s="8"/>
    </row>
    <row r="513" spans="1:39" ht="13.5" customHeight="1">
      <c r="A513" s="8" t="s">
        <v>1288</v>
      </c>
      <c r="B513" s="16">
        <v>55</v>
      </c>
      <c r="C513" s="8" t="s">
        <v>20</v>
      </c>
      <c r="D513" s="8" t="s">
        <v>30</v>
      </c>
      <c r="F513" s="17">
        <v>42198</v>
      </c>
      <c r="G513" s="8" t="s">
        <v>1289</v>
      </c>
      <c r="H513" s="8" t="s">
        <v>625</v>
      </c>
      <c r="I513" s="8" t="s">
        <v>370</v>
      </c>
      <c r="J513" s="16">
        <v>28792</v>
      </c>
      <c r="K513" s="2" t="s">
        <v>1290</v>
      </c>
      <c r="L513" s="8" t="s">
        <v>1291</v>
      </c>
      <c r="M513" s="8" t="s">
        <v>2312</v>
      </c>
      <c r="N513" s="8" t="s">
        <v>1392</v>
      </c>
      <c r="O513" s="8" t="s">
        <v>404</v>
      </c>
      <c r="P513" s="8" t="s">
        <v>405</v>
      </c>
      <c r="Q513" s="12" t="s">
        <v>19954</v>
      </c>
      <c r="R513" s="8" t="s">
        <v>100</v>
      </c>
      <c r="S513" s="8" t="s">
        <v>18</v>
      </c>
      <c r="T513" s="8"/>
      <c r="U513" s="8"/>
      <c r="V513" s="8"/>
      <c r="W513" s="8"/>
      <c r="X513" s="8"/>
    </row>
    <row r="514" spans="1:39" ht="13.5" customHeight="1">
      <c r="A514" s="8" t="s">
        <v>1293</v>
      </c>
      <c r="B514" s="16">
        <v>23</v>
      </c>
      <c r="C514" s="8" t="s">
        <v>20</v>
      </c>
      <c r="D514" s="8" t="s">
        <v>37</v>
      </c>
      <c r="F514" s="17">
        <v>42198</v>
      </c>
      <c r="G514" s="8" t="s">
        <v>1294</v>
      </c>
      <c r="H514" s="8" t="s">
        <v>1295</v>
      </c>
      <c r="I514" s="8" t="s">
        <v>45</v>
      </c>
      <c r="J514" s="16">
        <v>96025</v>
      </c>
      <c r="K514" s="2" t="s">
        <v>964</v>
      </c>
      <c r="L514" s="8" t="s">
        <v>1296</v>
      </c>
      <c r="M514" s="8" t="s">
        <v>27</v>
      </c>
      <c r="N514" s="8" t="s">
        <v>1233</v>
      </c>
      <c r="O514" s="8" t="s">
        <v>404</v>
      </c>
      <c r="P514" s="8" t="s">
        <v>405</v>
      </c>
      <c r="Q514" s="12"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514" s="8" t="s">
        <v>100</v>
      </c>
      <c r="S514" s="8" t="s">
        <v>28</v>
      </c>
      <c r="T514" s="8"/>
      <c r="U514" s="8"/>
      <c r="V514" s="8"/>
      <c r="W514" s="8"/>
      <c r="X514" s="8"/>
    </row>
    <row r="515" spans="1:39" ht="13.5" customHeight="1">
      <c r="A515" s="8" t="s">
        <v>1298</v>
      </c>
      <c r="B515" s="16">
        <v>77</v>
      </c>
      <c r="C515" s="8" t="s">
        <v>20</v>
      </c>
      <c r="D515" s="8" t="s">
        <v>37</v>
      </c>
      <c r="E515" s="8" t="str">
        <f>HYPERLINK("http://www.dispatch.com/content/graphics/2015/07/13/nyal-brown.jpg","http://www.dispatch.com/content/graphics/2015/07/13/nyal-brown.jpg")</f>
        <v>http://www.dispatch.com/content/graphics/2015/07/13/nyal-brown.jpg</v>
      </c>
      <c r="F515" s="17">
        <v>42198</v>
      </c>
      <c r="G515" s="8" t="s">
        <v>1299</v>
      </c>
      <c r="H515" s="8" t="s">
        <v>1300</v>
      </c>
      <c r="I515" s="8" t="s">
        <v>69</v>
      </c>
      <c r="J515" s="16">
        <v>43204</v>
      </c>
      <c r="K515" s="2" t="s">
        <v>1301</v>
      </c>
      <c r="L515" s="8" t="s">
        <v>1302</v>
      </c>
      <c r="M515" s="8" t="s">
        <v>383</v>
      </c>
      <c r="N515" s="8" t="s">
        <v>1303</v>
      </c>
      <c r="O515" s="8" t="s">
        <v>404</v>
      </c>
      <c r="P515" s="8" t="s">
        <v>405</v>
      </c>
      <c r="Q515" s="12" t="str">
        <f>HYPERLINK("http://www.dispatch.com/content/stories/local/2015/07/13/fatal-crash-on-hilltop.html","http://www.dispatch.com/content/stories/local/2015/07/13/fatal-crash-on-hilltop.html")</f>
        <v>http://www.dispatch.com/content/stories/local/2015/07/13/fatal-crash-on-hilltop.html</v>
      </c>
      <c r="R515" s="8" t="s">
        <v>100</v>
      </c>
      <c r="S515" s="8" t="s">
        <v>18</v>
      </c>
      <c r="T515" s="8"/>
      <c r="U515" s="8"/>
    </row>
    <row r="516" spans="1:39" ht="13.5" customHeight="1">
      <c r="A516" s="8" t="s">
        <v>1283</v>
      </c>
      <c r="B516" s="16">
        <v>23</v>
      </c>
      <c r="C516" s="8" t="s">
        <v>20</v>
      </c>
      <c r="D516" s="8" t="s">
        <v>48</v>
      </c>
      <c r="F516" s="17">
        <v>42198</v>
      </c>
      <c r="G516" s="8" t="s">
        <v>1284</v>
      </c>
      <c r="H516" s="8" t="s">
        <v>1285</v>
      </c>
      <c r="I516" s="8" t="s">
        <v>46</v>
      </c>
      <c r="J516" s="16">
        <v>1902</v>
      </c>
      <c r="K516" s="2" t="s">
        <v>532</v>
      </c>
      <c r="L516" s="8" t="s">
        <v>1286</v>
      </c>
      <c r="M516" s="8" t="s">
        <v>27</v>
      </c>
      <c r="N516" s="8" t="s">
        <v>1543</v>
      </c>
      <c r="O516" s="8" t="s">
        <v>404</v>
      </c>
      <c r="P516" s="8" t="s">
        <v>405</v>
      </c>
      <c r="Q516" s="12"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516" s="8" t="s">
        <v>100</v>
      </c>
      <c r="S516" s="8" t="s">
        <v>383</v>
      </c>
      <c r="T516" s="8"/>
      <c r="U516" s="8"/>
      <c r="V516" s="8"/>
      <c r="W516" s="8"/>
      <c r="X516" s="8"/>
    </row>
    <row r="517" spans="1:39" ht="13.5" customHeight="1">
      <c r="A517" s="8" t="s">
        <v>1278</v>
      </c>
      <c r="B517" s="16">
        <v>28</v>
      </c>
      <c r="C517" s="8" t="s">
        <v>115</v>
      </c>
      <c r="D517" s="8" t="s">
        <v>85</v>
      </c>
      <c r="E517" s="8" t="s">
        <v>1279</v>
      </c>
      <c r="F517" s="17">
        <v>42198</v>
      </c>
      <c r="G517" s="8" t="s">
        <v>1280</v>
      </c>
      <c r="H517" s="8" t="s">
        <v>1281</v>
      </c>
      <c r="I517" s="8" t="s">
        <v>73</v>
      </c>
      <c r="J517" s="16">
        <v>77445</v>
      </c>
      <c r="K517" s="2" t="s">
        <v>839</v>
      </c>
      <c r="L517" s="8" t="s">
        <v>1282</v>
      </c>
      <c r="M517" s="8" t="s">
        <v>29</v>
      </c>
      <c r="N517" s="8" t="s">
        <v>21077</v>
      </c>
      <c r="P517" s="8" t="s">
        <v>405</v>
      </c>
      <c r="Q517" s="12"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517" s="8" t="s">
        <v>29</v>
      </c>
      <c r="S517" s="8" t="s">
        <v>18</v>
      </c>
      <c r="T517" s="8"/>
      <c r="U517" s="8"/>
      <c r="AI517" s="8"/>
      <c r="AJ517" s="8"/>
      <c r="AK517" s="8"/>
      <c r="AL517" s="8"/>
      <c r="AM517" s="8"/>
    </row>
    <row r="518" spans="1:39" ht="13.5" customHeight="1">
      <c r="A518" s="8" t="s">
        <v>1330</v>
      </c>
      <c r="B518" s="16">
        <v>27</v>
      </c>
      <c r="C518" s="8" t="s">
        <v>20</v>
      </c>
      <c r="D518" s="8" t="s">
        <v>37</v>
      </c>
      <c r="E518" s="8" t="str">
        <f>HYPERLINK("http://wac.450f.edgecastcdn.net/80450F/k2radio.com/files/2015/07/chris-benton.jpg","http://wac.450f.edgecastcdn.net/80450F/k2radio.com/files/2015/07/chris-benton.jpg")</f>
        <v>http://wac.450f.edgecastcdn.net/80450F/k2radio.com/files/2015/07/chris-benton.jpg</v>
      </c>
      <c r="F518" s="17">
        <v>42197</v>
      </c>
      <c r="G518" s="8" t="s">
        <v>1331</v>
      </c>
      <c r="H518" s="8" t="s">
        <v>1332</v>
      </c>
      <c r="I518" s="8" t="s">
        <v>1092</v>
      </c>
      <c r="J518" s="16">
        <v>82604</v>
      </c>
      <c r="K518" s="2" t="s">
        <v>1333</v>
      </c>
      <c r="L518" s="8" t="s">
        <v>1334</v>
      </c>
      <c r="M518" s="8" t="s">
        <v>27</v>
      </c>
      <c r="N518" s="8" t="s">
        <v>1335</v>
      </c>
      <c r="O518" s="8" t="s">
        <v>404</v>
      </c>
      <c r="P518" s="8" t="s">
        <v>405</v>
      </c>
      <c r="Q518" s="12" t="str">
        <f>HYPERLINK("http://www.wyomingnews.com/articles/2015/07/16/breaking_news/01breaking_7-16-15.txt#.Vdo9r_ZVikq","http://www.wyomingnews.com/articles/2015/07/16/breaking_news/01breaking_7-16-15.txt#.Vdo9r_ZVikq")</f>
        <v>http://www.wyomingnews.com/articles/2015/07/16/breaking_news/01breaking_7-16-15.txt#.Vdo9r_ZVikq</v>
      </c>
      <c r="R518" s="8" t="s">
        <v>100</v>
      </c>
      <c r="S518" s="8" t="s">
        <v>35</v>
      </c>
      <c r="T518" s="8"/>
      <c r="U518" s="8"/>
      <c r="Y518" s="8"/>
      <c r="Z518" s="8"/>
      <c r="AA518" s="8"/>
      <c r="AB518" s="8"/>
      <c r="AC518" s="8"/>
      <c r="AD518" s="8"/>
      <c r="AE518" s="8"/>
      <c r="AF518" s="8"/>
      <c r="AG518" s="8"/>
      <c r="AH518" s="8"/>
    </row>
    <row r="519" spans="1:39" ht="13.5" customHeight="1">
      <c r="A519" s="8" t="s">
        <v>1324</v>
      </c>
      <c r="B519" s="16">
        <v>62</v>
      </c>
      <c r="C519" s="8" t="s">
        <v>20</v>
      </c>
      <c r="D519" s="8" t="s">
        <v>37</v>
      </c>
      <c r="E519" s="8"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519" s="17">
        <v>42197</v>
      </c>
      <c r="G519" s="8" t="s">
        <v>1325</v>
      </c>
      <c r="H519" s="8" t="s">
        <v>1326</v>
      </c>
      <c r="I519" s="8" t="s">
        <v>73</v>
      </c>
      <c r="J519" s="16">
        <v>78736</v>
      </c>
      <c r="K519" s="2" t="s">
        <v>1327</v>
      </c>
      <c r="L519" s="8" t="s">
        <v>1328</v>
      </c>
      <c r="M519" s="8" t="s">
        <v>27</v>
      </c>
      <c r="N519" s="8" t="s">
        <v>1329</v>
      </c>
      <c r="O519" s="8" t="s">
        <v>404</v>
      </c>
      <c r="P519" s="8" t="s">
        <v>405</v>
      </c>
      <c r="Q519" s="12" t="str">
        <f>HYPERLINK("http://www.statesman.com/news/news/crime-law/man-killed-by-austin-police-officer-sunday-had-a-v/nmyKL/","http://www.statesman.com/news/news/crime-law/man-killed-by-austin-police-officer-sunday-had-a-v/nmyKL/")</f>
        <v>http://www.statesman.com/news/news/crime-law/man-killed-by-austin-police-officer-sunday-had-a-v/nmyKL/</v>
      </c>
      <c r="R519" s="8" t="s">
        <v>100</v>
      </c>
      <c r="S519" s="8" t="s">
        <v>35</v>
      </c>
      <c r="T519" s="8"/>
      <c r="U519" s="8"/>
    </row>
    <row r="520" spans="1:39" ht="13.5" customHeight="1">
      <c r="A520" s="8" t="s">
        <v>1314</v>
      </c>
      <c r="B520" s="16">
        <v>20</v>
      </c>
      <c r="C520" s="8" t="s">
        <v>20</v>
      </c>
      <c r="D520" s="8" t="s">
        <v>85</v>
      </c>
      <c r="E520" s="8" t="s">
        <v>20905</v>
      </c>
      <c r="F520" s="17">
        <v>42197</v>
      </c>
      <c r="G520" s="8" t="s">
        <v>1315</v>
      </c>
      <c r="H520" s="8" t="s">
        <v>1316</v>
      </c>
      <c r="I520" s="8" t="s">
        <v>175</v>
      </c>
      <c r="J520" s="16">
        <v>30083</v>
      </c>
      <c r="K520" s="2" t="s">
        <v>1317</v>
      </c>
      <c r="L520" s="8" t="s">
        <v>870</v>
      </c>
      <c r="M520" s="8" t="s">
        <v>27</v>
      </c>
      <c r="N520" s="8" t="s">
        <v>1318</v>
      </c>
      <c r="O520" s="8" t="s">
        <v>404</v>
      </c>
      <c r="P520" s="8" t="s">
        <v>405</v>
      </c>
      <c r="Q520" s="12" t="str">
        <f>HYPERLINK("http://www.ajc.com/news/news/crime-law/suspect-dead-officer-in-serious-condition-after-de/nmxbc/","http://www.ajc.com/news/news/crime-law/suspect-dead-officer-in-serious-condition-after-de/nmxbc/")</f>
        <v>http://www.ajc.com/news/news/crime-law/suspect-dead-officer-in-serious-condition-after-de/nmxbc/</v>
      </c>
      <c r="R520" s="8" t="s">
        <v>100</v>
      </c>
      <c r="S520" s="8" t="s">
        <v>28</v>
      </c>
      <c r="T520" s="8"/>
      <c r="U520" s="8"/>
    </row>
    <row r="521" spans="1:39" ht="13.5" customHeight="1">
      <c r="A521" s="8" t="s">
        <v>1319</v>
      </c>
      <c r="B521" s="16">
        <v>24</v>
      </c>
      <c r="C521" s="8" t="s">
        <v>20</v>
      </c>
      <c r="D521" s="8" t="s">
        <v>30</v>
      </c>
      <c r="F521" s="17">
        <v>42197</v>
      </c>
      <c r="G521" s="8" t="s">
        <v>1320</v>
      </c>
      <c r="H521" s="8" t="s">
        <v>1321</v>
      </c>
      <c r="I521" s="8" t="s">
        <v>44</v>
      </c>
      <c r="J521" s="16">
        <v>60305</v>
      </c>
      <c r="K521" s="2" t="s">
        <v>88</v>
      </c>
      <c r="L521" s="8" t="s">
        <v>1322</v>
      </c>
      <c r="M521" s="8" t="s">
        <v>27</v>
      </c>
      <c r="N521" s="8" t="s">
        <v>1323</v>
      </c>
      <c r="O521" s="8" t="s">
        <v>404</v>
      </c>
      <c r="P521" s="8" t="s">
        <v>405</v>
      </c>
      <c r="Q521" s="12" t="str">
        <f>HYPERLINK("http://www.oakpark.com/News/Articles/7-13-2015/Three-injured,-two-killed-in-River-Forest/","http://www.oakpark.com/News/Articles/7-13-2015/Three-injured,-two-killed-in-River-Forest/")</f>
        <v>http://www.oakpark.com/News/Articles/7-13-2015/Three-injured,-two-killed-in-River-Forest/</v>
      </c>
      <c r="R521" s="8" t="s">
        <v>29</v>
      </c>
      <c r="S521" s="8" t="s">
        <v>28</v>
      </c>
      <c r="T521" s="8"/>
      <c r="U521" s="8"/>
    </row>
    <row r="522" spans="1:39" ht="13.5" customHeight="1">
      <c r="A522" s="8" t="s">
        <v>1309</v>
      </c>
      <c r="B522" s="16">
        <v>35</v>
      </c>
      <c r="C522" s="8" t="s">
        <v>20</v>
      </c>
      <c r="D522" s="8" t="s">
        <v>141</v>
      </c>
      <c r="F522" s="17">
        <v>42197</v>
      </c>
      <c r="G522" s="8" t="s">
        <v>1310</v>
      </c>
      <c r="H522" s="8" t="s">
        <v>1311</v>
      </c>
      <c r="I522" s="8" t="s">
        <v>212</v>
      </c>
      <c r="J522" s="16">
        <v>80219</v>
      </c>
      <c r="K522" s="2" t="s">
        <v>1311</v>
      </c>
      <c r="L522" s="8" t="s">
        <v>1312</v>
      </c>
      <c r="M522" s="8" t="s">
        <v>27</v>
      </c>
      <c r="N522" s="8" t="s">
        <v>1313</v>
      </c>
      <c r="O522" s="8" t="s">
        <v>404</v>
      </c>
      <c r="P522" s="8" t="s">
        <v>405</v>
      </c>
      <c r="Q522" s="12"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522" s="8" t="s">
        <v>559</v>
      </c>
      <c r="S522" s="8" t="s">
        <v>28</v>
      </c>
      <c r="T522" s="8"/>
      <c r="U522" s="8"/>
      <c r="Y522" s="8"/>
      <c r="Z522" s="8"/>
      <c r="AA522" s="8"/>
      <c r="AB522" s="8"/>
      <c r="AC522" s="8"/>
      <c r="AD522" s="8"/>
      <c r="AE522" s="8"/>
      <c r="AF522" s="8"/>
      <c r="AG522" s="8"/>
      <c r="AH522" s="8"/>
    </row>
    <row r="523" spans="1:39" ht="13.5" customHeight="1">
      <c r="A523" s="8" t="s">
        <v>1304</v>
      </c>
      <c r="B523" s="16">
        <v>50</v>
      </c>
      <c r="C523" s="8" t="s">
        <v>20</v>
      </c>
      <c r="D523" s="8" t="s">
        <v>85</v>
      </c>
      <c r="E523" s="8"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523" s="17">
        <v>42197</v>
      </c>
      <c r="G523" s="8" t="s">
        <v>1305</v>
      </c>
      <c r="H523" s="8" t="s">
        <v>1306</v>
      </c>
      <c r="I523" s="8" t="s">
        <v>62</v>
      </c>
      <c r="J523" s="16">
        <v>33317</v>
      </c>
      <c r="K523" s="2" t="s">
        <v>1134</v>
      </c>
      <c r="L523" s="8" t="s">
        <v>1307</v>
      </c>
      <c r="M523" s="8" t="s">
        <v>27</v>
      </c>
      <c r="N523" s="8" t="s">
        <v>1308</v>
      </c>
      <c r="O523" s="8" t="s">
        <v>404</v>
      </c>
      <c r="P523" s="8" t="s">
        <v>405</v>
      </c>
      <c r="Q523" s="12" t="str">
        <f>HYPERLINK("http://www.sun-sentinel.com/local/broward/fl-plantation-cop-homeless-shooting-id-20150715-story.html","http://www.sun-sentinel.com/local/broward/fl-plantation-cop-homeless-shooting-id-20150715-story.html")</f>
        <v>http://www.sun-sentinel.com/local/broward/fl-plantation-cop-homeless-shooting-id-20150715-story.html</v>
      </c>
      <c r="R523" s="8" t="s">
        <v>100</v>
      </c>
      <c r="S523" s="8" t="s">
        <v>18</v>
      </c>
      <c r="T523" s="8"/>
      <c r="U523" s="8"/>
      <c r="Y523" s="8"/>
      <c r="Z523" s="8"/>
      <c r="AA523" s="8"/>
      <c r="AB523" s="8"/>
      <c r="AC523" s="8"/>
      <c r="AD523" s="8"/>
      <c r="AE523" s="8"/>
      <c r="AF523" s="8"/>
      <c r="AG523" s="8"/>
      <c r="AH523" s="8"/>
    </row>
    <row r="524" spans="1:39" ht="13.5" customHeight="1">
      <c r="A524" s="8" t="s">
        <v>1341</v>
      </c>
      <c r="B524" s="16">
        <v>31</v>
      </c>
      <c r="C524" s="8" t="s">
        <v>20</v>
      </c>
      <c r="D524" s="8" t="s">
        <v>37</v>
      </c>
      <c r="E524" s="8"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524" s="17">
        <v>42196</v>
      </c>
      <c r="G524" s="8" t="s">
        <v>1342</v>
      </c>
      <c r="H524" s="8" t="s">
        <v>1343</v>
      </c>
      <c r="I524" s="8" t="s">
        <v>45</v>
      </c>
      <c r="J524" s="16">
        <v>95961</v>
      </c>
      <c r="K524" s="2" t="s">
        <v>1344</v>
      </c>
      <c r="L524" s="8" t="s">
        <v>1345</v>
      </c>
      <c r="M524" s="8" t="s">
        <v>27</v>
      </c>
      <c r="N524" s="8" t="s">
        <v>1297</v>
      </c>
      <c r="O524" s="8" t="s">
        <v>404</v>
      </c>
      <c r="P524" s="8" t="s">
        <v>405</v>
      </c>
      <c r="Q524" s="12" t="str">
        <f>HYPERLINK("http://www.appeal-democrat.com/news/brother-man-killed-by-deputies-never-aimed-gun/article_6837624e-2b6b-11e5-acd8-fbcbeffebfe0.html","http://www.appeal-democrat.com/news/brother-man-killed-by-deputies-never-aimed-gun/article_6837624e-2b6b-11e5-acd8-fbcbeffebfe0.html")</f>
        <v>http://www.appeal-democrat.com/news/brother-man-killed-by-deputies-never-aimed-gun/article_6837624e-2b6b-11e5-acd8-fbcbeffebfe0.html</v>
      </c>
      <c r="R524" s="8" t="s">
        <v>29</v>
      </c>
      <c r="S524" s="8" t="s">
        <v>28</v>
      </c>
      <c r="T524" s="8"/>
      <c r="U524" s="8"/>
      <c r="V524" s="8"/>
      <c r="W524" s="8"/>
      <c r="X524" s="8"/>
    </row>
    <row r="525" spans="1:39" ht="13.5" customHeight="1">
      <c r="A525" s="8" t="s">
        <v>1336</v>
      </c>
      <c r="B525" s="16">
        <v>53</v>
      </c>
      <c r="C525" s="8" t="s">
        <v>20</v>
      </c>
      <c r="D525" s="8" t="s">
        <v>85</v>
      </c>
      <c r="F525" s="17">
        <v>42196</v>
      </c>
      <c r="G525" s="8" t="s">
        <v>1337</v>
      </c>
      <c r="H525" s="8" t="s">
        <v>1316</v>
      </c>
      <c r="I525" s="8" t="s">
        <v>175</v>
      </c>
      <c r="J525" s="16">
        <v>30087</v>
      </c>
      <c r="K525" s="2" t="s">
        <v>1338</v>
      </c>
      <c r="L525" s="8" t="s">
        <v>1339</v>
      </c>
      <c r="M525" s="8" t="s">
        <v>395</v>
      </c>
      <c r="N525" s="8" t="s">
        <v>1340</v>
      </c>
      <c r="O525" s="8" t="s">
        <v>404</v>
      </c>
      <c r="P525" s="8" t="s">
        <v>405</v>
      </c>
      <c r="Q525" s="12"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525" s="8" t="s">
        <v>972</v>
      </c>
      <c r="S525" s="8" t="s">
        <v>18</v>
      </c>
      <c r="T525" s="8"/>
      <c r="U525" s="8"/>
      <c r="AI525" s="8"/>
      <c r="AJ525" s="8"/>
      <c r="AK525" s="8"/>
      <c r="AL525" s="8"/>
      <c r="AM525" s="8"/>
    </row>
    <row r="526" spans="1:39" ht="13.5" customHeight="1">
      <c r="A526" s="8" t="s">
        <v>1346</v>
      </c>
      <c r="B526" s="16">
        <v>35</v>
      </c>
      <c r="C526" s="8" t="s">
        <v>20</v>
      </c>
      <c r="D526" s="8" t="s">
        <v>85</v>
      </c>
      <c r="F526" s="17">
        <v>42195</v>
      </c>
      <c r="G526" s="8" t="s">
        <v>1347</v>
      </c>
      <c r="H526" s="8" t="s">
        <v>713</v>
      </c>
      <c r="I526" s="8" t="s">
        <v>94</v>
      </c>
      <c r="J526" s="16">
        <v>35404</v>
      </c>
      <c r="K526" s="2" t="s">
        <v>713</v>
      </c>
      <c r="L526" s="8" t="s">
        <v>714</v>
      </c>
      <c r="M526" s="8" t="s">
        <v>5698</v>
      </c>
      <c r="N526" s="8" t="s">
        <v>1348</v>
      </c>
      <c r="O526" s="8" t="s">
        <v>404</v>
      </c>
      <c r="P526" s="8" t="s">
        <v>405</v>
      </c>
      <c r="Q526" s="12" t="str">
        <f>HYPERLINK("http://www.al.com/news/tuscaloosa/index.ssf/2015/07/tuscaloosa_police_release_more.html","http://www.al.com/news/tuscaloosa/index.ssf/2015/07/tuscaloosa_police_release_more.html")</f>
        <v>http://www.al.com/news/tuscaloosa/index.ssf/2015/07/tuscaloosa_police_release_more.html</v>
      </c>
      <c r="R526" s="8" t="s">
        <v>100</v>
      </c>
      <c r="S526" s="8" t="s">
        <v>35</v>
      </c>
      <c r="T526" s="8"/>
      <c r="U526" s="8"/>
      <c r="AI526" s="13"/>
      <c r="AJ526" s="13"/>
      <c r="AK526" s="13"/>
      <c r="AL526" s="13"/>
      <c r="AM526" s="13"/>
    </row>
    <row r="527" spans="1:39" ht="13.5" customHeight="1">
      <c r="A527" s="8" t="s">
        <v>1349</v>
      </c>
      <c r="B527" s="16">
        <v>20</v>
      </c>
      <c r="C527" s="8" t="s">
        <v>20</v>
      </c>
      <c r="D527" s="8" t="s">
        <v>85</v>
      </c>
      <c r="F527" s="17">
        <v>42195</v>
      </c>
      <c r="G527" s="8" t="s">
        <v>1350</v>
      </c>
      <c r="H527" s="8" t="s">
        <v>1253</v>
      </c>
      <c r="I527" s="8" t="s">
        <v>175</v>
      </c>
      <c r="J527" s="16">
        <v>30016</v>
      </c>
      <c r="K527" s="2" t="s">
        <v>1351</v>
      </c>
      <c r="L527" s="8" t="s">
        <v>1352</v>
      </c>
      <c r="M527" s="8" t="s">
        <v>27</v>
      </c>
      <c r="N527" s="8" t="s">
        <v>1353</v>
      </c>
      <c r="O527" s="8" t="s">
        <v>404</v>
      </c>
      <c r="P527" s="8" t="s">
        <v>405</v>
      </c>
      <c r="Q527" s="12" t="str">
        <f>HYPERLINK("http://www.ajc.com/news/news/crime-law/man-dies-after-being-shot-by-newton-deputies/nmxjG/","http://www.ajc.com/news/news/crime-law/man-dies-after-being-shot-by-newton-deputies/nmxjG/")</f>
        <v>http://www.ajc.com/news/news/crime-law/man-dies-after-being-shot-by-newton-deputies/nmxjG/</v>
      </c>
      <c r="R527" s="8" t="s">
        <v>100</v>
      </c>
      <c r="S527" s="8" t="s">
        <v>35</v>
      </c>
      <c r="T527" s="8"/>
      <c r="U527" s="8"/>
      <c r="AI527" s="8"/>
      <c r="AJ527" s="8"/>
      <c r="AK527" s="8"/>
      <c r="AL527" s="8"/>
      <c r="AM527" s="8"/>
    </row>
    <row r="528" spans="1:39" ht="13.5" customHeight="1">
      <c r="A528" s="8" t="s">
        <v>1354</v>
      </c>
      <c r="B528" s="16">
        <v>54</v>
      </c>
      <c r="C528" s="8" t="s">
        <v>20</v>
      </c>
      <c r="D528" s="8" t="s">
        <v>37</v>
      </c>
      <c r="F528" s="17">
        <v>42195</v>
      </c>
      <c r="G528" s="8" t="s">
        <v>1355</v>
      </c>
      <c r="H528" s="8" t="s">
        <v>661</v>
      </c>
      <c r="I528" s="8" t="s">
        <v>272</v>
      </c>
      <c r="J528" s="16">
        <v>89146</v>
      </c>
      <c r="K528" s="2" t="s">
        <v>574</v>
      </c>
      <c r="L528" s="8" t="s">
        <v>575</v>
      </c>
      <c r="M528" s="8" t="s">
        <v>27</v>
      </c>
      <c r="N528" s="8" t="s">
        <v>1356</v>
      </c>
      <c r="O528" s="8" t="s">
        <v>404</v>
      </c>
      <c r="P528" s="8" t="s">
        <v>405</v>
      </c>
      <c r="Q528" s="12" t="str">
        <f>HYPERLINK("http://lasvegassun.com/news/2015/jul/15/police-body-cam-video-shows-traffic-stop-turn-dead/","http://lasvegassun.com/news/2015/jul/15/police-body-cam-video-shows-traffic-stop-turn-dead/")</f>
        <v>http://lasvegassun.com/news/2015/jul/15/police-body-cam-video-shows-traffic-stop-turn-dead/</v>
      </c>
      <c r="R528" s="8" t="s">
        <v>100</v>
      </c>
      <c r="S528" s="8" t="s">
        <v>28</v>
      </c>
      <c r="T528" s="8"/>
      <c r="U528" s="8"/>
    </row>
    <row r="529" spans="1:39" ht="13.5" customHeight="1">
      <c r="A529" s="8" t="s">
        <v>1370</v>
      </c>
      <c r="B529" s="16">
        <v>17</v>
      </c>
      <c r="C529" s="8" t="s">
        <v>20</v>
      </c>
      <c r="D529" s="8" t="s">
        <v>37</v>
      </c>
      <c r="F529" s="17">
        <v>42194</v>
      </c>
      <c r="G529" s="8" t="s">
        <v>1371</v>
      </c>
      <c r="H529" s="8" t="s">
        <v>1372</v>
      </c>
      <c r="I529" s="8" t="s">
        <v>45</v>
      </c>
      <c r="J529" s="16">
        <v>95006</v>
      </c>
      <c r="K529" s="2" t="s">
        <v>1373</v>
      </c>
      <c r="L529" s="8" t="s">
        <v>1374</v>
      </c>
      <c r="M529" s="8" t="s">
        <v>27</v>
      </c>
      <c r="N529" s="8" t="s">
        <v>1375</v>
      </c>
      <c r="O529" s="8" t="s">
        <v>404</v>
      </c>
      <c r="P529" s="8" t="s">
        <v>405</v>
      </c>
      <c r="Q529" s="12"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529" s="8" t="s">
        <v>559</v>
      </c>
      <c r="S529" s="8" t="s">
        <v>28</v>
      </c>
      <c r="T529" s="8"/>
      <c r="U529" s="8"/>
    </row>
    <row r="530" spans="1:39" ht="13.5" customHeight="1">
      <c r="A530" s="8" t="s">
        <v>1360</v>
      </c>
      <c r="B530" s="16">
        <v>21</v>
      </c>
      <c r="C530" s="8" t="s">
        <v>20</v>
      </c>
      <c r="D530" s="8" t="s">
        <v>85</v>
      </c>
      <c r="F530" s="17">
        <v>42194</v>
      </c>
      <c r="G530" s="8" t="s">
        <v>1361</v>
      </c>
      <c r="H530" s="8" t="s">
        <v>434</v>
      </c>
      <c r="I530" s="8" t="s">
        <v>435</v>
      </c>
      <c r="J530" s="16">
        <v>64132</v>
      </c>
      <c r="K530" s="2" t="s">
        <v>437</v>
      </c>
      <c r="L530" s="8" t="s">
        <v>438</v>
      </c>
      <c r="M530" s="8" t="s">
        <v>27</v>
      </c>
      <c r="N530" s="8" t="s">
        <v>1427</v>
      </c>
      <c r="O530" s="8" t="s">
        <v>404</v>
      </c>
      <c r="P530" s="8" t="s">
        <v>405</v>
      </c>
      <c r="Q530" s="12" t="s">
        <v>19961</v>
      </c>
      <c r="R530" s="8" t="s">
        <v>29</v>
      </c>
      <c r="S530" s="8" t="s">
        <v>28</v>
      </c>
      <c r="T530" s="8"/>
      <c r="U530" s="8"/>
      <c r="V530" s="8"/>
      <c r="W530" s="8"/>
      <c r="X530" s="8"/>
      <c r="AI530" s="8"/>
      <c r="AJ530" s="8"/>
      <c r="AK530" s="8"/>
      <c r="AL530" s="8"/>
      <c r="AM530" s="8"/>
    </row>
    <row r="531" spans="1:39" ht="13.5" customHeight="1">
      <c r="A531" s="8" t="s">
        <v>1357</v>
      </c>
      <c r="B531" s="16">
        <v>27</v>
      </c>
      <c r="C531" s="8" t="s">
        <v>20</v>
      </c>
      <c r="D531" s="8" t="s">
        <v>85</v>
      </c>
      <c r="F531" s="17">
        <v>42194</v>
      </c>
      <c r="G531" s="8" t="s">
        <v>1358</v>
      </c>
      <c r="H531" s="8" t="s">
        <v>87</v>
      </c>
      <c r="I531" s="8" t="s">
        <v>44</v>
      </c>
      <c r="J531" s="16">
        <v>60619</v>
      </c>
      <c r="K531" s="2" t="s">
        <v>88</v>
      </c>
      <c r="L531" s="8" t="s">
        <v>89</v>
      </c>
      <c r="M531" s="8" t="s">
        <v>27</v>
      </c>
      <c r="N531" s="8" t="s">
        <v>1359</v>
      </c>
      <c r="O531" s="8" t="s">
        <v>404</v>
      </c>
      <c r="P531" s="8" t="s">
        <v>405</v>
      </c>
      <c r="Q531" s="12" t="str">
        <f>HYPERLINK("http://chicago.suntimes.com/crime/7/71/759984/chicago-police-involved-grand-crossing-shooting","http://chicago.suntimes.com/crime/7/71/759984/chicago-police-involved-grand-crossing-shooting")</f>
        <v>http://chicago.suntimes.com/crime/7/71/759984/chicago-police-involved-grand-crossing-shooting</v>
      </c>
      <c r="R531" s="8" t="s">
        <v>100</v>
      </c>
      <c r="S531" s="8" t="s">
        <v>28</v>
      </c>
      <c r="T531" s="8"/>
      <c r="U531" s="8"/>
      <c r="Y531" s="8"/>
      <c r="Z531" s="8"/>
      <c r="AA531" s="8"/>
      <c r="AB531" s="8"/>
      <c r="AC531" s="8"/>
      <c r="AD531" s="8"/>
      <c r="AE531" s="8"/>
      <c r="AF531" s="8"/>
      <c r="AG531" s="8"/>
      <c r="AH531" s="8"/>
      <c r="AI531" s="8"/>
      <c r="AJ531" s="8"/>
      <c r="AK531" s="8"/>
      <c r="AL531" s="8"/>
      <c r="AM531" s="8"/>
    </row>
    <row r="532" spans="1:39" ht="13.5" customHeight="1">
      <c r="A532" s="8" t="s">
        <v>1364</v>
      </c>
      <c r="B532" s="16">
        <v>38</v>
      </c>
      <c r="C532" s="8" t="s">
        <v>20</v>
      </c>
      <c r="D532" s="8" t="s">
        <v>30</v>
      </c>
      <c r="F532" s="17">
        <v>42194</v>
      </c>
      <c r="G532" s="8" t="s">
        <v>1365</v>
      </c>
      <c r="H532" s="8" t="s">
        <v>98</v>
      </c>
      <c r="I532" s="8" t="s">
        <v>45</v>
      </c>
      <c r="J532" s="16">
        <v>92083</v>
      </c>
      <c r="K532" s="2" t="s">
        <v>98</v>
      </c>
      <c r="L532" s="8" t="s">
        <v>99</v>
      </c>
      <c r="M532" s="8" t="s">
        <v>27</v>
      </c>
      <c r="N532" s="8" t="s">
        <v>1366</v>
      </c>
      <c r="O532" s="8" t="s">
        <v>404</v>
      </c>
      <c r="P532" s="8" t="s">
        <v>405</v>
      </c>
      <c r="Q532" s="12" t="str">
        <f>HYPERLINK("http://www.scpr.org/news/2015/07/10/53025/mid-wilshire-police-shooting-suspect-in-skateboard/","http://www.scpr.org/news/2015/07/10/53025/mid-wilshire-police-shooting-suspect-in-skateboard/")</f>
        <v>http://www.scpr.org/news/2015/07/10/53025/mid-wilshire-police-shooting-suspect-in-skateboard/</v>
      </c>
      <c r="R532" s="8" t="s">
        <v>100</v>
      </c>
      <c r="S532" s="8" t="s">
        <v>28</v>
      </c>
      <c r="T532" s="8"/>
      <c r="U532" s="8"/>
    </row>
    <row r="533" spans="1:39" ht="13.5" customHeight="1">
      <c r="A533" s="8" t="s">
        <v>1367</v>
      </c>
      <c r="B533" s="16">
        <v>68</v>
      </c>
      <c r="C533" s="8" t="s">
        <v>20</v>
      </c>
      <c r="D533" s="8" t="s">
        <v>37</v>
      </c>
      <c r="F533" s="17">
        <v>42194</v>
      </c>
      <c r="G533" s="8" t="s">
        <v>1368</v>
      </c>
      <c r="H533" s="8" t="s">
        <v>638</v>
      </c>
      <c r="I533" s="8" t="s">
        <v>124</v>
      </c>
      <c r="J533" s="16">
        <v>85029</v>
      </c>
      <c r="K533" s="2" t="s">
        <v>639</v>
      </c>
      <c r="L533" s="8" t="s">
        <v>640</v>
      </c>
      <c r="M533" s="8" t="s">
        <v>27</v>
      </c>
      <c r="N533" s="8" t="s">
        <v>1369</v>
      </c>
      <c r="O533" s="8" t="s">
        <v>404</v>
      </c>
      <c r="P533" s="8" t="s">
        <v>405</v>
      </c>
      <c r="Q533" s="12"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533" s="8" t="s">
        <v>29</v>
      </c>
      <c r="S533" s="8" t="s">
        <v>28</v>
      </c>
      <c r="T533" s="8"/>
      <c r="U533" s="8"/>
    </row>
    <row r="534" spans="1:39" ht="13.5" customHeight="1">
      <c r="A534" s="8" t="s">
        <v>1376</v>
      </c>
      <c r="B534" s="16">
        <v>50</v>
      </c>
      <c r="C534" s="8" t="s">
        <v>20</v>
      </c>
      <c r="D534" s="8" t="s">
        <v>37</v>
      </c>
      <c r="E534" s="8" t="str">
        <f>HYPERLINK("http://matchbin-assets.s3.amazonaws.com/public/sites/990/assets/26J5_1625924_profile_pic.jpg","http://matchbin-assets.s3.amazonaws.com/public/sites/990/assets/26J5_1625924_profile_pic.jpg")</f>
        <v>http://matchbin-assets.s3.amazonaws.com/public/sites/990/assets/26J5_1625924_profile_pic.jpg</v>
      </c>
      <c r="F534" s="17">
        <v>42194</v>
      </c>
      <c r="G534" s="8" t="s">
        <v>1377</v>
      </c>
      <c r="H534" s="8" t="s">
        <v>1378</v>
      </c>
      <c r="I534" s="8" t="s">
        <v>243</v>
      </c>
      <c r="J534" s="16">
        <v>84761</v>
      </c>
      <c r="K534" s="2" t="s">
        <v>1379</v>
      </c>
      <c r="L534" s="8" t="s">
        <v>1380</v>
      </c>
      <c r="M534" s="8" t="s">
        <v>27</v>
      </c>
      <c r="N534" s="8" t="s">
        <v>1381</v>
      </c>
      <c r="O534" s="8" t="s">
        <v>404</v>
      </c>
      <c r="P534" s="8" t="s">
        <v>405</v>
      </c>
      <c r="Q534" s="12"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534" s="8" t="s">
        <v>100</v>
      </c>
      <c r="S534" s="8" t="s">
        <v>28</v>
      </c>
      <c r="T534" s="8"/>
      <c r="U534" s="8"/>
    </row>
    <row r="535" spans="1:39" ht="13.5" customHeight="1">
      <c r="A535" s="8" t="s">
        <v>1387</v>
      </c>
      <c r="B535" s="16">
        <v>62</v>
      </c>
      <c r="C535" s="8" t="s">
        <v>20</v>
      </c>
      <c r="D535" s="8" t="s">
        <v>37</v>
      </c>
      <c r="F535" s="17">
        <v>42193</v>
      </c>
      <c r="G535" s="8" t="s">
        <v>1388</v>
      </c>
      <c r="H535" s="8" t="s">
        <v>1389</v>
      </c>
      <c r="I535" s="8" t="s">
        <v>370</v>
      </c>
      <c r="J535" s="16">
        <v>28617</v>
      </c>
      <c r="K535" s="2" t="s">
        <v>1390</v>
      </c>
      <c r="L535" s="8" t="s">
        <v>1391</v>
      </c>
      <c r="M535" s="8" t="s">
        <v>27</v>
      </c>
      <c r="N535" s="8" t="s">
        <v>1197</v>
      </c>
      <c r="O535" s="8" t="s">
        <v>404</v>
      </c>
      <c r="P535" s="8" t="s">
        <v>405</v>
      </c>
      <c r="Q535" s="12" t="str">
        <f>HYPERLINK("http://www.wsoctv.com/news/news/local/sbi-investigating-deadly-officer-involved-shooting/nmt7Y/","http://www.wsoctv.com/news/news/local/sbi-investigating-deadly-officer-involved-shooting/nmt7Y/")</f>
        <v>http://www.wsoctv.com/news/news/local/sbi-investigating-deadly-officer-involved-shooting/nmt7Y/</v>
      </c>
      <c r="R535" s="8" t="s">
        <v>972</v>
      </c>
      <c r="S535" s="8" t="s">
        <v>383</v>
      </c>
      <c r="T535" s="8"/>
      <c r="U535" s="8"/>
    </row>
    <row r="536" spans="1:39" ht="13.5" customHeight="1">
      <c r="A536" s="8" t="s">
        <v>1382</v>
      </c>
      <c r="B536" s="16">
        <v>39</v>
      </c>
      <c r="C536" s="8" t="s">
        <v>20</v>
      </c>
      <c r="D536" s="8" t="s">
        <v>85</v>
      </c>
      <c r="E536" s="8"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536" s="17">
        <v>42193</v>
      </c>
      <c r="G536" s="8" t="s">
        <v>29</v>
      </c>
      <c r="H536" s="8" t="s">
        <v>1383</v>
      </c>
      <c r="I536" s="8" t="s">
        <v>675</v>
      </c>
      <c r="J536" s="16">
        <v>39355</v>
      </c>
      <c r="K536" s="2" t="s">
        <v>1384</v>
      </c>
      <c r="L536" s="8" t="s">
        <v>1385</v>
      </c>
      <c r="M536" s="8" t="s">
        <v>2312</v>
      </c>
      <c r="N536" s="8" t="s">
        <v>1362</v>
      </c>
      <c r="O536" s="8" t="s">
        <v>1363</v>
      </c>
      <c r="P536" s="8" t="s">
        <v>405</v>
      </c>
      <c r="Q536" s="12" t="str">
        <f>HYPERLINK("http://www.wtok.com/home/headlines/New-Details-in-Stonewall-Death-Investigation-313047501.html","http://www.wtok.com/home/headlines/New-Details-in-Stonewall-Death-Investigation-313047501.html")</f>
        <v>http://www.wtok.com/home/headlines/New-Details-in-Stonewall-Death-Investigation-313047501.html</v>
      </c>
      <c r="R536" s="8" t="s">
        <v>100</v>
      </c>
      <c r="S536" s="8" t="s">
        <v>18</v>
      </c>
      <c r="T536" s="8"/>
      <c r="U536" s="8"/>
      <c r="AI536" s="8"/>
      <c r="AJ536" s="8"/>
      <c r="AK536" s="8"/>
      <c r="AL536" s="8"/>
      <c r="AM536" s="8"/>
    </row>
    <row r="537" spans="1:39" ht="13.5" customHeight="1">
      <c r="A537" s="8" t="s">
        <v>1393</v>
      </c>
      <c r="B537" s="16">
        <v>59</v>
      </c>
      <c r="C537" s="8" t="s">
        <v>20</v>
      </c>
      <c r="D537" s="8" t="s">
        <v>37</v>
      </c>
      <c r="E537" s="8" t="str">
        <f>HYPERLINK("http://media.oregonlive.com/beaverton_news/photo/westrichjpg-51507199625e81e6.jpg","http://media.oregonlive.com/beaverton_news/photo/westrichjpg-51507199625e81e6.jpg")</f>
        <v>http://media.oregonlive.com/beaverton_news/photo/westrichjpg-51507199625e81e6.jpg</v>
      </c>
      <c r="F537" s="17">
        <v>42193</v>
      </c>
      <c r="G537" s="8" t="s">
        <v>1394</v>
      </c>
      <c r="H537" s="8" t="s">
        <v>329</v>
      </c>
      <c r="I537" s="8" t="s">
        <v>118</v>
      </c>
      <c r="J537" s="16">
        <v>97008</v>
      </c>
      <c r="K537" s="2" t="s">
        <v>119</v>
      </c>
      <c r="L537" s="8" t="s">
        <v>1395</v>
      </c>
      <c r="M537" s="8" t="s">
        <v>27</v>
      </c>
      <c r="N537" s="8" t="s">
        <v>1396</v>
      </c>
      <c r="O537" s="8" t="s">
        <v>404</v>
      </c>
      <c r="P537" s="8" t="s">
        <v>405</v>
      </c>
      <c r="Q537" s="12"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537" s="8" t="s">
        <v>559</v>
      </c>
      <c r="S537" s="8" t="s">
        <v>28</v>
      </c>
      <c r="T537" s="8"/>
      <c r="U537" s="8"/>
    </row>
    <row r="538" spans="1:39" ht="13.5" customHeight="1">
      <c r="A538" s="8" t="s">
        <v>1402</v>
      </c>
      <c r="B538" s="16">
        <v>47</v>
      </c>
      <c r="C538" s="8" t="s">
        <v>20</v>
      </c>
      <c r="D538" s="8" t="s">
        <v>48</v>
      </c>
      <c r="F538" s="17">
        <v>42192</v>
      </c>
      <c r="G538" s="8" t="s">
        <v>1403</v>
      </c>
      <c r="H538" s="8" t="s">
        <v>686</v>
      </c>
      <c r="I538" s="8" t="s">
        <v>45</v>
      </c>
      <c r="J538" s="16">
        <v>93307</v>
      </c>
      <c r="K538" s="2" t="s">
        <v>687</v>
      </c>
      <c r="L538" s="8" t="s">
        <v>688</v>
      </c>
      <c r="M538" s="8" t="s">
        <v>27</v>
      </c>
      <c r="N538" s="8" t="s">
        <v>1404</v>
      </c>
      <c r="O538" s="8" t="s">
        <v>404</v>
      </c>
      <c r="P538" s="8" t="s">
        <v>405</v>
      </c>
      <c r="Q538" s="12"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538" s="8" t="s">
        <v>100</v>
      </c>
      <c r="S538" s="8" t="s">
        <v>28</v>
      </c>
      <c r="T538" s="8"/>
      <c r="U538" s="8"/>
    </row>
    <row r="539" spans="1:39" ht="13.5" customHeight="1">
      <c r="A539" s="8" t="s">
        <v>1428</v>
      </c>
      <c r="B539" s="16">
        <v>59</v>
      </c>
      <c r="C539" s="8" t="s">
        <v>20</v>
      </c>
      <c r="D539" s="8" t="s">
        <v>37</v>
      </c>
      <c r="E539" s="8" t="str">
        <f>HYPERLINK("http://www.homefacts.com/images/offenders/texas/thumb/01958213.jpg","http://www.homefacts.com/images/offenders/texas/thumb/01958213.jpg")</f>
        <v>http://www.homefacts.com/images/offenders/texas/thumb/01958213.jpg</v>
      </c>
      <c r="F539" s="17">
        <v>42192</v>
      </c>
      <c r="G539" s="8" t="s">
        <v>1429</v>
      </c>
      <c r="H539" s="8" t="s">
        <v>288</v>
      </c>
      <c r="I539" s="8" t="s">
        <v>73</v>
      </c>
      <c r="J539" s="16">
        <v>75208</v>
      </c>
      <c r="K539" s="2" t="s">
        <v>288</v>
      </c>
      <c r="L539" s="8" t="s">
        <v>289</v>
      </c>
      <c r="M539" s="8" t="s">
        <v>27</v>
      </c>
      <c r="N539" s="8" t="s">
        <v>1430</v>
      </c>
      <c r="O539" s="8" t="s">
        <v>404</v>
      </c>
      <c r="P539" s="8" t="s">
        <v>405</v>
      </c>
      <c r="Q539" s="12"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539" s="8" t="s">
        <v>100</v>
      </c>
      <c r="S539" s="8" t="s">
        <v>28</v>
      </c>
      <c r="T539" s="8"/>
      <c r="U539" s="8"/>
      <c r="Y539" s="8"/>
      <c r="Z539" s="8"/>
      <c r="AA539" s="8"/>
      <c r="AB539" s="8"/>
      <c r="AC539" s="8"/>
      <c r="AD539" s="8"/>
      <c r="AE539" s="8"/>
      <c r="AF539" s="8"/>
      <c r="AG539" s="8"/>
      <c r="AH539" s="8"/>
    </row>
    <row r="540" spans="1:39" ht="13.5" customHeight="1">
      <c r="A540" s="8" t="s">
        <v>1405</v>
      </c>
      <c r="B540" s="16">
        <v>39</v>
      </c>
      <c r="C540" s="8" t="s">
        <v>20</v>
      </c>
      <c r="D540" s="8" t="s">
        <v>48</v>
      </c>
      <c r="F540" s="17">
        <v>42192</v>
      </c>
      <c r="G540" s="8" t="s">
        <v>1406</v>
      </c>
      <c r="H540" s="8" t="s">
        <v>1407</v>
      </c>
      <c r="I540" s="8" t="s">
        <v>73</v>
      </c>
      <c r="J540" s="16">
        <v>78542</v>
      </c>
      <c r="K540" s="2" t="s">
        <v>1408</v>
      </c>
      <c r="L540" s="8" t="s">
        <v>1409</v>
      </c>
      <c r="M540" s="8" t="s">
        <v>27</v>
      </c>
      <c r="N540" s="8" t="s">
        <v>1410</v>
      </c>
      <c r="O540" s="8" t="s">
        <v>404</v>
      </c>
      <c r="P540" s="8" t="s">
        <v>405</v>
      </c>
      <c r="Q540"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540" s="8" t="s">
        <v>29</v>
      </c>
      <c r="S540" s="8" t="s">
        <v>28</v>
      </c>
      <c r="T540" s="8"/>
      <c r="U540" s="8"/>
    </row>
    <row r="541" spans="1:39" ht="13.5" customHeight="1">
      <c r="A541" s="8" t="s">
        <v>1417</v>
      </c>
      <c r="B541" s="16">
        <v>28</v>
      </c>
      <c r="C541" s="8" t="s">
        <v>20</v>
      </c>
      <c r="D541" s="8" t="s">
        <v>37</v>
      </c>
      <c r="F541" s="17">
        <v>42192</v>
      </c>
      <c r="G541" s="8" t="s">
        <v>1418</v>
      </c>
      <c r="H541" s="8" t="s">
        <v>1419</v>
      </c>
      <c r="I541" s="8" t="s">
        <v>319</v>
      </c>
      <c r="J541" s="16">
        <v>42701</v>
      </c>
      <c r="K541" s="2" t="s">
        <v>1420</v>
      </c>
      <c r="L541" s="8" t="s">
        <v>1421</v>
      </c>
      <c r="M541" s="8" t="s">
        <v>27</v>
      </c>
      <c r="N541" s="8" t="s">
        <v>1422</v>
      </c>
      <c r="O541" s="8" t="s">
        <v>404</v>
      </c>
      <c r="P541" s="8" t="s">
        <v>405</v>
      </c>
      <c r="Q541" s="12" t="str">
        <f>HYPERLINK("http://www.wlky.com/news/man-dies-after-being-shot-by-elizabethtown-police/34052212","http://www.wlky.com/news/man-dies-after-being-shot-by-elizabethtown-police/34052212")</f>
        <v>http://www.wlky.com/news/man-dies-after-being-shot-by-elizabethtown-police/34052212</v>
      </c>
      <c r="R541" s="8" t="s">
        <v>100</v>
      </c>
      <c r="S541" s="8" t="s">
        <v>28</v>
      </c>
      <c r="T541" s="8"/>
      <c r="U541" s="8"/>
      <c r="Y541" s="8"/>
      <c r="Z541" s="8"/>
      <c r="AA541" s="8"/>
      <c r="AB541" s="8"/>
      <c r="AC541" s="8"/>
      <c r="AD541" s="8"/>
      <c r="AE541" s="8"/>
      <c r="AF541" s="8"/>
      <c r="AG541" s="8"/>
      <c r="AH541" s="8"/>
    </row>
    <row r="542" spans="1:39" ht="13.5" customHeight="1">
      <c r="A542" s="8" t="s">
        <v>1397</v>
      </c>
      <c r="B542" s="16">
        <v>18</v>
      </c>
      <c r="C542" s="8" t="s">
        <v>20</v>
      </c>
      <c r="D542" s="8" t="s">
        <v>85</v>
      </c>
      <c r="F542" s="17">
        <v>42192</v>
      </c>
      <c r="G542" s="8" t="s">
        <v>1398</v>
      </c>
      <c r="H542" s="8" t="s">
        <v>1399</v>
      </c>
      <c r="I542" s="8" t="s">
        <v>73</v>
      </c>
      <c r="J542" s="16">
        <v>77489</v>
      </c>
      <c r="K542" s="2" t="s">
        <v>1400</v>
      </c>
      <c r="L542" s="8" t="s">
        <v>732</v>
      </c>
      <c r="M542" s="8" t="s">
        <v>27</v>
      </c>
      <c r="N542" s="8" t="s">
        <v>1401</v>
      </c>
      <c r="O542" s="8" t="s">
        <v>404</v>
      </c>
      <c r="P542" s="8" t="s">
        <v>405</v>
      </c>
      <c r="Q542" s="12"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542" s="8" t="s">
        <v>100</v>
      </c>
      <c r="S542" s="8" t="s">
        <v>28</v>
      </c>
      <c r="T542" s="8"/>
      <c r="U542" s="8"/>
      <c r="AI542" s="8"/>
      <c r="AJ542" s="8"/>
      <c r="AK542" s="8"/>
      <c r="AL542" s="8"/>
      <c r="AM542" s="8"/>
    </row>
    <row r="543" spans="1:39" ht="13.5" customHeight="1">
      <c r="A543" s="8" t="s">
        <v>1423</v>
      </c>
      <c r="B543" s="16">
        <v>35</v>
      </c>
      <c r="C543" s="8" t="s">
        <v>20</v>
      </c>
      <c r="D543" s="8" t="s">
        <v>37</v>
      </c>
      <c r="E543" s="8" t="str">
        <f>HYPERLINK("http://www.kansascity.com/news/local/crime/iwklhy/picture26752486/ALTERNATES/FREE_640/Booth","http://www.kansascity.com/news/local/crime/iwklhy/picture26752486/ALTERNATES/FREE_640/Booth")</f>
        <v>http://www.kansascity.com/news/local/crime/iwklhy/picture26752486/ALTERNATES/FREE_640/Booth</v>
      </c>
      <c r="F543" s="17">
        <v>42192</v>
      </c>
      <c r="G543" s="8" t="s">
        <v>1424</v>
      </c>
      <c r="H543" s="8" t="s">
        <v>1425</v>
      </c>
      <c r="I543" s="8" t="s">
        <v>435</v>
      </c>
      <c r="J543" s="16">
        <v>64050</v>
      </c>
      <c r="K543" s="2" t="s">
        <v>437</v>
      </c>
      <c r="L543" s="8" t="s">
        <v>1426</v>
      </c>
      <c r="M543" s="8" t="s">
        <v>27</v>
      </c>
      <c r="N543" s="8" t="s">
        <v>1083</v>
      </c>
      <c r="O543" s="8" t="s">
        <v>404</v>
      </c>
      <c r="P543" s="8" t="s">
        <v>405</v>
      </c>
      <c r="Q543" s="12" t="str">
        <f>HYPERLINK("http://www.kctv5.com/story/29494552/armed-carjacking-suspect-dead-in-police-shooting","http://www.kctv5.com/story/29494552/armed-carjacking-suspect-dead-in-police-shooting")</f>
        <v>http://www.kctv5.com/story/29494552/armed-carjacking-suspect-dead-in-police-shooting</v>
      </c>
      <c r="R543" s="8" t="s">
        <v>29</v>
      </c>
      <c r="S543" s="8" t="s">
        <v>28</v>
      </c>
      <c r="T543" s="8"/>
      <c r="U543" s="8"/>
      <c r="V543" s="8"/>
      <c r="W543" s="8"/>
      <c r="X543" s="8"/>
    </row>
    <row r="544" spans="1:39" ht="13.5" customHeight="1">
      <c r="A544" s="8" t="s">
        <v>1411</v>
      </c>
      <c r="B544" s="16">
        <v>37</v>
      </c>
      <c r="C544" s="8" t="s">
        <v>20</v>
      </c>
      <c r="D544" s="8" t="s">
        <v>30</v>
      </c>
      <c r="F544" s="17">
        <v>42192</v>
      </c>
      <c r="G544" s="8" t="s">
        <v>1412</v>
      </c>
      <c r="H544" s="8" t="s">
        <v>1413</v>
      </c>
      <c r="I544" s="8" t="s">
        <v>81</v>
      </c>
      <c r="J544" s="16">
        <v>8401</v>
      </c>
      <c r="K544" s="2" t="s">
        <v>1414</v>
      </c>
      <c r="L544" s="8" t="s">
        <v>1415</v>
      </c>
      <c r="M544" s="8" t="s">
        <v>27</v>
      </c>
      <c r="N544" s="8" t="s">
        <v>1416</v>
      </c>
      <c r="O544" s="8" t="s">
        <v>404</v>
      </c>
      <c r="P544" s="8" t="s">
        <v>405</v>
      </c>
      <c r="Q544" s="12"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544" s="8" t="s">
        <v>559</v>
      </c>
      <c r="S544" s="8" t="s">
        <v>28</v>
      </c>
      <c r="T544" s="8"/>
      <c r="U544" s="8"/>
    </row>
    <row r="545" spans="1:39" ht="13.5" customHeight="1">
      <c r="A545" s="8" t="s">
        <v>1440</v>
      </c>
      <c r="B545" s="16">
        <v>33</v>
      </c>
      <c r="C545" s="8" t="s">
        <v>20</v>
      </c>
      <c r="D545" s="8" t="s">
        <v>37</v>
      </c>
      <c r="F545" s="17">
        <v>42191</v>
      </c>
      <c r="G545" s="8" t="s">
        <v>1441</v>
      </c>
      <c r="H545" s="8" t="s">
        <v>1442</v>
      </c>
      <c r="I545" s="8" t="s">
        <v>124</v>
      </c>
      <c r="J545" s="16">
        <v>85204</v>
      </c>
      <c r="K545" s="2" t="s">
        <v>639</v>
      </c>
      <c r="L545" s="8" t="s">
        <v>1443</v>
      </c>
      <c r="M545" s="8" t="s">
        <v>27</v>
      </c>
      <c r="N545" s="8" t="s">
        <v>1444</v>
      </c>
      <c r="O545" s="8" t="s">
        <v>404</v>
      </c>
      <c r="P545" s="8" t="s">
        <v>405</v>
      </c>
      <c r="Q545" s="12"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545" s="8" t="s">
        <v>29</v>
      </c>
      <c r="S545" s="8" t="s">
        <v>28</v>
      </c>
      <c r="T545" s="8"/>
      <c r="U545" s="8"/>
    </row>
    <row r="546" spans="1:39" ht="13.5" customHeight="1">
      <c r="A546" s="8" t="s">
        <v>1434</v>
      </c>
      <c r="B546" s="16">
        <v>27</v>
      </c>
      <c r="C546" s="8" t="s">
        <v>20</v>
      </c>
      <c r="D546" s="8" t="s">
        <v>48</v>
      </c>
      <c r="F546" s="17">
        <v>42191</v>
      </c>
      <c r="G546" s="8" t="s">
        <v>1435</v>
      </c>
      <c r="H546" s="8" t="s">
        <v>1436</v>
      </c>
      <c r="I546" s="8" t="s">
        <v>45</v>
      </c>
      <c r="J546" s="16">
        <v>95301</v>
      </c>
      <c r="K546" s="2" t="s">
        <v>1437</v>
      </c>
      <c r="L546" s="8" t="s">
        <v>1438</v>
      </c>
      <c r="M546" s="8" t="s">
        <v>27</v>
      </c>
      <c r="N546" s="8" t="s">
        <v>1439</v>
      </c>
      <c r="O546" s="8" t="s">
        <v>404</v>
      </c>
      <c r="P546" s="8" t="s">
        <v>405</v>
      </c>
      <c r="Q546" s="12" t="str">
        <f>HYPERLINK("http://www.mercedsunstar.com/news/local/crime/article26705443.html","http://www.mercedsunstar.com/news/local/crime/article26705443.html")</f>
        <v>http://www.mercedsunstar.com/news/local/crime/article26705443.html</v>
      </c>
      <c r="R546" s="8" t="s">
        <v>100</v>
      </c>
      <c r="S546" s="8" t="s">
        <v>28</v>
      </c>
      <c r="T546" s="8"/>
      <c r="U546" s="8"/>
    </row>
    <row r="547" spans="1:39" ht="13.5" customHeight="1">
      <c r="A547" s="8" t="s">
        <v>1449</v>
      </c>
      <c r="B547" s="16">
        <v>42</v>
      </c>
      <c r="C547" s="8" t="s">
        <v>20</v>
      </c>
      <c r="D547" s="8" t="s">
        <v>37</v>
      </c>
      <c r="F547" s="17">
        <v>42191</v>
      </c>
      <c r="G547" s="8" t="s">
        <v>1450</v>
      </c>
      <c r="H547" s="8" t="s">
        <v>1451</v>
      </c>
      <c r="I547" s="8" t="s">
        <v>510</v>
      </c>
      <c r="J547" s="16">
        <v>3785</v>
      </c>
      <c r="K547" s="2" t="s">
        <v>1452</v>
      </c>
      <c r="L547" s="8" t="s">
        <v>1453</v>
      </c>
      <c r="M547" s="8" t="s">
        <v>27</v>
      </c>
      <c r="N547" s="8" t="s">
        <v>1057</v>
      </c>
      <c r="O547" s="8" t="s">
        <v>404</v>
      </c>
      <c r="P547" s="8" t="s">
        <v>405</v>
      </c>
      <c r="Q547" s="12"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547" s="8" t="s">
        <v>100</v>
      </c>
      <c r="S547" s="8" t="s">
        <v>28</v>
      </c>
      <c r="T547" s="8"/>
      <c r="U547" s="8"/>
    </row>
    <row r="548" spans="1:39" ht="13.5" customHeight="1">
      <c r="A548" s="8" t="s">
        <v>1431</v>
      </c>
      <c r="B548" s="16">
        <v>29</v>
      </c>
      <c r="C548" s="8" t="s">
        <v>20</v>
      </c>
      <c r="D548" s="8" t="s">
        <v>85</v>
      </c>
      <c r="F548" s="17">
        <v>42191</v>
      </c>
      <c r="G548" s="8" t="s">
        <v>1432</v>
      </c>
      <c r="H548" s="8" t="s">
        <v>98</v>
      </c>
      <c r="I548" s="8" t="s">
        <v>45</v>
      </c>
      <c r="J548" s="16">
        <v>91342</v>
      </c>
      <c r="K548" s="2" t="s">
        <v>98</v>
      </c>
      <c r="L548" s="8" t="s">
        <v>99</v>
      </c>
      <c r="M548" s="8" t="s">
        <v>27</v>
      </c>
      <c r="N548" s="8" t="s">
        <v>1433</v>
      </c>
      <c r="O548" s="8" t="s">
        <v>404</v>
      </c>
      <c r="P548" s="8" t="s">
        <v>405</v>
      </c>
      <c r="Q548" s="12" t="str">
        <f>HYPERLINK("http://homicide.latimes.com/post/jason-m-hendley/","http://homicide.latimes.com/post/jason-m-hendley/")</f>
        <v>http://homicide.latimes.com/post/jason-m-hendley/</v>
      </c>
      <c r="R548" s="8" t="s">
        <v>100</v>
      </c>
      <c r="S548" s="8" t="s">
        <v>28</v>
      </c>
      <c r="T548" s="8"/>
      <c r="U548" s="8"/>
      <c r="AI548" s="8"/>
      <c r="AJ548" s="8"/>
      <c r="AK548" s="8"/>
      <c r="AL548" s="8"/>
      <c r="AM548" s="8"/>
    </row>
    <row r="549" spans="1:39" ht="13.5" customHeight="1">
      <c r="A549" s="8" t="s">
        <v>1445</v>
      </c>
      <c r="B549" s="16">
        <v>31</v>
      </c>
      <c r="C549" s="8" t="s">
        <v>20</v>
      </c>
      <c r="D549" s="8" t="s">
        <v>37</v>
      </c>
      <c r="F549" s="17">
        <v>42191</v>
      </c>
      <c r="G549" s="8" t="s">
        <v>1446</v>
      </c>
      <c r="H549" s="8" t="s">
        <v>1447</v>
      </c>
      <c r="I549" s="8" t="s">
        <v>45</v>
      </c>
      <c r="J549" s="16">
        <v>90713</v>
      </c>
      <c r="K549" s="2" t="s">
        <v>98</v>
      </c>
      <c r="L549" s="8" t="s">
        <v>418</v>
      </c>
      <c r="M549" s="8" t="s">
        <v>27</v>
      </c>
      <c r="N549" s="8" t="s">
        <v>1448</v>
      </c>
      <c r="O549" s="8" t="s">
        <v>404</v>
      </c>
      <c r="P549" s="8" t="s">
        <v>405</v>
      </c>
      <c r="Q549" s="12" t="str">
        <f>HYPERLINK("http://homicide.latimes.com/post/john-leonard-berry/","http://homicide.latimes.com/post/john-leonard-berry/")</f>
        <v>http://homicide.latimes.com/post/john-leonard-berry/</v>
      </c>
      <c r="R549" s="8" t="s">
        <v>29</v>
      </c>
      <c r="S549" s="8" t="s">
        <v>383</v>
      </c>
      <c r="T549" s="8"/>
      <c r="U549" s="8"/>
    </row>
    <row r="550" spans="1:39" ht="13.5" customHeight="1">
      <c r="A550" s="8" t="s">
        <v>1458</v>
      </c>
      <c r="B550" s="16">
        <v>30</v>
      </c>
      <c r="C550" s="8" t="s">
        <v>20</v>
      </c>
      <c r="D550" s="8" t="s">
        <v>37</v>
      </c>
      <c r="E550" s="8" t="str">
        <f>HYPERLINK("https://localtvkstu.files.wordpress.com/2015/07/gormley.jpg","https://localtvkstu.files.wordpress.com/2015/07/gormley.jpg")</f>
        <v>https://localtvkstu.files.wordpress.com/2015/07/gormley.jpg</v>
      </c>
      <c r="F550" s="17">
        <v>42191</v>
      </c>
      <c r="G550" s="8" t="s">
        <v>1459</v>
      </c>
      <c r="H550" s="8" t="s">
        <v>1460</v>
      </c>
      <c r="I550" s="8" t="s">
        <v>243</v>
      </c>
      <c r="J550" s="16">
        <v>84401</v>
      </c>
      <c r="K550" s="2" t="s">
        <v>1461</v>
      </c>
      <c r="L550" s="8" t="s">
        <v>1462</v>
      </c>
      <c r="M550" s="8" t="s">
        <v>395</v>
      </c>
      <c r="N550" s="8" t="s">
        <v>1463</v>
      </c>
      <c r="O550" s="8" t="s">
        <v>404</v>
      </c>
      <c r="P550" s="8" t="s">
        <v>405</v>
      </c>
      <c r="Q550" s="12" t="str">
        <f>HYPERLINK("http://www.thespectrum.com/story/news/local/cedar-city/2015/07/15/family-friends-speak-man-killed-officer-involved-shooting/30219883/","http://www.thespectrum.com/story/news/local/cedar-city/2015/07/15/family-friends-speak-man-killed-officer-involved-shooting/30219883/")</f>
        <v>http://www.thespectrum.com/story/news/local/cedar-city/2015/07/15/family-friends-speak-man-killed-officer-involved-shooting/30219883/</v>
      </c>
      <c r="R550" s="8" t="s">
        <v>972</v>
      </c>
      <c r="S550" s="8" t="s">
        <v>18</v>
      </c>
      <c r="T550" s="8"/>
      <c r="U550" s="8"/>
    </row>
    <row r="551" spans="1:39" ht="13.5" customHeight="1">
      <c r="A551" s="8" t="s">
        <v>1455</v>
      </c>
      <c r="B551" s="16">
        <v>20</v>
      </c>
      <c r="C551" s="8" t="s">
        <v>20</v>
      </c>
      <c r="D551" s="8" t="s">
        <v>37</v>
      </c>
      <c r="E551" s="8" t="str">
        <f>HYPERLINK("https://localtvkfor.files.wordpress.com/2015/07/rogers-tyler.jpg","https://localtvkfor.files.wordpress.com/2015/07/rogers-tyler.jpg")</f>
        <v>https://localtvkfor.files.wordpress.com/2015/07/rogers-tyler.jpg</v>
      </c>
      <c r="F551" s="17">
        <v>42191</v>
      </c>
      <c r="G551" s="8" t="s">
        <v>1456</v>
      </c>
      <c r="H551" s="8" t="s">
        <v>1104</v>
      </c>
      <c r="I551" s="8" t="s">
        <v>399</v>
      </c>
      <c r="J551" s="16">
        <v>73119</v>
      </c>
      <c r="K551" s="2" t="s">
        <v>1105</v>
      </c>
      <c r="L551" s="8" t="s">
        <v>1106</v>
      </c>
      <c r="M551" s="8" t="s">
        <v>27</v>
      </c>
      <c r="N551" s="8" t="s">
        <v>1457</v>
      </c>
      <c r="O551" s="8" t="s">
        <v>404</v>
      </c>
      <c r="P551" s="8" t="s">
        <v>405</v>
      </c>
      <c r="Q551" s="12" t="str">
        <f>HYPERLINK("http://kfor.com/2015/07/06/one-dead-in-officer-involved-shooting-overnight/","http://kfor.com/2015/07/06/one-dead-in-officer-involved-shooting-overnight/")</f>
        <v>http://kfor.com/2015/07/06/one-dead-in-officer-involved-shooting-overnight/</v>
      </c>
      <c r="R551" s="8" t="s">
        <v>100</v>
      </c>
      <c r="S551" s="8" t="s">
        <v>28</v>
      </c>
      <c r="T551" s="8"/>
      <c r="U551" s="8"/>
    </row>
    <row r="552" spans="1:39" ht="13.5" customHeight="1">
      <c r="A552" s="8" t="s">
        <v>1468</v>
      </c>
      <c r="B552" s="16">
        <v>19</v>
      </c>
      <c r="C552" s="8" t="s">
        <v>20</v>
      </c>
      <c r="D552" s="8" t="s">
        <v>37</v>
      </c>
      <c r="E552" s="8" t="str">
        <f>HYPERLINK("http://cdn.patch.com/users/1372433/2015/07/T800x600/201507559ff12e799d0.png","http://cdn.patch.com/users/1372433/2015/07/T800x600/201507559ff12e799d0.png")</f>
        <v>http://cdn.patch.com/users/1372433/2015/07/T800x600/201507559ff12e799d0.png</v>
      </c>
      <c r="F552" s="17">
        <v>42190</v>
      </c>
      <c r="G552" s="8" t="s">
        <v>1469</v>
      </c>
      <c r="H552" s="8" t="s">
        <v>1470</v>
      </c>
      <c r="I552" s="8" t="s">
        <v>45</v>
      </c>
      <c r="J552" s="16">
        <v>94566</v>
      </c>
      <c r="K552" s="2" t="s">
        <v>608</v>
      </c>
      <c r="L552" s="8" t="s">
        <v>1471</v>
      </c>
      <c r="M552" s="8" t="s">
        <v>27</v>
      </c>
      <c r="N552" s="8" t="s">
        <v>1472</v>
      </c>
      <c r="O552" s="8" t="s">
        <v>404</v>
      </c>
      <c r="P552" s="8" t="s">
        <v>405</v>
      </c>
      <c r="Q552" s="12"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552" s="8" t="s">
        <v>100</v>
      </c>
      <c r="S552" s="8" t="s">
        <v>18</v>
      </c>
      <c r="T552" s="8"/>
      <c r="U552" s="8"/>
    </row>
    <row r="553" spans="1:39" ht="13.5" customHeight="1">
      <c r="A553" s="8" t="s">
        <v>1464</v>
      </c>
      <c r="B553" s="16">
        <v>43</v>
      </c>
      <c r="C553" s="8" t="s">
        <v>20</v>
      </c>
      <c r="D553" s="8" t="s">
        <v>48</v>
      </c>
      <c r="F553" s="17">
        <v>42190</v>
      </c>
      <c r="G553" s="8" t="s">
        <v>1465</v>
      </c>
      <c r="H553" s="8" t="s">
        <v>1466</v>
      </c>
      <c r="I553" s="8" t="s">
        <v>45</v>
      </c>
      <c r="J553" s="16">
        <v>90716</v>
      </c>
      <c r="K553" s="2" t="s">
        <v>98</v>
      </c>
      <c r="L553" s="8" t="s">
        <v>418</v>
      </c>
      <c r="M553" s="8" t="s">
        <v>27</v>
      </c>
      <c r="N553" s="8" t="s">
        <v>1467</v>
      </c>
      <c r="O553" s="8" t="s">
        <v>404</v>
      </c>
      <c r="P553" s="8" t="s">
        <v>405</v>
      </c>
      <c r="Q553" s="12"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553" s="8" t="s">
        <v>100</v>
      </c>
      <c r="S553" s="8" t="s">
        <v>18</v>
      </c>
      <c r="T553" s="8"/>
      <c r="U553" s="8"/>
    </row>
    <row r="554" spans="1:39" ht="13.5" customHeight="1">
      <c r="A554" s="8" t="s">
        <v>1477</v>
      </c>
      <c r="B554" s="16">
        <v>35</v>
      </c>
      <c r="C554" s="8" t="s">
        <v>20</v>
      </c>
      <c r="D554" s="8" t="s">
        <v>37</v>
      </c>
      <c r="E554" s="8" t="str">
        <f>HYPERLINK("https://media.licdn.com/media/p/3/000/0d2/16d/29b38bd.jpg","https://media.licdn.com/media/p/3/000/0d2/16d/29b38bd.jpg")</f>
        <v>https://media.licdn.com/media/p/3/000/0d2/16d/29b38bd.jpg</v>
      </c>
      <c r="F554" s="17">
        <v>42190</v>
      </c>
      <c r="G554" s="8" t="s">
        <v>1478</v>
      </c>
      <c r="H554" s="8" t="s">
        <v>1326</v>
      </c>
      <c r="I554" s="8" t="s">
        <v>73</v>
      </c>
      <c r="J554" s="16">
        <v>78701</v>
      </c>
      <c r="K554" s="2" t="s">
        <v>1327</v>
      </c>
      <c r="L554" s="8" t="s">
        <v>1328</v>
      </c>
      <c r="M554" s="8" t="s">
        <v>27</v>
      </c>
      <c r="N554" s="8" t="s">
        <v>1479</v>
      </c>
      <c r="O554" s="8" t="s">
        <v>404</v>
      </c>
      <c r="P554" s="8" t="s">
        <v>405</v>
      </c>
      <c r="Q554" s="12"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554" s="8" t="s">
        <v>100</v>
      </c>
      <c r="S554" s="8" t="s">
        <v>28</v>
      </c>
      <c r="T554" s="8"/>
      <c r="U554" s="8"/>
    </row>
    <row r="555" spans="1:39" ht="13.5" customHeight="1">
      <c r="A555" s="8" t="s">
        <v>1473</v>
      </c>
      <c r="B555" s="16">
        <v>25</v>
      </c>
      <c r="C555" s="8" t="s">
        <v>20</v>
      </c>
      <c r="D555" s="8" t="s">
        <v>37</v>
      </c>
      <c r="F555" s="17">
        <v>42190</v>
      </c>
      <c r="G555" s="8" t="s">
        <v>1474</v>
      </c>
      <c r="H555" s="8" t="s">
        <v>1475</v>
      </c>
      <c r="I555" s="8" t="s">
        <v>81</v>
      </c>
      <c r="J555" s="16">
        <v>8731</v>
      </c>
      <c r="K555" s="2" t="s">
        <v>649</v>
      </c>
      <c r="L555" s="8" t="s">
        <v>1476</v>
      </c>
      <c r="M555" s="8" t="s">
        <v>383</v>
      </c>
      <c r="N555" s="8" t="s">
        <v>1522</v>
      </c>
      <c r="O555" s="8" t="s">
        <v>404</v>
      </c>
      <c r="P555" s="8" t="s">
        <v>405</v>
      </c>
      <c r="Q555" s="12" t="str">
        <f>HYPERLINK("http://patch.com/new-jersey/lacey/toms-river-man-struck-killed-lacey-police-cruiser-0?","http://patch.com/new-jersey/lacey/toms-river-man-struck-killed-lacey-police-cruiser-0?")</f>
        <v>http://patch.com/new-jersey/lacey/toms-river-man-struck-killed-lacey-police-cruiser-0?</v>
      </c>
      <c r="R555" s="8" t="s">
        <v>100</v>
      </c>
      <c r="S555" s="8" t="s">
        <v>18</v>
      </c>
      <c r="T555" s="8"/>
      <c r="U555" s="8"/>
    </row>
    <row r="556" spans="1:39" ht="13.5" customHeight="1">
      <c r="A556" s="8" t="s">
        <v>1480</v>
      </c>
      <c r="B556" s="16">
        <v>25</v>
      </c>
      <c r="C556" s="8" t="s">
        <v>20</v>
      </c>
      <c r="D556" s="8" t="s">
        <v>37</v>
      </c>
      <c r="F556" s="17">
        <v>42190</v>
      </c>
      <c r="G556" s="8" t="s">
        <v>1481</v>
      </c>
      <c r="H556" s="8" t="s">
        <v>1326</v>
      </c>
      <c r="I556" s="8" t="s">
        <v>73</v>
      </c>
      <c r="J556" s="16">
        <v>78758</v>
      </c>
      <c r="K556" s="2" t="s">
        <v>1327</v>
      </c>
      <c r="L556" s="8" t="s">
        <v>1328</v>
      </c>
      <c r="M556" s="8" t="s">
        <v>27</v>
      </c>
      <c r="N556" s="8" t="s">
        <v>1482</v>
      </c>
      <c r="O556" s="8" t="s">
        <v>404</v>
      </c>
      <c r="P556" s="8" t="s">
        <v>405</v>
      </c>
      <c r="Q556" s="12" t="str">
        <f>HYPERLINK("http://kxan.com/2015/07/06/police-say-man-killed-in-north-austin-aimed-a-bb-pistol-at-officers/","http://kxan.com/2015/07/06/police-say-man-killed-in-north-austin-aimed-a-bb-pistol-at-officers/")</f>
        <v>http://kxan.com/2015/07/06/police-say-man-killed-in-north-austin-aimed-a-bb-pistol-at-officers/</v>
      </c>
      <c r="R556" s="8" t="s">
        <v>29</v>
      </c>
      <c r="S556" s="8" t="s">
        <v>18</v>
      </c>
      <c r="T556" s="8"/>
      <c r="U556" s="8"/>
    </row>
    <row r="557" spans="1:39" ht="13.5" customHeight="1">
      <c r="A557" s="8" t="s">
        <v>1495</v>
      </c>
      <c r="B557" s="16">
        <v>36</v>
      </c>
      <c r="C557" s="8" t="s">
        <v>20</v>
      </c>
      <c r="D557" s="8" t="s">
        <v>30</v>
      </c>
      <c r="F557" s="17">
        <v>42189</v>
      </c>
      <c r="G557" s="8" t="s">
        <v>1496</v>
      </c>
      <c r="H557" s="8" t="s">
        <v>1290</v>
      </c>
      <c r="I557" s="8" t="s">
        <v>272</v>
      </c>
      <c r="J557" s="16">
        <v>89014</v>
      </c>
      <c r="K557" s="2" t="s">
        <v>574</v>
      </c>
      <c r="L557" s="8" t="s">
        <v>1497</v>
      </c>
      <c r="M557" s="8" t="s">
        <v>27</v>
      </c>
      <c r="N557" s="8" t="s">
        <v>1498</v>
      </c>
      <c r="O557" s="8" t="s">
        <v>404</v>
      </c>
      <c r="P557" s="8" t="s">
        <v>405</v>
      </c>
      <c r="Q557" s="12" t="str">
        <f>HYPERLINK("http://www.reviewjournal.com/news/las-vegas/gunman-killed-police-henderson-hotel-identified","http://www.reviewjournal.com/news/las-vegas/gunman-killed-police-henderson-hotel-identified")</f>
        <v>http://www.reviewjournal.com/news/las-vegas/gunman-killed-police-henderson-hotel-identified</v>
      </c>
      <c r="R557" s="8" t="s">
        <v>100</v>
      </c>
      <c r="S557" s="8" t="s">
        <v>28</v>
      </c>
      <c r="T557" s="8"/>
      <c r="U557" s="8"/>
    </row>
    <row r="558" spans="1:39" ht="13.5" customHeight="1">
      <c r="A558" s="8" t="s">
        <v>1489</v>
      </c>
      <c r="B558" s="16">
        <v>23</v>
      </c>
      <c r="C558" s="8" t="s">
        <v>20</v>
      </c>
      <c r="D558" s="8" t="s">
        <v>85</v>
      </c>
      <c r="E558" s="8"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558" s="17">
        <v>42189</v>
      </c>
      <c r="G558" s="8" t="s">
        <v>1490</v>
      </c>
      <c r="H558" s="8" t="s">
        <v>1491</v>
      </c>
      <c r="I558" s="8" t="s">
        <v>247</v>
      </c>
      <c r="J558" s="16">
        <v>23607</v>
      </c>
      <c r="K558" s="2" t="s">
        <v>1492</v>
      </c>
      <c r="L558" s="8" t="s">
        <v>1493</v>
      </c>
      <c r="M558" s="8" t="s">
        <v>27</v>
      </c>
      <c r="N558" s="8" t="s">
        <v>1494</v>
      </c>
      <c r="O558" s="8" t="s">
        <v>404</v>
      </c>
      <c r="P558" s="8" t="s">
        <v>405</v>
      </c>
      <c r="Q558" s="12" t="str">
        <f>HYPERLINK("http://www.king5.com/story/news/crime/2015/07/17/ravenna-spd-cruiser-rammed/30286759/","http://www.king5.com/story/news/crime/2015/07/17/ravenna-spd-cruiser-rammed/30286759/")</f>
        <v>http://www.king5.com/story/news/crime/2015/07/17/ravenna-spd-cruiser-rammed/30286759/</v>
      </c>
      <c r="R558" s="8" t="s">
        <v>100</v>
      </c>
      <c r="S558" s="8" t="s">
        <v>28</v>
      </c>
      <c r="T558" s="8"/>
      <c r="U558" s="8"/>
      <c r="AI558" s="8"/>
      <c r="AJ558" s="8"/>
      <c r="AK558" s="8"/>
      <c r="AL558" s="8"/>
      <c r="AM558" s="8"/>
    </row>
    <row r="559" spans="1:39" ht="13.5" customHeight="1">
      <c r="A559" s="8" t="s">
        <v>1483</v>
      </c>
      <c r="B559" s="16">
        <v>52</v>
      </c>
      <c r="C559" s="8" t="s">
        <v>20</v>
      </c>
      <c r="D559" s="8" t="s">
        <v>85</v>
      </c>
      <c r="F559" s="17">
        <v>42189</v>
      </c>
      <c r="G559" s="8" t="s">
        <v>1484</v>
      </c>
      <c r="H559" s="8" t="s">
        <v>216</v>
      </c>
      <c r="I559" s="8" t="s">
        <v>62</v>
      </c>
      <c r="J559" s="16">
        <v>33135</v>
      </c>
      <c r="K559" s="2" t="s">
        <v>163</v>
      </c>
      <c r="L559" s="8" t="s">
        <v>460</v>
      </c>
      <c r="M559" s="8" t="s">
        <v>395</v>
      </c>
      <c r="N559" s="8" t="s">
        <v>1485</v>
      </c>
      <c r="O559" s="8" t="s">
        <v>404</v>
      </c>
      <c r="P559" s="8" t="s">
        <v>405</v>
      </c>
      <c r="Q559" s="12" t="str">
        <f>HYPERLINK("http://www.miamiherald.com/news/local/community/miami-dade/little-havana/article26604022.html","http://www.miamiherald.com/news/local/community/miami-dade/little-havana/article26604022.html")</f>
        <v>http://www.miamiherald.com/news/local/community/miami-dade/little-havana/article26604022.html</v>
      </c>
      <c r="R559" s="8" t="s">
        <v>559</v>
      </c>
      <c r="S559" s="8" t="s">
        <v>28</v>
      </c>
      <c r="T559" s="8"/>
      <c r="U559" s="8"/>
      <c r="AI559" s="8"/>
      <c r="AJ559" s="8"/>
      <c r="AK559" s="8"/>
      <c r="AL559" s="8"/>
      <c r="AM559" s="8"/>
    </row>
    <row r="560" spans="1:39" ht="13.5" customHeight="1">
      <c r="A560" s="8" t="s">
        <v>1499</v>
      </c>
      <c r="B560" s="16">
        <v>37</v>
      </c>
      <c r="C560" s="8" t="s">
        <v>20</v>
      </c>
      <c r="D560" s="8" t="s">
        <v>30</v>
      </c>
      <c r="F560" s="17">
        <v>42189</v>
      </c>
      <c r="G560" s="8" t="s">
        <v>1500</v>
      </c>
      <c r="H560" s="8" t="s">
        <v>1501</v>
      </c>
      <c r="I560" s="8" t="s">
        <v>323</v>
      </c>
      <c r="J560" s="16">
        <v>37813</v>
      </c>
      <c r="K560" s="2" t="s">
        <v>1502</v>
      </c>
      <c r="L560" s="8" t="s">
        <v>1503</v>
      </c>
      <c r="M560" s="8" t="s">
        <v>27</v>
      </c>
      <c r="N560" s="8" t="s">
        <v>1504</v>
      </c>
      <c r="O560" s="8" t="s">
        <v>404</v>
      </c>
      <c r="P560" s="8" t="s">
        <v>405</v>
      </c>
      <c r="Q560" s="12"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560" s="8" t="s">
        <v>100</v>
      </c>
      <c r="S560" s="8" t="s">
        <v>28</v>
      </c>
      <c r="T560" s="8"/>
      <c r="U560" s="8"/>
    </row>
    <row r="561" spans="1:39" ht="13.5" customHeight="1">
      <c r="A561" s="8" t="s">
        <v>1486</v>
      </c>
      <c r="B561" s="16">
        <v>42</v>
      </c>
      <c r="C561" s="8" t="s">
        <v>20</v>
      </c>
      <c r="D561" s="8" t="s">
        <v>85</v>
      </c>
      <c r="E561" s="8" t="str">
        <f>HYPERLINK("http://kwtv.images.worldnow.com/images/8241047_G.jpg","http://kwtv.images.worldnow.com/images/8241047_G.jpg")</f>
        <v>http://kwtv.images.worldnow.com/images/8241047_G.jpg</v>
      </c>
      <c r="F561" s="17">
        <v>42189</v>
      </c>
      <c r="G561" s="8" t="s">
        <v>1487</v>
      </c>
      <c r="H561" s="8" t="s">
        <v>1104</v>
      </c>
      <c r="I561" s="8" t="s">
        <v>399</v>
      </c>
      <c r="J561" s="16">
        <v>73135</v>
      </c>
      <c r="K561" s="2" t="s">
        <v>1105</v>
      </c>
      <c r="L561" s="8" t="s">
        <v>1106</v>
      </c>
      <c r="M561" s="8" t="s">
        <v>27</v>
      </c>
      <c r="N561" s="8" t="s">
        <v>1488</v>
      </c>
      <c r="O561" s="8" t="s">
        <v>404</v>
      </c>
      <c r="P561" s="8" t="s">
        <v>405</v>
      </c>
      <c r="Q561" s="12" t="str">
        <f>HYPERLINK("http://kfor.com/2015/07/06/alleged-suspects-identity-released-in-deadly-officer-involved-shooting/#thumbnail-modal","http://kfor.com/2015/07/06/alleged-suspects-identity-released-in-deadly-officer-involved-shooting/#thumbnail-modal")</f>
        <v>http://kfor.com/2015/07/06/alleged-suspects-identity-released-in-deadly-officer-involved-shooting/#thumbnail-modal</v>
      </c>
      <c r="R561" s="8" t="s">
        <v>100</v>
      </c>
      <c r="S561" s="8" t="s">
        <v>28</v>
      </c>
      <c r="T561" s="8"/>
      <c r="U561" s="8"/>
      <c r="AI561" s="8"/>
      <c r="AJ561" s="8"/>
      <c r="AK561" s="8"/>
      <c r="AL561" s="8"/>
      <c r="AM561" s="8"/>
    </row>
    <row r="562" spans="1:39" ht="13.5" customHeight="1">
      <c r="A562" s="8" t="s">
        <v>1505</v>
      </c>
      <c r="B562" s="16">
        <v>46</v>
      </c>
      <c r="C562" s="8" t="s">
        <v>20</v>
      </c>
      <c r="D562" s="8" t="s">
        <v>48</v>
      </c>
      <c r="F562" s="17">
        <v>42188</v>
      </c>
      <c r="G562" s="8" t="s">
        <v>1506</v>
      </c>
      <c r="H562" s="8" t="s">
        <v>1507</v>
      </c>
      <c r="I562" s="8" t="s">
        <v>45</v>
      </c>
      <c r="J562" s="16">
        <v>93535</v>
      </c>
      <c r="K562" s="2" t="s">
        <v>98</v>
      </c>
      <c r="L562" s="8" t="s">
        <v>418</v>
      </c>
      <c r="M562" s="8" t="s">
        <v>27</v>
      </c>
      <c r="N562" s="8" t="s">
        <v>1410</v>
      </c>
      <c r="O562" s="8" t="s">
        <v>404</v>
      </c>
      <c r="P562" s="8" t="s">
        <v>405</v>
      </c>
      <c r="Q562"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562" s="8" t="s">
        <v>29</v>
      </c>
      <c r="S562" s="8" t="s">
        <v>28</v>
      </c>
      <c r="T562" s="8"/>
      <c r="U562" s="8"/>
    </row>
    <row r="563" spans="1:39" ht="13.5" customHeight="1">
      <c r="A563" s="8" t="s">
        <v>1509</v>
      </c>
      <c r="B563" s="16">
        <v>27</v>
      </c>
      <c r="C563" s="8" t="s">
        <v>20</v>
      </c>
      <c r="D563" s="8" t="s">
        <v>48</v>
      </c>
      <c r="F563" s="17">
        <v>42188</v>
      </c>
      <c r="G563" s="8" t="s">
        <v>1510</v>
      </c>
      <c r="H563" s="8" t="s">
        <v>1511</v>
      </c>
      <c r="I563" s="8" t="s">
        <v>45</v>
      </c>
      <c r="J563" s="16">
        <v>91748</v>
      </c>
      <c r="K563" s="2" t="s">
        <v>98</v>
      </c>
      <c r="L563" s="8" t="s">
        <v>1512</v>
      </c>
      <c r="M563" s="8" t="s">
        <v>27</v>
      </c>
      <c r="N563" s="8" t="s">
        <v>1517</v>
      </c>
      <c r="O563" s="8" t="s">
        <v>404</v>
      </c>
      <c r="P563" s="8" t="s">
        <v>405</v>
      </c>
      <c r="Q563" s="12" t="str">
        <f>HYPERLINK("http://abc7.com/news/suspect-holding-knife-killed-in-west-covina-officer-involved-shooting/828284/","http://abc7.com/news/suspect-holding-knife-killed-in-west-covina-officer-involved-shooting/828284/")</f>
        <v>http://abc7.com/news/suspect-holding-knife-killed-in-west-covina-officer-involved-shooting/828284/</v>
      </c>
      <c r="R563" s="8" t="s">
        <v>100</v>
      </c>
      <c r="S563" s="8" t="s">
        <v>28</v>
      </c>
      <c r="T563" s="8"/>
      <c r="U563" s="8"/>
      <c r="V563" s="8"/>
      <c r="W563" s="8"/>
      <c r="X563" s="8"/>
    </row>
    <row r="564" spans="1:39" ht="13.5" customHeight="1">
      <c r="A564" s="8" t="s">
        <v>1513</v>
      </c>
      <c r="B564" s="16">
        <v>25</v>
      </c>
      <c r="C564" s="8" t="s">
        <v>20</v>
      </c>
      <c r="D564" s="8" t="s">
        <v>48</v>
      </c>
      <c r="E564" s="8" t="str">
        <f>HYPERLINK("http://media.nbclosangeles.com/images/1203*675/7-3-15+Christian+Siqueiros+in-custody+death.JPG","http://media.nbclosangeles.com/images/1203*675/7-3-15+Christian+Siqueiros+in-custody+death.JPG")</f>
        <v>http://media.nbclosangeles.com/images/1203*675/7-3-15+Christian+Siqueiros+in-custody+death.JPG</v>
      </c>
      <c r="F564" s="17">
        <v>42188</v>
      </c>
      <c r="G564" s="8" t="s">
        <v>1514</v>
      </c>
      <c r="H564" s="8" t="s">
        <v>1515</v>
      </c>
      <c r="I564" s="8" t="s">
        <v>45</v>
      </c>
      <c r="J564" s="16">
        <v>91763</v>
      </c>
      <c r="K564" s="2" t="s">
        <v>111</v>
      </c>
      <c r="L564" s="8" t="s">
        <v>1516</v>
      </c>
      <c r="M564" s="8" t="s">
        <v>3407</v>
      </c>
      <c r="N564" s="8" t="s">
        <v>1525</v>
      </c>
      <c r="O564" s="8" t="s">
        <v>554</v>
      </c>
      <c r="P564" s="8" t="s">
        <v>405</v>
      </c>
      <c r="Q564" s="12" t="str">
        <f>HYPERLINK("http://abc7.com/news/man-dies-of-heart-attack-while-in-montclair-police-custody/826399/","http://abc7.com/news/man-dies-of-heart-attack-while-in-montclair-police-custody/826399/")</f>
        <v>http://abc7.com/news/man-dies-of-heart-attack-while-in-montclair-police-custody/826399/</v>
      </c>
      <c r="R564" s="8" t="s">
        <v>100</v>
      </c>
      <c r="S564" s="8" t="s">
        <v>18</v>
      </c>
      <c r="T564" s="8"/>
      <c r="U564" s="8"/>
    </row>
    <row r="565" spans="1:39" ht="13.5" customHeight="1">
      <c r="A565" s="8" t="s">
        <v>1518</v>
      </c>
      <c r="B565" s="16">
        <v>33</v>
      </c>
      <c r="C565" s="8" t="s">
        <v>20</v>
      </c>
      <c r="D565" s="8" t="s">
        <v>48</v>
      </c>
      <c r="F565" s="17">
        <v>42188</v>
      </c>
      <c r="G565" s="8" t="s">
        <v>1519</v>
      </c>
      <c r="H565" s="8" t="s">
        <v>1520</v>
      </c>
      <c r="I565" s="8" t="s">
        <v>81</v>
      </c>
      <c r="J565" s="16">
        <v>8105</v>
      </c>
      <c r="K565" s="2" t="s">
        <v>1520</v>
      </c>
      <c r="L565" s="8" t="s">
        <v>1521</v>
      </c>
      <c r="M565" s="8" t="s">
        <v>27</v>
      </c>
      <c r="N565" s="8" t="s">
        <v>1454</v>
      </c>
      <c r="O565" s="8" t="s">
        <v>404</v>
      </c>
      <c r="P565" s="8" t="s">
        <v>405</v>
      </c>
      <c r="Q565" s="12" t="s">
        <v>19962</v>
      </c>
      <c r="R565" s="8" t="s">
        <v>972</v>
      </c>
      <c r="S565" s="8" t="s">
        <v>28</v>
      </c>
      <c r="T565" s="8"/>
      <c r="U565" s="8"/>
      <c r="V565" s="8"/>
      <c r="W565" s="8"/>
      <c r="X565" s="8"/>
    </row>
    <row r="566" spans="1:39" ht="13.5" customHeight="1">
      <c r="A566" s="8" t="s">
        <v>1529</v>
      </c>
      <c r="B566" s="16">
        <v>59</v>
      </c>
      <c r="C566" s="8" t="s">
        <v>20</v>
      </c>
      <c r="D566" s="8" t="s">
        <v>30</v>
      </c>
      <c r="F566" s="17">
        <v>42187</v>
      </c>
      <c r="G566" s="8" t="s">
        <v>1530</v>
      </c>
      <c r="H566" s="8" t="s">
        <v>1531</v>
      </c>
      <c r="I566" s="8" t="s">
        <v>152</v>
      </c>
      <c r="J566" s="16">
        <v>25976</v>
      </c>
      <c r="K566" s="2" t="s">
        <v>1532</v>
      </c>
      <c r="L566" s="8" t="s">
        <v>17722</v>
      </c>
      <c r="M566" s="8" t="s">
        <v>27</v>
      </c>
      <c r="N566" s="8" t="s">
        <v>1533</v>
      </c>
      <c r="O566" s="8" t="s">
        <v>1018</v>
      </c>
      <c r="P566" s="8" t="s">
        <v>405</v>
      </c>
      <c r="Q566" s="12" t="str">
        <f>HYPERLINK("http://k2radio.com/police-identify-man-killed-by-police-christopher-benton-had-a-criminal-record/","http://k2radio.com/police-identify-man-killed-by-police-christopher-benton-had-a-criminal-record/")</f>
        <v>http://k2radio.com/police-identify-man-killed-by-police-christopher-benton-had-a-criminal-record/</v>
      </c>
      <c r="R566" s="8" t="s">
        <v>559</v>
      </c>
      <c r="S566" s="8" t="s">
        <v>28</v>
      </c>
      <c r="T566" s="8"/>
      <c r="U566" s="8"/>
      <c r="V566" s="8"/>
      <c r="W566" s="8"/>
      <c r="X566" s="8"/>
    </row>
    <row r="567" spans="1:39" ht="13.5" customHeight="1">
      <c r="A567" s="8" t="s">
        <v>1539</v>
      </c>
      <c r="B567" s="16">
        <v>45</v>
      </c>
      <c r="C567" s="8" t="s">
        <v>20</v>
      </c>
      <c r="D567" s="8" t="s">
        <v>37</v>
      </c>
      <c r="E567" s="8"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567" s="17">
        <v>42187</v>
      </c>
      <c r="G567" s="8" t="s">
        <v>1540</v>
      </c>
      <c r="H567" s="8" t="s">
        <v>1541</v>
      </c>
      <c r="I567" s="8" t="s">
        <v>46</v>
      </c>
      <c r="J567" s="16">
        <v>2302</v>
      </c>
      <c r="K567" s="2" t="s">
        <v>1080</v>
      </c>
      <c r="L567" s="8" t="s">
        <v>1542</v>
      </c>
      <c r="M567" s="8" t="s">
        <v>27</v>
      </c>
      <c r="N567" s="8" t="s">
        <v>971</v>
      </c>
      <c r="O567" s="8" t="s">
        <v>404</v>
      </c>
      <c r="P567" s="8" t="s">
        <v>405</v>
      </c>
      <c r="Q567" s="12" t="str">
        <f>HYPERLINK("https://www.bostonglobe.com/metro/2015/07/02/brockton-man-fatally-shot-police/TFwHapR8aN1shu8KY67duM/story.html","https://www.bostonglobe.com/metro/2015/07/02/brockton-man-fatally-shot-police/TFwHapR8aN1shu8KY67duM/story.html")</f>
        <v>https://www.bostonglobe.com/metro/2015/07/02/brockton-man-fatally-shot-police/TFwHapR8aN1shu8KY67duM/story.html</v>
      </c>
      <c r="R567" s="8" t="s">
        <v>972</v>
      </c>
      <c r="S567" s="8" t="s">
        <v>18</v>
      </c>
      <c r="T567" s="8"/>
      <c r="U567" s="8"/>
    </row>
    <row r="568" spans="1:39" ht="13.5" customHeight="1">
      <c r="A568" s="8" t="s">
        <v>1534</v>
      </c>
      <c r="B568" s="16">
        <v>40</v>
      </c>
      <c r="C568" s="8" t="s">
        <v>20</v>
      </c>
      <c r="D568" s="8" t="s">
        <v>37</v>
      </c>
      <c r="E568" s="8" t="str">
        <f>HYPERLINK("http://victimsofpolice.com/2015/images/Julian-Joseph.jpg","http://victimsofpolice.com/2015/images/Julian-Joseph.jpg")</f>
        <v>http://victimsofpolice.com/2015/images/Julian-Joseph.jpg</v>
      </c>
      <c r="F568" s="17">
        <v>42187</v>
      </c>
      <c r="G568" s="8" t="s">
        <v>1535</v>
      </c>
      <c r="H568" s="8" t="s">
        <v>1536</v>
      </c>
      <c r="I568" s="8" t="s">
        <v>62</v>
      </c>
      <c r="J568" s="16">
        <v>33140</v>
      </c>
      <c r="K568" s="2" t="s">
        <v>163</v>
      </c>
      <c r="L568" s="8" t="s">
        <v>1537</v>
      </c>
      <c r="M568" s="8" t="s">
        <v>27</v>
      </c>
      <c r="N568" s="8" t="s">
        <v>1538</v>
      </c>
      <c r="O568" s="8" t="s">
        <v>404</v>
      </c>
      <c r="P568" s="8" t="s">
        <v>405</v>
      </c>
      <c r="Q568" s="12" t="str">
        <f>HYPERLINK("http://www.local10.com/news/bank-robber-killed-by-police-had-previous-runins-with-law-enforcement/33983100","http://www.local10.com/news/bank-robber-killed-by-police-had-previous-runins-with-law-enforcement/33983100")</f>
        <v>http://www.local10.com/news/bank-robber-killed-by-police-had-previous-runins-with-law-enforcement/33983100</v>
      </c>
      <c r="R568" s="8" t="s">
        <v>100</v>
      </c>
      <c r="S568" s="8" t="s">
        <v>28</v>
      </c>
      <c r="T568" s="8"/>
      <c r="U568" s="8"/>
      <c r="V568" s="8"/>
      <c r="W568" s="8"/>
      <c r="X568" s="8"/>
    </row>
    <row r="569" spans="1:39" ht="13.5" customHeight="1">
      <c r="A569" s="8" t="s">
        <v>1523</v>
      </c>
      <c r="B569" s="16">
        <v>60</v>
      </c>
      <c r="C569" s="8" t="s">
        <v>20</v>
      </c>
      <c r="D569" s="8" t="s">
        <v>21</v>
      </c>
      <c r="F569" s="17">
        <v>42187</v>
      </c>
      <c r="G569" s="8" t="s">
        <v>1524</v>
      </c>
      <c r="H569" s="8" t="s">
        <v>158</v>
      </c>
      <c r="I569" s="8" t="s">
        <v>45</v>
      </c>
      <c r="J569" s="16">
        <v>92127</v>
      </c>
      <c r="K569" s="2" t="s">
        <v>158</v>
      </c>
      <c r="L569" s="8" t="s">
        <v>159</v>
      </c>
      <c r="M569" s="8" t="s">
        <v>27</v>
      </c>
      <c r="N569" s="8" t="s">
        <v>1508</v>
      </c>
      <c r="O569" s="8" t="s">
        <v>404</v>
      </c>
      <c r="P569" s="8" t="s">
        <v>405</v>
      </c>
      <c r="Q569"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569" s="8" t="s">
        <v>100</v>
      </c>
      <c r="S569" s="8" t="s">
        <v>28</v>
      </c>
      <c r="T569" s="8"/>
      <c r="U569" s="8"/>
      <c r="V569" s="8"/>
      <c r="W569" s="8"/>
      <c r="X569" s="8"/>
    </row>
    <row r="570" spans="1:39" ht="13.5" customHeight="1">
      <c r="A570" s="8" t="s">
        <v>1526</v>
      </c>
      <c r="B570" s="16">
        <v>23</v>
      </c>
      <c r="C570" s="8" t="s">
        <v>20</v>
      </c>
      <c r="D570" s="8" t="s">
        <v>85</v>
      </c>
      <c r="E570" s="8" t="str">
        <f>HYPERLINK("http://jacksonville.com/sites/default/files/imagecache/premium_415_wide_scale/Suspect_1.jpg","http://jacksonville.com/sites/default/files/imagecache/premium_415_wide_scale/Suspect_1.jpg")</f>
        <v>http://jacksonville.com/sites/default/files/imagecache/premium_415_wide_scale/Suspect_1.jpg</v>
      </c>
      <c r="F570" s="17">
        <v>42187</v>
      </c>
      <c r="G570" s="8" t="s">
        <v>1527</v>
      </c>
      <c r="H570" s="8" t="s">
        <v>657</v>
      </c>
      <c r="I570" s="8" t="s">
        <v>62</v>
      </c>
      <c r="J570" s="16">
        <v>32207</v>
      </c>
      <c r="K570" s="2" t="s">
        <v>658</v>
      </c>
      <c r="L570" s="8" t="s">
        <v>659</v>
      </c>
      <c r="M570" s="8" t="s">
        <v>27</v>
      </c>
      <c r="N570" s="8" t="s">
        <v>1528</v>
      </c>
      <c r="O570" s="8" t="s">
        <v>29</v>
      </c>
      <c r="P570" s="8" t="s">
        <v>405</v>
      </c>
      <c r="Q570" s="12" t="str">
        <f>HYPERLINK("http://www.news4jax.com/news/names-details-of-police-shooting-released/33983574","http://www.news4jax.com/news/names-details-of-police-shooting-released/33983574")</f>
        <v>http://www.news4jax.com/news/names-details-of-police-shooting-released/33983574</v>
      </c>
      <c r="R570" s="8" t="s">
        <v>972</v>
      </c>
      <c r="S570" s="8" t="s">
        <v>35</v>
      </c>
      <c r="T570" s="8"/>
      <c r="U570" s="8"/>
      <c r="AI570" s="8"/>
      <c r="AJ570" s="8"/>
      <c r="AK570" s="8"/>
      <c r="AL570" s="8"/>
      <c r="AM570" s="8"/>
    </row>
    <row r="571" spans="1:39" ht="13.5" customHeight="1">
      <c r="A571" s="8" t="s">
        <v>1550</v>
      </c>
      <c r="B571" s="16">
        <v>32</v>
      </c>
      <c r="C571" s="8" t="s">
        <v>20</v>
      </c>
      <c r="D571" s="8" t="s">
        <v>37</v>
      </c>
      <c r="F571" s="17">
        <v>42186</v>
      </c>
      <c r="G571" s="8" t="s">
        <v>1551</v>
      </c>
      <c r="H571" s="8" t="s">
        <v>1552</v>
      </c>
      <c r="I571" s="8" t="s">
        <v>118</v>
      </c>
      <c r="J571" s="16">
        <v>97497</v>
      </c>
      <c r="K571" s="2" t="s">
        <v>1553</v>
      </c>
      <c r="L571" s="8" t="s">
        <v>1554</v>
      </c>
      <c r="M571" s="8" t="s">
        <v>27</v>
      </c>
      <c r="N571" s="8" t="s">
        <v>1555</v>
      </c>
      <c r="O571" s="8" t="s">
        <v>404</v>
      </c>
      <c r="P571" s="8" t="s">
        <v>405</v>
      </c>
      <c r="Q571" s="12"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571" s="8" t="s">
        <v>100</v>
      </c>
      <c r="S571" s="8" t="s">
        <v>28</v>
      </c>
      <c r="T571" s="8"/>
      <c r="U571" s="8"/>
    </row>
    <row r="572" spans="1:39" ht="13.5" customHeight="1">
      <c r="A572" s="8" t="s">
        <v>1544</v>
      </c>
      <c r="B572" s="16">
        <v>24</v>
      </c>
      <c r="C572" s="8" t="s">
        <v>20</v>
      </c>
      <c r="D572" s="8" t="s">
        <v>85</v>
      </c>
      <c r="E572" s="8" t="str">
        <f>HYPERLINK("http://images.bimedia.net/images/150701_Kevin_Lamont_Judson_story_insert.jpg","http://images.bimedia.net/images/150701_Kevin_Lamont_Judson_story_insert.jpg")</f>
        <v>http://images.bimedia.net/images/150701_Kevin_Lamont_Judson_story_insert.jpg</v>
      </c>
      <c r="F572" s="17">
        <v>42186</v>
      </c>
      <c r="G572" s="8" t="s">
        <v>1545</v>
      </c>
      <c r="H572" s="8" t="s">
        <v>1546</v>
      </c>
      <c r="I572" s="8" t="s">
        <v>118</v>
      </c>
      <c r="J572" s="16">
        <v>97128</v>
      </c>
      <c r="K572" s="2" t="s">
        <v>1547</v>
      </c>
      <c r="L572" s="8" t="s">
        <v>1548</v>
      </c>
      <c r="M572" s="8" t="s">
        <v>27</v>
      </c>
      <c r="N572" s="8" t="s">
        <v>1549</v>
      </c>
      <c r="O572" s="8" t="s">
        <v>554</v>
      </c>
      <c r="P572" s="8" t="s">
        <v>405</v>
      </c>
      <c r="Q572" s="12" t="str">
        <f>HYPERLINK("http://www.katu.com/news/local/DA-clears-deputy-in-deadly-McMinnville-shooting-316055961.html","http://www.katu.com/news/local/DA-clears-deputy-in-deadly-McMinnville-shooting-316055961.html")</f>
        <v>http://www.katu.com/news/local/DA-clears-deputy-in-deadly-McMinnville-shooting-316055961.html</v>
      </c>
      <c r="R572" s="8" t="s">
        <v>100</v>
      </c>
      <c r="S572" s="8" t="s">
        <v>18</v>
      </c>
      <c r="T572" s="6"/>
      <c r="U572" s="8"/>
    </row>
    <row r="573" spans="1:39" ht="13.5" customHeight="1">
      <c r="A573" s="8" t="s">
        <v>1556</v>
      </c>
      <c r="B573" s="16">
        <v>57</v>
      </c>
      <c r="C573" s="8" t="s">
        <v>20</v>
      </c>
      <c r="D573" s="8" t="s">
        <v>37</v>
      </c>
      <c r="E573" s="8" t="str">
        <f>HYPERLINK("http://www.killedbypolice.net/victims/150628.jpg","http://www.killedbypolice.net/victims/150628.jpg")</f>
        <v>http://www.killedbypolice.net/victims/150628.jpg</v>
      </c>
      <c r="F573" s="17">
        <v>42186</v>
      </c>
      <c r="G573" s="8" t="s">
        <v>1557</v>
      </c>
      <c r="H573" s="8" t="s">
        <v>1558</v>
      </c>
      <c r="I573" s="8" t="s">
        <v>152</v>
      </c>
      <c r="J573" s="16">
        <v>26452</v>
      </c>
      <c r="K573" s="2" t="s">
        <v>1559</v>
      </c>
      <c r="L573" s="8" t="s">
        <v>1560</v>
      </c>
      <c r="M573" s="8" t="s">
        <v>27</v>
      </c>
      <c r="N573" s="8" t="s">
        <v>1561</v>
      </c>
      <c r="O573" s="8" t="s">
        <v>554</v>
      </c>
      <c r="P573" s="8" t="s">
        <v>405</v>
      </c>
      <c r="Q573" s="12" t="str">
        <f>HYPERLINK("http://www.wtae.com/news/authorities-open-fire-after-man-shoots-at-them-with-crossbow/33977196","http://www.wtae.com/news/authorities-open-fire-after-man-shoots-at-them-with-crossbow/33977196")</f>
        <v>http://www.wtae.com/news/authorities-open-fire-after-man-shoots-at-them-with-crossbow/33977196</v>
      </c>
      <c r="R573" s="8" t="s">
        <v>972</v>
      </c>
      <c r="S573" s="8" t="s">
        <v>18</v>
      </c>
      <c r="T573" s="6"/>
      <c r="U573" s="8"/>
    </row>
    <row r="574" spans="1:39" ht="13.5" customHeight="1">
      <c r="A574" s="8" t="s">
        <v>1562</v>
      </c>
      <c r="B574" s="16">
        <v>52</v>
      </c>
      <c r="C574" s="8" t="s">
        <v>20</v>
      </c>
      <c r="D574" s="8" t="s">
        <v>37</v>
      </c>
      <c r="E574" s="8" t="str">
        <f>HYPERLINK("http://www.wyff4.com/image/view/-/33914720/highRes/1/-/maxh/630/maxw/1200/-/157k9k3/-/Clay-Alan-Lickteig-jpg.jpg","http://www.wyff4.com/image/view/-/33914720/highRes/1/-/maxh/630/maxw/1200/-/157k9k3/-/Clay-Alan-Lickteig-jpg.jpg")</f>
        <v>http://www.wyff4.com/image/view/-/33914720/highRes/1/-/maxh/630/maxw/1200/-/157k9k3/-/Clay-Alan-Lickteig-jpg.jpg</v>
      </c>
      <c r="F574" s="17">
        <v>42185</v>
      </c>
      <c r="G574" s="8" t="s">
        <v>1563</v>
      </c>
      <c r="H574" s="8" t="s">
        <v>1301</v>
      </c>
      <c r="I574" s="8" t="s">
        <v>370</v>
      </c>
      <c r="J574" s="16" t="s">
        <v>1564</v>
      </c>
      <c r="K574" s="2" t="s">
        <v>1565</v>
      </c>
      <c r="L574" s="8" t="s">
        <v>1566</v>
      </c>
      <c r="M574" s="8" t="s">
        <v>27</v>
      </c>
      <c r="N574" s="8" t="s">
        <v>1567</v>
      </c>
      <c r="O574" s="8" t="s">
        <v>404</v>
      </c>
      <c r="P574" s="8" t="s">
        <v>405</v>
      </c>
      <c r="Q574" s="12" t="str">
        <f>HYPERLINK("http://www.wyff4.com/news/police-man-killed-after-shootout-with-officers/33901040","http://www.wyff4.com/news/police-man-killed-after-shootout-with-officers/33901040")</f>
        <v>http://www.wyff4.com/news/police-man-killed-after-shootout-with-officers/33901040</v>
      </c>
      <c r="R574" s="8" t="s">
        <v>100</v>
      </c>
      <c r="S574" s="8" t="s">
        <v>28</v>
      </c>
      <c r="T574" s="8"/>
      <c r="U574" s="8"/>
    </row>
    <row r="575" spans="1:39" ht="13.5" customHeight="1">
      <c r="A575" s="8" t="s">
        <v>1568</v>
      </c>
      <c r="B575" s="16">
        <v>51</v>
      </c>
      <c r="C575" s="8" t="s">
        <v>20</v>
      </c>
      <c r="D575" s="8" t="s">
        <v>37</v>
      </c>
      <c r="F575" s="17">
        <v>42184</v>
      </c>
      <c r="G575" s="8" t="s">
        <v>1569</v>
      </c>
      <c r="H575" s="8" t="s">
        <v>1570</v>
      </c>
      <c r="I575" s="8" t="s">
        <v>427</v>
      </c>
      <c r="J575" s="16" t="s">
        <v>1571</v>
      </c>
      <c r="K575" s="2" t="s">
        <v>1572</v>
      </c>
      <c r="L575" s="8" t="s">
        <v>1573</v>
      </c>
      <c r="M575" s="8" t="s">
        <v>27</v>
      </c>
      <c r="N575" s="8" t="s">
        <v>1574</v>
      </c>
      <c r="O575" s="8" t="s">
        <v>404</v>
      </c>
      <c r="P575" s="8" t="s">
        <v>405</v>
      </c>
      <c r="Q575" s="12"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575" s="8" t="s">
        <v>100</v>
      </c>
      <c r="S575" s="8" t="s">
        <v>28</v>
      </c>
      <c r="T575" s="6"/>
      <c r="U575" s="8"/>
    </row>
    <row r="576" spans="1:39" ht="13.5" customHeight="1">
      <c r="A576" s="8" t="s">
        <v>1575</v>
      </c>
      <c r="B576" s="16">
        <v>29</v>
      </c>
      <c r="C576" s="8" t="s">
        <v>20</v>
      </c>
      <c r="D576" s="8" t="s">
        <v>37</v>
      </c>
      <c r="E576" s="8"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576" s="17">
        <v>42183</v>
      </c>
      <c r="G576" s="8" t="s">
        <v>1576</v>
      </c>
      <c r="H576" s="8" t="s">
        <v>1577</v>
      </c>
      <c r="I576" s="8" t="s">
        <v>118</v>
      </c>
      <c r="J576" s="16" t="s">
        <v>1578</v>
      </c>
      <c r="K576" s="2" t="s">
        <v>1579</v>
      </c>
      <c r="L576" s="8" t="s">
        <v>18230</v>
      </c>
      <c r="M576" s="8" t="s">
        <v>27</v>
      </c>
      <c r="N576" s="8" t="s">
        <v>1580</v>
      </c>
      <c r="O576" s="8" t="s">
        <v>404</v>
      </c>
      <c r="P576" s="8" t="s">
        <v>405</v>
      </c>
      <c r="Q576" s="12" t="str">
        <f>HYPERLINK("http://www.kgw.com/story/news/local/2015/06/29/police-shooting-winco-parking-lot-portland/29455487/","http://www.kgw.com/story/news/local/2015/06/29/police-shooting-winco-parking-lot-portland/29455487/")</f>
        <v>http://www.kgw.com/story/news/local/2015/06/29/police-shooting-winco-parking-lot-portland/29455487/</v>
      </c>
      <c r="R576" s="8" t="s">
        <v>972</v>
      </c>
      <c r="S576" s="8" t="s">
        <v>28</v>
      </c>
      <c r="T576" s="8"/>
      <c r="U576" s="8"/>
      <c r="V576" s="8"/>
      <c r="W576" s="8"/>
      <c r="X576" s="8"/>
    </row>
    <row r="577" spans="1:34" ht="13.5" customHeight="1">
      <c r="A577" s="8" t="s">
        <v>1581</v>
      </c>
      <c r="B577" s="16">
        <v>60</v>
      </c>
      <c r="C577" s="8" t="s">
        <v>20</v>
      </c>
      <c r="D577" s="8" t="s">
        <v>37</v>
      </c>
      <c r="F577" s="17">
        <v>42183</v>
      </c>
      <c r="G577" s="8" t="s">
        <v>1582</v>
      </c>
      <c r="H577" s="8" t="s">
        <v>1583</v>
      </c>
      <c r="I577" s="8" t="s">
        <v>62</v>
      </c>
      <c r="J577" s="16" t="s">
        <v>1584</v>
      </c>
      <c r="K577" s="2" t="s">
        <v>644</v>
      </c>
      <c r="L577" s="8" t="s">
        <v>1585</v>
      </c>
      <c r="M577" s="8" t="s">
        <v>383</v>
      </c>
      <c r="N577" s="8" t="s">
        <v>1586</v>
      </c>
      <c r="O577" s="8" t="s">
        <v>1018</v>
      </c>
      <c r="P577" s="8" t="s">
        <v>405</v>
      </c>
      <c r="Q577" s="12" t="str">
        <f>HYPERLINK("http://wfla.com/2015/07/09/tampa-hit-and-run-investigation-focuses-on-tpd-officer/","http://wfla.com/2015/07/09/tampa-hit-and-run-investigation-focuses-on-tpd-officer/")</f>
        <v>http://wfla.com/2015/07/09/tampa-hit-and-run-investigation-focuses-on-tpd-officer/</v>
      </c>
      <c r="R577" s="8" t="s">
        <v>100</v>
      </c>
      <c r="S577" s="8" t="s">
        <v>18</v>
      </c>
      <c r="T577" s="6"/>
      <c r="U577" s="8"/>
    </row>
    <row r="578" spans="1:34" ht="13.5" customHeight="1">
      <c r="A578" s="8" t="s">
        <v>1587</v>
      </c>
      <c r="B578" s="16">
        <v>35</v>
      </c>
      <c r="C578" s="8" t="s">
        <v>20</v>
      </c>
      <c r="D578" s="8" t="s">
        <v>37</v>
      </c>
      <c r="F578" s="17">
        <v>42182</v>
      </c>
      <c r="G578" s="8" t="s">
        <v>1588</v>
      </c>
      <c r="H578" s="8" t="s">
        <v>1589</v>
      </c>
      <c r="I578" s="8" t="s">
        <v>399</v>
      </c>
      <c r="J578" s="16" t="s">
        <v>1590</v>
      </c>
      <c r="K578" s="2" t="s">
        <v>1591</v>
      </c>
      <c r="L578" s="8" t="s">
        <v>1592</v>
      </c>
      <c r="M578" s="8" t="s">
        <v>27</v>
      </c>
      <c r="N578" s="8" t="s">
        <v>1593</v>
      </c>
      <c r="O578" s="8" t="s">
        <v>404</v>
      </c>
      <c r="P578" s="8" t="s">
        <v>405</v>
      </c>
      <c r="Q578" s="12"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578" s="8" t="s">
        <v>100</v>
      </c>
      <c r="S578" s="8" t="s">
        <v>28</v>
      </c>
      <c r="T578" s="6"/>
      <c r="U578" s="8"/>
    </row>
    <row r="579" spans="1:34" ht="13.5" customHeight="1">
      <c r="A579" s="8" t="s">
        <v>1594</v>
      </c>
      <c r="B579" s="16">
        <v>28</v>
      </c>
      <c r="C579" s="8" t="s">
        <v>20</v>
      </c>
      <c r="D579" s="8" t="s">
        <v>48</v>
      </c>
      <c r="F579" s="17">
        <v>42181</v>
      </c>
      <c r="G579" s="8" t="s">
        <v>1595</v>
      </c>
      <c r="H579" s="8" t="s">
        <v>579</v>
      </c>
      <c r="I579" s="8" t="s">
        <v>73</v>
      </c>
      <c r="J579" s="16" t="s">
        <v>1596</v>
      </c>
      <c r="K579" s="2" t="s">
        <v>580</v>
      </c>
      <c r="L579" s="8" t="s">
        <v>581</v>
      </c>
      <c r="M579" s="8" t="s">
        <v>27</v>
      </c>
      <c r="N579" s="8" t="s">
        <v>1597</v>
      </c>
      <c r="O579" s="8" t="s">
        <v>404</v>
      </c>
      <c r="P579" s="8" t="s">
        <v>405</v>
      </c>
      <c r="Q579" s="12"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579" s="8" t="s">
        <v>100</v>
      </c>
      <c r="S579" s="8" t="s">
        <v>28</v>
      </c>
      <c r="T579" s="6"/>
      <c r="U579" s="8"/>
    </row>
    <row r="580" spans="1:34" ht="13.5" customHeight="1">
      <c r="A580" s="8" t="s">
        <v>1598</v>
      </c>
      <c r="B580" s="16">
        <v>49</v>
      </c>
      <c r="C580" s="8" t="s">
        <v>20</v>
      </c>
      <c r="D580" s="8" t="s">
        <v>37</v>
      </c>
      <c r="E580" s="8" t="str">
        <f>HYPERLINK("http://a.abcnews.com/images/US/HT_richard_matt_jt_150606_4x3_992.jpg","http://a.abcnews.com/images/US/HT_richard_matt_jt_150606_4x3_992.jpg")</f>
        <v>http://a.abcnews.com/images/US/HT_richard_matt_jt_150606_4x3_992.jpg</v>
      </c>
      <c r="F580" s="17">
        <v>42181</v>
      </c>
      <c r="G580" s="8" t="s">
        <v>1599</v>
      </c>
      <c r="H580" s="8" t="s">
        <v>1600</v>
      </c>
      <c r="I580" s="8" t="s">
        <v>427</v>
      </c>
      <c r="J580" s="16" t="s">
        <v>1601</v>
      </c>
      <c r="K580" s="2" t="s">
        <v>1301</v>
      </c>
      <c r="L580" s="8" t="s">
        <v>1602</v>
      </c>
      <c r="M580" s="8" t="s">
        <v>27</v>
      </c>
      <c r="N580" s="8" t="s">
        <v>1603</v>
      </c>
      <c r="O580" s="8" t="s">
        <v>404</v>
      </c>
      <c r="P580" s="8" t="s">
        <v>405</v>
      </c>
      <c r="Q580" s="12"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580" s="8" t="s">
        <v>100</v>
      </c>
      <c r="S580" s="8" t="s">
        <v>28</v>
      </c>
      <c r="T580" s="6"/>
      <c r="U580" s="8"/>
    </row>
    <row r="581" spans="1:34" ht="13.5" customHeight="1">
      <c r="A581" s="8" t="s">
        <v>1610</v>
      </c>
      <c r="B581" s="16">
        <v>61</v>
      </c>
      <c r="C581" s="8" t="s">
        <v>20</v>
      </c>
      <c r="D581" s="8" t="s">
        <v>37</v>
      </c>
      <c r="F581" s="17">
        <v>42180</v>
      </c>
      <c r="G581" s="8" t="s">
        <v>1611</v>
      </c>
      <c r="H581" s="8" t="s">
        <v>1612</v>
      </c>
      <c r="I581" s="8" t="s">
        <v>45</v>
      </c>
      <c r="J581" s="16" t="s">
        <v>1613</v>
      </c>
      <c r="K581" s="2" t="s">
        <v>203</v>
      </c>
      <c r="L581" s="8" t="s">
        <v>1614</v>
      </c>
      <c r="M581" s="8" t="s">
        <v>27</v>
      </c>
      <c r="N581" s="8" t="s">
        <v>1615</v>
      </c>
      <c r="O581" s="8" t="s">
        <v>404</v>
      </c>
      <c r="P581" s="8" t="s">
        <v>405</v>
      </c>
      <c r="Q581" s="12"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581" s="8" t="s">
        <v>100</v>
      </c>
      <c r="S581" s="8" t="s">
        <v>28</v>
      </c>
      <c r="T581" s="6"/>
      <c r="U581" s="8"/>
    </row>
    <row r="582" spans="1:34" ht="13.5" customHeight="1">
      <c r="A582" s="8" t="s">
        <v>1604</v>
      </c>
      <c r="B582" s="16">
        <v>41</v>
      </c>
      <c r="C582" s="8" t="s">
        <v>20</v>
      </c>
      <c r="D582" s="8" t="s">
        <v>85</v>
      </c>
      <c r="F582" s="17">
        <v>42180</v>
      </c>
      <c r="G582" s="8" t="s">
        <v>1605</v>
      </c>
      <c r="H582" s="8" t="s">
        <v>1606</v>
      </c>
      <c r="I582" s="8" t="s">
        <v>52</v>
      </c>
      <c r="J582" s="16" t="s">
        <v>1607</v>
      </c>
      <c r="K582" s="2" t="s">
        <v>1608</v>
      </c>
      <c r="L582" s="8" t="s">
        <v>234</v>
      </c>
      <c r="M582" s="8" t="s">
        <v>27</v>
      </c>
      <c r="N582" s="8" t="s">
        <v>1609</v>
      </c>
      <c r="O582" s="8" t="s">
        <v>404</v>
      </c>
      <c r="P582" s="8" t="s">
        <v>405</v>
      </c>
      <c r="Q582" s="12" t="str">
        <f>HYPERLINK("http://www.baltimoresun.com/news/maryland/crime/blog/bs-md-baltimore-county-0628-20150627-story.html","http://www.baltimoresun.com/news/maryland/crime/blog/bs-md-baltimore-county-0628-20150627-story.html")</f>
        <v>http://www.baltimoresun.com/news/maryland/crime/blog/bs-md-baltimore-county-0628-20150627-story.html</v>
      </c>
      <c r="R582" s="8" t="s">
        <v>100</v>
      </c>
      <c r="S582" s="8" t="s">
        <v>18</v>
      </c>
      <c r="T582" s="6"/>
      <c r="U582" s="8"/>
    </row>
    <row r="583" spans="1:34" ht="13.5" customHeight="1">
      <c r="A583" s="8" t="s">
        <v>1616</v>
      </c>
      <c r="B583" s="16">
        <v>26</v>
      </c>
      <c r="C583" s="8" t="s">
        <v>20</v>
      </c>
      <c r="D583" s="8" t="s">
        <v>85</v>
      </c>
      <c r="E583" s="8"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583" s="17">
        <v>42179</v>
      </c>
      <c r="G583" s="8" t="s">
        <v>1617</v>
      </c>
      <c r="H583" s="8" t="s">
        <v>1618</v>
      </c>
      <c r="I583" s="8" t="s">
        <v>247</v>
      </c>
      <c r="J583" s="16" t="s">
        <v>1619</v>
      </c>
      <c r="K583" s="2" t="s">
        <v>1620</v>
      </c>
      <c r="L583" s="8" t="s">
        <v>1621</v>
      </c>
      <c r="M583" s="8" t="s">
        <v>27</v>
      </c>
      <c r="N583" s="8" t="s">
        <v>1622</v>
      </c>
      <c r="O583" s="8" t="s">
        <v>404</v>
      </c>
      <c r="P583" s="8" t="s">
        <v>405</v>
      </c>
      <c r="Q583" s="12"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583" s="8" t="s">
        <v>29</v>
      </c>
      <c r="S583" s="8" t="s">
        <v>28</v>
      </c>
      <c r="T583" s="6"/>
      <c r="U583" s="8"/>
      <c r="V583" s="8"/>
      <c r="W583" s="8"/>
      <c r="X583" s="8"/>
    </row>
    <row r="584" spans="1:34" ht="13.5" customHeight="1">
      <c r="A584" s="8" t="s">
        <v>1623</v>
      </c>
      <c r="B584" s="16">
        <v>22</v>
      </c>
      <c r="C584" s="8" t="s">
        <v>20</v>
      </c>
      <c r="D584" s="8" t="s">
        <v>30</v>
      </c>
      <c r="F584" s="17">
        <v>42178</v>
      </c>
      <c r="G584" s="8" t="s">
        <v>1624</v>
      </c>
      <c r="H584" s="8" t="s">
        <v>1625</v>
      </c>
      <c r="I584" s="8" t="s">
        <v>367</v>
      </c>
      <c r="J584" s="16" t="s">
        <v>1626</v>
      </c>
      <c r="K584" s="2" t="s">
        <v>1627</v>
      </c>
      <c r="L584" s="8" t="s">
        <v>1628</v>
      </c>
      <c r="M584" s="8" t="s">
        <v>27</v>
      </c>
      <c r="N584" s="8" t="s">
        <v>1629</v>
      </c>
      <c r="O584" s="8" t="s">
        <v>404</v>
      </c>
      <c r="P584" s="8" t="s">
        <v>405</v>
      </c>
      <c r="Q584" s="12" t="str">
        <f>HYPERLINK("http://www.kansas.com/news/local/article25221067.html","http://www.kansas.com/news/local/article25221067.html")</f>
        <v>http://www.kansas.com/news/local/article25221067.html</v>
      </c>
      <c r="R584" s="8" t="s">
        <v>29</v>
      </c>
      <c r="S584" s="8" t="s">
        <v>28</v>
      </c>
      <c r="T584" s="6"/>
      <c r="U584" s="8"/>
    </row>
    <row r="585" spans="1:34" ht="13.5" customHeight="1">
      <c r="A585" s="8" t="s">
        <v>1630</v>
      </c>
      <c r="B585" s="16">
        <v>34</v>
      </c>
      <c r="C585" s="8" t="s">
        <v>20</v>
      </c>
      <c r="D585" s="8" t="s">
        <v>37</v>
      </c>
      <c r="F585" s="17">
        <v>42178</v>
      </c>
      <c r="G585" s="8" t="s">
        <v>1631</v>
      </c>
      <c r="H585" s="8" t="s">
        <v>219</v>
      </c>
      <c r="I585" s="8" t="s">
        <v>220</v>
      </c>
      <c r="J585" s="16" t="s">
        <v>1632</v>
      </c>
      <c r="K585" s="2" t="s">
        <v>424</v>
      </c>
      <c r="L585" s="8" t="s">
        <v>221</v>
      </c>
      <c r="M585" s="8" t="s">
        <v>27</v>
      </c>
      <c r="N585" s="8" t="s">
        <v>1633</v>
      </c>
      <c r="O585" s="8" t="s">
        <v>404</v>
      </c>
      <c r="P585" s="8" t="s">
        <v>405</v>
      </c>
      <c r="Q585" s="12" t="str">
        <f>HYPERLINK("http://www.wthr.com/story/29391400/impd-officer-involved-in-shooting-after-short-pursuit","http://www.wthr.com/story/29391400/impd-officer-involved-in-shooting-after-short-pursuit")</f>
        <v>http://www.wthr.com/story/29391400/impd-officer-involved-in-shooting-after-short-pursuit</v>
      </c>
      <c r="R585" s="8" t="s">
        <v>29</v>
      </c>
      <c r="S585" s="8" t="s">
        <v>18</v>
      </c>
      <c r="T585" s="6"/>
      <c r="U585" s="8"/>
    </row>
    <row r="586" spans="1:34" ht="13.5" customHeight="1">
      <c r="A586" s="8" t="s">
        <v>1634</v>
      </c>
      <c r="B586" s="16">
        <v>49</v>
      </c>
      <c r="C586" s="8" t="s">
        <v>20</v>
      </c>
      <c r="D586" s="8" t="s">
        <v>37</v>
      </c>
      <c r="E586" s="8"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586" s="17">
        <v>42178</v>
      </c>
      <c r="G586" s="8" t="s">
        <v>1635</v>
      </c>
      <c r="H586" s="8" t="s">
        <v>1636</v>
      </c>
      <c r="I586" s="8" t="s">
        <v>73</v>
      </c>
      <c r="J586" s="16" t="s">
        <v>1637</v>
      </c>
      <c r="K586" s="2" t="s">
        <v>1638</v>
      </c>
      <c r="L586" s="8" t="s">
        <v>1639</v>
      </c>
      <c r="M586" s="8" t="s">
        <v>27</v>
      </c>
      <c r="N586" s="8" t="s">
        <v>1640</v>
      </c>
      <c r="O586" s="8" t="s">
        <v>404</v>
      </c>
      <c r="P586" s="8" t="s">
        <v>405</v>
      </c>
      <c r="Q586" s="12" t="str">
        <f>HYPERLINK("http://www.star-telegram.com/news/local/community/fort-worth/article25340344.html","http://www.star-telegram.com/news/local/community/fort-worth/article25340344.html")</f>
        <v>http://www.star-telegram.com/news/local/community/fort-worth/article25340344.html</v>
      </c>
      <c r="R586" s="8" t="s">
        <v>559</v>
      </c>
      <c r="S586" s="8" t="s">
        <v>28</v>
      </c>
      <c r="T586" s="6"/>
      <c r="U586" s="8"/>
    </row>
    <row r="587" spans="1:34" ht="13.5" customHeight="1">
      <c r="A587" s="8" t="s">
        <v>1641</v>
      </c>
      <c r="B587" s="16">
        <v>32</v>
      </c>
      <c r="C587" s="8" t="s">
        <v>20</v>
      </c>
      <c r="D587" s="8" t="s">
        <v>37</v>
      </c>
      <c r="E587" s="8"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587" s="17">
        <v>42178</v>
      </c>
      <c r="G587" s="8" t="s">
        <v>1642</v>
      </c>
      <c r="H587" s="8" t="s">
        <v>1643</v>
      </c>
      <c r="I587" s="8" t="s">
        <v>467</v>
      </c>
      <c r="J587" s="16" t="s">
        <v>1644</v>
      </c>
      <c r="K587" s="2" t="s">
        <v>946</v>
      </c>
      <c r="L587" s="8" t="s">
        <v>1645</v>
      </c>
      <c r="M587" s="8" t="s">
        <v>27</v>
      </c>
      <c r="N587" s="8" t="s">
        <v>1646</v>
      </c>
      <c r="O587" s="8" t="s">
        <v>554</v>
      </c>
      <c r="P587" s="8" t="s">
        <v>405</v>
      </c>
      <c r="Q587" s="12"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587" s="8" t="s">
        <v>100</v>
      </c>
      <c r="S587" s="7" t="s">
        <v>28</v>
      </c>
      <c r="T587" s="7"/>
      <c r="U587" s="8"/>
    </row>
    <row r="588" spans="1:34" ht="13.5" customHeight="1">
      <c r="A588" s="8" t="s">
        <v>1654</v>
      </c>
      <c r="B588" s="16">
        <v>35</v>
      </c>
      <c r="C588" s="8" t="s">
        <v>20</v>
      </c>
      <c r="D588" s="8" t="s">
        <v>48</v>
      </c>
      <c r="F588" s="17">
        <v>42177</v>
      </c>
      <c r="G588" s="8" t="s">
        <v>1655</v>
      </c>
      <c r="H588" s="8" t="s">
        <v>1656</v>
      </c>
      <c r="I588" s="8" t="s">
        <v>45</v>
      </c>
      <c r="J588" s="16" t="s">
        <v>1657</v>
      </c>
      <c r="K588" s="2" t="s">
        <v>1658</v>
      </c>
      <c r="L588" s="8" t="s">
        <v>1659</v>
      </c>
      <c r="M588" s="8" t="s">
        <v>27</v>
      </c>
      <c r="N588" s="8" t="s">
        <v>1660</v>
      </c>
      <c r="O588" s="8" t="s">
        <v>404</v>
      </c>
      <c r="P588" s="8" t="s">
        <v>405</v>
      </c>
      <c r="Q588" s="12" t="str">
        <f>HYPERLINK("http://www.sacbee.com/news/local/crime/article25297567.html","http://www.sacbee.com/news/local/crime/article25297567.html")</f>
        <v>http://www.sacbee.com/news/local/crime/article25297567.html</v>
      </c>
      <c r="R588" s="8" t="s">
        <v>29</v>
      </c>
      <c r="S588" s="8" t="s">
        <v>28</v>
      </c>
      <c r="T588" s="6"/>
      <c r="U588" s="8"/>
    </row>
    <row r="589" spans="1:34" ht="13.5" customHeight="1">
      <c r="A589" s="8" t="s">
        <v>1667</v>
      </c>
      <c r="B589" s="16">
        <v>60</v>
      </c>
      <c r="C589" s="8" t="s">
        <v>20</v>
      </c>
      <c r="D589" s="8" t="s">
        <v>37</v>
      </c>
      <c r="E589" s="8"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589" s="17">
        <v>42177</v>
      </c>
      <c r="G589" s="8" t="s">
        <v>1668</v>
      </c>
      <c r="H589" s="8" t="s">
        <v>1669</v>
      </c>
      <c r="I589" s="8" t="s">
        <v>370</v>
      </c>
      <c r="J589" s="16" t="s">
        <v>1670</v>
      </c>
      <c r="K589" s="2" t="s">
        <v>1671</v>
      </c>
      <c r="L589" s="8" t="s">
        <v>1672</v>
      </c>
      <c r="M589" s="8" t="s">
        <v>27</v>
      </c>
      <c r="N589" s="8" t="s">
        <v>1673</v>
      </c>
      <c r="O589" s="8" t="s">
        <v>404</v>
      </c>
      <c r="P589" s="8" t="s">
        <v>405</v>
      </c>
      <c r="Q589" s="12" t="str">
        <f>HYPERLINK("http://www.wxii12.com/news/sheriffs-deputy-shot-in-wilkes-county/33705684","http://www.wxii12.com/news/sheriffs-deputy-shot-in-wilkes-county/33705684")</f>
        <v>http://www.wxii12.com/news/sheriffs-deputy-shot-in-wilkes-county/33705684</v>
      </c>
      <c r="R589" s="8" t="s">
        <v>100</v>
      </c>
      <c r="S589" s="8" t="s">
        <v>28</v>
      </c>
      <c r="T589" s="6"/>
      <c r="U589" s="8"/>
    </row>
    <row r="590" spans="1:34" ht="13.5" customHeight="1">
      <c r="A590" s="8" t="s">
        <v>1661</v>
      </c>
      <c r="B590" s="16">
        <v>30</v>
      </c>
      <c r="C590" s="8" t="s">
        <v>20</v>
      </c>
      <c r="D590" s="8" t="s">
        <v>37</v>
      </c>
      <c r="E590" s="8" t="str">
        <f>HYPERLINK("http://chronicle.augusta.com/sites/default/files/imagecache/superphoto/14501857.jpg","http://chronicle.augusta.com/sites/default/files/imagecache/superphoto/14501857.jpg")</f>
        <v>http://chronicle.augusta.com/sites/default/files/imagecache/superphoto/14501857.jpg</v>
      </c>
      <c r="F590" s="17">
        <v>42177</v>
      </c>
      <c r="G590" s="8" t="s">
        <v>1662</v>
      </c>
      <c r="H590" s="8" t="s">
        <v>1663</v>
      </c>
      <c r="I590" s="8" t="s">
        <v>175</v>
      </c>
      <c r="J590" s="16" t="s">
        <v>1664</v>
      </c>
      <c r="K590" s="2" t="s">
        <v>882</v>
      </c>
      <c r="L590" s="8" t="s">
        <v>1665</v>
      </c>
      <c r="M590" s="8" t="s">
        <v>27</v>
      </c>
      <c r="N590" s="8" t="s">
        <v>1666</v>
      </c>
      <c r="O590" s="8" t="s">
        <v>404</v>
      </c>
      <c r="P590" s="8" t="s">
        <v>405</v>
      </c>
      <c r="Q590" s="12"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590" s="8" t="s">
        <v>29</v>
      </c>
      <c r="S590" s="8" t="s">
        <v>28</v>
      </c>
      <c r="T590" s="6"/>
      <c r="U590" s="8"/>
    </row>
    <row r="591" spans="1:34" ht="13.5" customHeight="1">
      <c r="A591" s="8" t="s">
        <v>1647</v>
      </c>
      <c r="B591" s="16">
        <v>20</v>
      </c>
      <c r="C591" s="8" t="s">
        <v>20</v>
      </c>
      <c r="D591" s="8" t="s">
        <v>85</v>
      </c>
      <c r="E591" s="8" t="str">
        <f>HYPERLINK("http://www.post-gazette.com/image/2015/06/23/420x_q90_cMC_z_ca0,37,614,753/HarrisTyrone.jpg","http://www.post-gazette.com/image/2015/06/23/420x_q90_cMC_z_ca0,37,614,753/HarrisTyrone.jpg")</f>
        <v>http://www.post-gazette.com/image/2015/06/23/420x_q90_cMC_z_ca0,37,614,753/HarrisTyrone.jpg</v>
      </c>
      <c r="F591" s="17">
        <v>42177</v>
      </c>
      <c r="G591" s="8" t="s">
        <v>1648</v>
      </c>
      <c r="H591" s="8" t="s">
        <v>1649</v>
      </c>
      <c r="I591" s="8" t="s">
        <v>408</v>
      </c>
      <c r="J591" s="16" t="s">
        <v>1650</v>
      </c>
      <c r="K591" s="2" t="s">
        <v>1651</v>
      </c>
      <c r="L591" s="8" t="s">
        <v>1652</v>
      </c>
      <c r="M591" s="8" t="s">
        <v>27</v>
      </c>
      <c r="N591" s="8" t="s">
        <v>1653</v>
      </c>
      <c r="O591" s="8" t="s">
        <v>404</v>
      </c>
      <c r="P591" s="8" t="s">
        <v>405</v>
      </c>
      <c r="Q591" s="12"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591" s="8" t="s">
        <v>29</v>
      </c>
      <c r="S591" s="8" t="s">
        <v>28</v>
      </c>
      <c r="T591" s="6"/>
      <c r="U591" s="8"/>
    </row>
    <row r="592" spans="1:34" ht="13.5" customHeight="1">
      <c r="A592" s="8" t="s">
        <v>1681</v>
      </c>
      <c r="B592" s="16">
        <v>24</v>
      </c>
      <c r="C592" s="8" t="s">
        <v>20</v>
      </c>
      <c r="D592" s="8" t="s">
        <v>48</v>
      </c>
      <c r="E592" s="8"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592" s="17">
        <v>42176</v>
      </c>
      <c r="G592" s="8" t="s">
        <v>1682</v>
      </c>
      <c r="H592" s="8" t="s">
        <v>1683</v>
      </c>
      <c r="I592" s="8" t="s">
        <v>45</v>
      </c>
      <c r="J592" s="16" t="s">
        <v>1684</v>
      </c>
      <c r="K592" s="2" t="s">
        <v>98</v>
      </c>
      <c r="L592" s="8" t="s">
        <v>1685</v>
      </c>
      <c r="M592" s="8" t="s">
        <v>27</v>
      </c>
      <c r="N592" s="8" t="s">
        <v>1686</v>
      </c>
      <c r="O592" s="8" t="s">
        <v>404</v>
      </c>
      <c r="P592" s="8" t="s">
        <v>405</v>
      </c>
      <c r="Q592" s="12" t="str">
        <f>HYPERLINK("http://homicide.latimes.com/post/adrian-simental/","http://homicide.latimes.com/post/adrian-simental/")</f>
        <v>http://homicide.latimes.com/post/adrian-simental/</v>
      </c>
      <c r="R592" s="8" t="s">
        <v>29</v>
      </c>
      <c r="S592" s="8" t="s">
        <v>35</v>
      </c>
      <c r="T592" s="6"/>
      <c r="U592" s="8"/>
      <c r="Y592" s="8"/>
      <c r="Z592" s="8"/>
      <c r="AA592" s="8"/>
      <c r="AB592" s="8"/>
      <c r="AC592" s="8"/>
      <c r="AD592" s="8"/>
      <c r="AE592" s="8"/>
      <c r="AF592" s="8"/>
      <c r="AG592" s="8"/>
      <c r="AH592" s="8"/>
    </row>
    <row r="593" spans="1:34" ht="13.5" customHeight="1">
      <c r="A593" s="8" t="s">
        <v>1674</v>
      </c>
      <c r="B593" s="16">
        <v>23</v>
      </c>
      <c r="C593" s="8" t="s">
        <v>20</v>
      </c>
      <c r="D593" s="8" t="s">
        <v>48</v>
      </c>
      <c r="E593" s="8"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593" s="17">
        <v>42176</v>
      </c>
      <c r="G593" s="8" t="s">
        <v>1675</v>
      </c>
      <c r="H593" s="8" t="s">
        <v>1676</v>
      </c>
      <c r="I593" s="8" t="s">
        <v>798</v>
      </c>
      <c r="J593" s="16" t="s">
        <v>1677</v>
      </c>
      <c r="K593" s="2" t="s">
        <v>1678</v>
      </c>
      <c r="L593" s="8" t="s">
        <v>1679</v>
      </c>
      <c r="M593" t="s">
        <v>2312</v>
      </c>
      <c r="N593" s="8" t="s">
        <v>1680</v>
      </c>
      <c r="O593" s="8" t="s">
        <v>404</v>
      </c>
      <c r="P593" s="8" t="s">
        <v>405</v>
      </c>
      <c r="Q593" s="12" t="str">
        <f>HYPERLINK("http://www.ktvb.com/story/news/crime/2015/06/25/allen--hernandez-owyhee-sheriff/29283099/","http://www.ktvb.com/story/news/crime/2015/06/25/allen--hernandez-owyhee-sheriff/29283099/")</f>
        <v>http://www.ktvb.com/story/news/crime/2015/06/25/allen--hernandez-owyhee-sheriff/29283099/</v>
      </c>
      <c r="R593" s="8" t="s">
        <v>100</v>
      </c>
      <c r="S593" s="8" t="s">
        <v>18</v>
      </c>
      <c r="T593" s="6"/>
      <c r="U593" s="8"/>
    </row>
    <row r="594" spans="1:34" ht="13.5" customHeight="1">
      <c r="A594" s="8" t="s">
        <v>1687</v>
      </c>
      <c r="B594" s="16">
        <v>49</v>
      </c>
      <c r="C594" s="8" t="s">
        <v>20</v>
      </c>
      <c r="D594" s="8" t="s">
        <v>37</v>
      </c>
      <c r="E594" s="8" t="str">
        <f>HYPERLINK("http://d3trabu2dfbdfb.cloudfront.net/4/6/4658528_300x300.jpeg","http://d3trabu2dfbdfb.cloudfront.net/4/6/4658528_300x300.jpeg")</f>
        <v>http://d3trabu2dfbdfb.cloudfront.net/4/6/4658528_300x300.jpeg</v>
      </c>
      <c r="F594" s="17">
        <v>42176</v>
      </c>
      <c r="G594" s="8" t="s">
        <v>1688</v>
      </c>
      <c r="H594" s="8" t="s">
        <v>731</v>
      </c>
      <c r="I594" s="8" t="s">
        <v>73</v>
      </c>
      <c r="J594" s="16" t="s">
        <v>1689</v>
      </c>
      <c r="K594" s="2" t="s">
        <v>562</v>
      </c>
      <c r="L594" s="8" t="s">
        <v>563</v>
      </c>
      <c r="M594" s="8" t="s">
        <v>27</v>
      </c>
      <c r="N594" s="8" t="s">
        <v>1690</v>
      </c>
      <c r="O594" s="8" t="s">
        <v>404</v>
      </c>
      <c r="P594" s="8" t="s">
        <v>405</v>
      </c>
      <c r="Q594" s="12" t="str">
        <f>HYPERLINK("http://www.chron.com/news/houston-texas/article/Deputy-fatally-shoots-man-after-he-charges-6340675.php","http://www.chron.com/news/houston-texas/article/Deputy-fatally-shoots-man-after-he-charges-6340675.php")</f>
        <v>http://www.chron.com/news/houston-texas/article/Deputy-fatally-shoots-man-after-he-charges-6340675.php</v>
      </c>
      <c r="R594" s="8" t="s">
        <v>972</v>
      </c>
      <c r="S594" s="8" t="s">
        <v>28</v>
      </c>
      <c r="T594" s="6"/>
      <c r="U594" s="8"/>
    </row>
    <row r="595" spans="1:34" ht="13.5" customHeight="1">
      <c r="A595" s="8" t="s">
        <v>1691</v>
      </c>
      <c r="B595" s="16">
        <v>23</v>
      </c>
      <c r="C595" s="8" t="s">
        <v>20</v>
      </c>
      <c r="D595" s="8" t="s">
        <v>85</v>
      </c>
      <c r="F595" s="17">
        <v>42175</v>
      </c>
      <c r="G595" s="8" t="s">
        <v>1692</v>
      </c>
      <c r="H595" s="8" t="s">
        <v>87</v>
      </c>
      <c r="I595" s="8" t="s">
        <v>44</v>
      </c>
      <c r="J595" s="16" t="s">
        <v>1693</v>
      </c>
      <c r="K595" s="2" t="s">
        <v>88</v>
      </c>
      <c r="L595" s="8" t="s">
        <v>89</v>
      </c>
      <c r="M595" s="8" t="s">
        <v>27</v>
      </c>
      <c r="N595" s="8" t="s">
        <v>1694</v>
      </c>
      <c r="O595" s="8" t="s">
        <v>404</v>
      </c>
      <c r="P595" s="8" t="s">
        <v>405</v>
      </c>
      <c r="Q595" s="12"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595" s="8" t="s">
        <v>100</v>
      </c>
      <c r="S595" s="8" t="s">
        <v>28</v>
      </c>
      <c r="T595" s="6"/>
      <c r="U595" s="8"/>
    </row>
    <row r="596" spans="1:34" ht="13.5" customHeight="1">
      <c r="A596" s="8" t="s">
        <v>1695</v>
      </c>
      <c r="B596" s="16">
        <v>32</v>
      </c>
      <c r="C596" s="8" t="s">
        <v>20</v>
      </c>
      <c r="D596" s="8" t="s">
        <v>85</v>
      </c>
      <c r="F596" s="17">
        <v>42175</v>
      </c>
      <c r="G596" s="8" t="s">
        <v>1696</v>
      </c>
      <c r="H596" s="8" t="s">
        <v>192</v>
      </c>
      <c r="I596" s="8" t="s">
        <v>25</v>
      </c>
      <c r="J596" s="16" t="s">
        <v>1697</v>
      </c>
      <c r="K596" s="2" t="s">
        <v>1698</v>
      </c>
      <c r="L596" s="8" t="s">
        <v>1699</v>
      </c>
      <c r="M596" s="8" t="s">
        <v>395</v>
      </c>
      <c r="N596" s="8" t="s">
        <v>1700</v>
      </c>
      <c r="O596" s="8" t="s">
        <v>404</v>
      </c>
      <c r="P596" s="8" t="s">
        <v>405</v>
      </c>
      <c r="Q596" s="12" t="str">
        <f>HYPERLINK("http://theadvocate.com/news/12712188-123/father-at-a-loss-for","http://theadvocate.com/news/12712188-123/father-at-a-loss-for")</f>
        <v>http://theadvocate.com/news/12712188-123/father-at-a-loss-for</v>
      </c>
      <c r="R596" s="8" t="s">
        <v>972</v>
      </c>
      <c r="S596" s="8" t="s">
        <v>18</v>
      </c>
      <c r="T596" s="6"/>
      <c r="U596" s="8"/>
    </row>
    <row r="597" spans="1:34" ht="13.5" customHeight="1">
      <c r="A597" s="8" t="s">
        <v>1701</v>
      </c>
      <c r="B597" s="16">
        <v>21</v>
      </c>
      <c r="C597" s="8" t="s">
        <v>20</v>
      </c>
      <c r="D597" s="8" t="s">
        <v>85</v>
      </c>
      <c r="E597" s="8"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597" s="17">
        <v>42175</v>
      </c>
      <c r="G597" s="8" t="s">
        <v>1702</v>
      </c>
      <c r="H597" s="8" t="s">
        <v>1703</v>
      </c>
      <c r="I597" s="8" t="s">
        <v>94</v>
      </c>
      <c r="J597" s="16" t="s">
        <v>1704</v>
      </c>
      <c r="K597" s="2" t="s">
        <v>713</v>
      </c>
      <c r="L597" s="8" t="s">
        <v>1705</v>
      </c>
      <c r="M597" s="8" t="s">
        <v>1706</v>
      </c>
      <c r="N597" s="8" t="s">
        <v>1707</v>
      </c>
      <c r="O597" s="8" t="s">
        <v>404</v>
      </c>
      <c r="P597" s="8" t="s">
        <v>405</v>
      </c>
      <c r="Q597" s="12" t="str">
        <f>HYPERLINK("http://www.tuscaloosanews.com/article/20150622/news/150629934?p=1&amp;tc=pg","http://www.tuscaloosanews.com/article/20150622/news/150629934?p=1&amp;tc=pg")</f>
        <v>http://www.tuscaloosanews.com/article/20150622/news/150629934?p=1&amp;tc=pg</v>
      </c>
      <c r="R597" s="8" t="s">
        <v>100</v>
      </c>
      <c r="S597" s="7" t="s">
        <v>18</v>
      </c>
      <c r="T597" s="7"/>
      <c r="U597" s="8"/>
    </row>
    <row r="598" spans="1:34" ht="13.5" customHeight="1">
      <c r="A598" s="8" t="s">
        <v>1718</v>
      </c>
      <c r="B598" s="16">
        <v>50</v>
      </c>
      <c r="C598" s="8" t="s">
        <v>20</v>
      </c>
      <c r="D598" s="8" t="s">
        <v>48</v>
      </c>
      <c r="F598" s="17">
        <v>42174</v>
      </c>
      <c r="G598" s="8" t="s">
        <v>1719</v>
      </c>
      <c r="H598" s="8" t="s">
        <v>1720</v>
      </c>
      <c r="I598" s="8" t="s">
        <v>212</v>
      </c>
      <c r="J598" s="16" t="s">
        <v>1721</v>
      </c>
      <c r="K598" s="2" t="s">
        <v>1722</v>
      </c>
      <c r="L598" s="8" t="s">
        <v>1723</v>
      </c>
      <c r="M598" s="8" t="s">
        <v>27</v>
      </c>
      <c r="N598" s="8" t="s">
        <v>1724</v>
      </c>
      <c r="O598" s="8" t="s">
        <v>404</v>
      </c>
      <c r="P598" s="8" t="s">
        <v>405</v>
      </c>
      <c r="Q598" s="12" t="str">
        <f>HYPERLINK("http://www.greeleytribune.com/news/16932384-113/weld-district-attorney-releases-names-of-man-woman","http://www.greeleytribune.com/news/16932384-113/weld-district-attorney-releases-names-of-man-woman")</f>
        <v>http://www.greeleytribune.com/news/16932384-113/weld-district-attorney-releases-names-of-man-woman</v>
      </c>
      <c r="R598" s="8" t="s">
        <v>100</v>
      </c>
      <c r="S598" s="8" t="s">
        <v>28</v>
      </c>
      <c r="T598" s="6"/>
      <c r="U598" s="8"/>
      <c r="Y598" s="8"/>
      <c r="Z598" s="8"/>
      <c r="AA598" s="8"/>
      <c r="AB598" s="8"/>
      <c r="AC598" s="8"/>
      <c r="AD598" s="8"/>
      <c r="AE598" s="8"/>
      <c r="AF598" s="8"/>
      <c r="AG598" s="8"/>
      <c r="AH598" s="8"/>
    </row>
    <row r="599" spans="1:34" ht="13.5" customHeight="1">
      <c r="A599" s="8" t="s">
        <v>1712</v>
      </c>
      <c r="B599" s="16">
        <v>45</v>
      </c>
      <c r="C599" s="8" t="s">
        <v>20</v>
      </c>
      <c r="D599" s="8" t="s">
        <v>48</v>
      </c>
      <c r="F599" s="17">
        <v>42174</v>
      </c>
      <c r="G599" s="8" t="s">
        <v>1713</v>
      </c>
      <c r="H599" s="8" t="s">
        <v>1714</v>
      </c>
      <c r="I599" s="8" t="s">
        <v>46</v>
      </c>
      <c r="J599" s="16" t="s">
        <v>1715</v>
      </c>
      <c r="K599" s="2" t="s">
        <v>1716</v>
      </c>
      <c r="L599" s="8" t="s">
        <v>16834</v>
      </c>
      <c r="M599" s="8" t="s">
        <v>27</v>
      </c>
      <c r="N599" s="8" t="s">
        <v>1717</v>
      </c>
      <c r="O599" s="8" t="s">
        <v>404</v>
      </c>
      <c r="P599" s="8" t="s">
        <v>405</v>
      </c>
      <c r="Q599" s="12" t="str">
        <f>HYPERLINK("http://www.necn.com/news/new-england/Sister-Speaks-Out-About-Police-Involved-Shooting-308721631.html","http://www.necn.com/news/new-england/Sister-Speaks-Out-About-Police-Involved-Shooting-308721631.html")</f>
        <v>http://www.necn.com/news/new-england/Sister-Speaks-Out-About-Police-Involved-Shooting-308721631.html</v>
      </c>
      <c r="R599" s="8" t="s">
        <v>559</v>
      </c>
      <c r="S599" s="8" t="s">
        <v>28</v>
      </c>
      <c r="T599" s="6"/>
      <c r="U599" s="8"/>
    </row>
    <row r="600" spans="1:34" ht="13.5" customHeight="1">
      <c r="A600" s="8" t="s">
        <v>1708</v>
      </c>
      <c r="B600" s="16">
        <v>21</v>
      </c>
      <c r="C600" s="8" t="s">
        <v>20</v>
      </c>
      <c r="D600" s="8" t="s">
        <v>85</v>
      </c>
      <c r="E600" s="8"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600" s="17">
        <v>42174</v>
      </c>
      <c r="G600" s="8" t="s">
        <v>1709</v>
      </c>
      <c r="H600" s="8" t="s">
        <v>551</v>
      </c>
      <c r="I600" s="8" t="s">
        <v>69</v>
      </c>
      <c r="J600" s="16" t="s">
        <v>1710</v>
      </c>
      <c r="K600" s="2" t="s">
        <v>552</v>
      </c>
      <c r="L600" s="8" t="s">
        <v>553</v>
      </c>
      <c r="M600" s="8" t="s">
        <v>27</v>
      </c>
      <c r="N600" s="8" t="s">
        <v>1711</v>
      </c>
      <c r="O600" s="8" t="s">
        <v>404</v>
      </c>
      <c r="P600" s="8" t="s">
        <v>405</v>
      </c>
      <c r="Q600" s="12" t="str">
        <f>HYPERLINK("http://www.cincinnati.com/story/news/2015/06/19/trepierre-hummons-past/29018599/","http://www.cincinnati.com/story/news/2015/06/19/trepierre-hummons-past/29018599/")</f>
        <v>http://www.cincinnati.com/story/news/2015/06/19/trepierre-hummons-past/29018599/</v>
      </c>
      <c r="R600" s="8" t="s">
        <v>100</v>
      </c>
      <c r="S600" s="8" t="s">
        <v>28</v>
      </c>
      <c r="T600" s="6"/>
      <c r="U600" s="8"/>
    </row>
    <row r="601" spans="1:34" ht="13.5" customHeight="1">
      <c r="A601" s="8" t="s">
        <v>1725</v>
      </c>
      <c r="B601" s="16">
        <v>58</v>
      </c>
      <c r="C601" s="8" t="s">
        <v>20</v>
      </c>
      <c r="D601" s="8" t="s">
        <v>37</v>
      </c>
      <c r="F601" s="17">
        <v>42173</v>
      </c>
      <c r="G601" s="8" t="s">
        <v>1726</v>
      </c>
      <c r="H601" s="8" t="s">
        <v>1727</v>
      </c>
      <c r="I601" s="8" t="s">
        <v>427</v>
      </c>
      <c r="J601" s="16" t="s">
        <v>1728</v>
      </c>
      <c r="K601" s="2" t="s">
        <v>1729</v>
      </c>
      <c r="L601" s="8" t="s">
        <v>586</v>
      </c>
      <c r="M601" s="8" t="s">
        <v>27</v>
      </c>
      <c r="N601" s="8" t="s">
        <v>1730</v>
      </c>
      <c r="O601" s="8" t="s">
        <v>404</v>
      </c>
      <c r="P601" s="8" t="s">
        <v>405</v>
      </c>
      <c r="Q601" s="12"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601" s="8" t="s">
        <v>29</v>
      </c>
      <c r="S601" s="8" t="s">
        <v>28</v>
      </c>
      <c r="T601" s="6"/>
      <c r="U601" s="8"/>
    </row>
    <row r="602" spans="1:34" ht="13.5" customHeight="1">
      <c r="A602" s="8" t="s">
        <v>1731</v>
      </c>
      <c r="B602" s="16">
        <v>31</v>
      </c>
      <c r="C602" s="8" t="s">
        <v>20</v>
      </c>
      <c r="D602" s="8" t="s">
        <v>141</v>
      </c>
      <c r="F602" s="17">
        <v>42172</v>
      </c>
      <c r="G602" s="8" t="s">
        <v>29</v>
      </c>
      <c r="H602" s="8" t="s">
        <v>1732</v>
      </c>
      <c r="I602" s="8" t="s">
        <v>1733</v>
      </c>
      <c r="K602" s="2" t="s">
        <v>1734</v>
      </c>
      <c r="L602" s="8" t="s">
        <v>1735</v>
      </c>
      <c r="M602" s="8" t="s">
        <v>27</v>
      </c>
      <c r="N602" s="8" t="s">
        <v>1736</v>
      </c>
      <c r="O602" s="8" t="s">
        <v>404</v>
      </c>
      <c r="P602" s="8" t="s">
        <v>405</v>
      </c>
      <c r="Q602" s="12"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602" s="8" t="s">
        <v>100</v>
      </c>
      <c r="S602" s="8" t="s">
        <v>35</v>
      </c>
      <c r="T602" s="6"/>
      <c r="U602" s="8"/>
    </row>
    <row r="603" spans="1:34" ht="13.5" customHeight="1">
      <c r="A603" s="8" t="s">
        <v>1744</v>
      </c>
      <c r="B603" s="16">
        <v>48</v>
      </c>
      <c r="C603" s="8" t="s">
        <v>20</v>
      </c>
      <c r="D603" s="8" t="s">
        <v>37</v>
      </c>
      <c r="F603" s="17">
        <v>42172</v>
      </c>
      <c r="G603" s="8" t="s">
        <v>1745</v>
      </c>
      <c r="H603" s="8" t="s">
        <v>453</v>
      </c>
      <c r="I603" s="8" t="s">
        <v>198</v>
      </c>
      <c r="J603" s="16" t="s">
        <v>1746</v>
      </c>
      <c r="K603" s="2" t="s">
        <v>794</v>
      </c>
      <c r="L603" s="8" t="s">
        <v>454</v>
      </c>
      <c r="M603" s="8" t="s">
        <v>27</v>
      </c>
      <c r="N603" s="8" t="s">
        <v>1747</v>
      </c>
      <c r="O603" s="8" t="s">
        <v>404</v>
      </c>
      <c r="P603" s="8" t="s">
        <v>405</v>
      </c>
      <c r="Q603" s="12" t="str">
        <f>HYPERLINK("http://www.kob.com/article/stories/s3831288.shtml#.Vem0QNNVhBc","http://www.kob.com/article/stories/s3831288.shtml#.Vem0QNNVhBc")</f>
        <v>http://www.kob.com/article/stories/s3831288.shtml#.Vem0QNNVhBc</v>
      </c>
      <c r="R603" s="8" t="s">
        <v>29</v>
      </c>
      <c r="S603" s="8" t="s">
        <v>28</v>
      </c>
      <c r="T603" s="6"/>
      <c r="U603" s="8"/>
    </row>
    <row r="604" spans="1:34" ht="13.5" customHeight="1">
      <c r="A604" s="8" t="s">
        <v>1737</v>
      </c>
      <c r="B604" s="16">
        <v>40</v>
      </c>
      <c r="C604" s="8" t="s">
        <v>115</v>
      </c>
      <c r="D604" s="8" t="s">
        <v>37</v>
      </c>
      <c r="F604" s="17">
        <v>42172</v>
      </c>
      <c r="G604" s="8" t="s">
        <v>1738</v>
      </c>
      <c r="H604" s="8" t="s">
        <v>1739</v>
      </c>
      <c r="I604" s="8" t="s">
        <v>94</v>
      </c>
      <c r="J604" s="16" t="s">
        <v>1740</v>
      </c>
      <c r="K604" s="2" t="s">
        <v>1741</v>
      </c>
      <c r="L604" s="8" t="s">
        <v>1742</v>
      </c>
      <c r="M604" s="8" t="s">
        <v>27</v>
      </c>
      <c r="N604" s="8" t="s">
        <v>1743</v>
      </c>
      <c r="O604" s="8" t="s">
        <v>404</v>
      </c>
      <c r="P604" s="8" t="s">
        <v>405</v>
      </c>
      <c r="Q604" s="12"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604" s="8" t="s">
        <v>100</v>
      </c>
      <c r="S604" s="8" t="s">
        <v>28</v>
      </c>
      <c r="T604" s="6"/>
      <c r="U604" s="8"/>
      <c r="Y604" s="8"/>
      <c r="Z604" s="8"/>
      <c r="AA604" s="8"/>
      <c r="AB604" s="8"/>
      <c r="AC604" s="8"/>
      <c r="AD604" s="8"/>
      <c r="AE604" s="8"/>
      <c r="AF604" s="8"/>
      <c r="AG604" s="8"/>
      <c r="AH604" s="8"/>
    </row>
    <row r="605" spans="1:34" ht="13.5" customHeight="1">
      <c r="A605" s="8" t="s">
        <v>1755</v>
      </c>
      <c r="B605" s="16">
        <v>51</v>
      </c>
      <c r="C605" s="8" t="s">
        <v>115</v>
      </c>
      <c r="D605" s="8" t="s">
        <v>37</v>
      </c>
      <c r="F605" s="17">
        <v>42171</v>
      </c>
      <c r="G605" s="8" t="s">
        <v>1756</v>
      </c>
      <c r="H605" s="8" t="s">
        <v>1757</v>
      </c>
      <c r="I605" s="8" t="s">
        <v>81</v>
      </c>
      <c r="J605" s="16" t="s">
        <v>1758</v>
      </c>
      <c r="K605" s="2" t="s">
        <v>1759</v>
      </c>
      <c r="L605" s="8" t="s">
        <v>1760</v>
      </c>
      <c r="M605" s="8" t="s">
        <v>27</v>
      </c>
      <c r="N605" s="8" t="s">
        <v>1761</v>
      </c>
      <c r="O605" s="8" t="s">
        <v>404</v>
      </c>
      <c r="P605" s="8" t="s">
        <v>1171</v>
      </c>
      <c r="Q605" s="12" t="str">
        <f>HYPERLINK("http://newyork.cbslocal.com/2015/06/17/neptune-police-officer-shooting/","http://newyork.cbslocal.com/2015/06/17/neptune-police-officer-shooting/")</f>
        <v>http://newyork.cbslocal.com/2015/06/17/neptune-police-officer-shooting/</v>
      </c>
      <c r="R605" s="8" t="s">
        <v>100</v>
      </c>
      <c r="S605" s="8" t="s">
        <v>18</v>
      </c>
      <c r="T605" s="6"/>
      <c r="U605" s="8"/>
    </row>
    <row r="606" spans="1:34" ht="13.5" customHeight="1">
      <c r="A606" s="8" t="s">
        <v>1762</v>
      </c>
      <c r="B606" s="16">
        <v>28</v>
      </c>
      <c r="C606" s="8" t="s">
        <v>20</v>
      </c>
      <c r="D606" s="8" t="s">
        <v>37</v>
      </c>
      <c r="F606" s="17">
        <v>42171</v>
      </c>
      <c r="G606" s="8" t="s">
        <v>1763</v>
      </c>
      <c r="H606" s="8" t="s">
        <v>1764</v>
      </c>
      <c r="I606" s="8" t="s">
        <v>45</v>
      </c>
      <c r="J606" s="16" t="s">
        <v>1765</v>
      </c>
      <c r="K606" s="2" t="s">
        <v>1175</v>
      </c>
      <c r="L606" s="8" t="s">
        <v>1766</v>
      </c>
      <c r="M606" s="8" t="s">
        <v>27</v>
      </c>
      <c r="N606" s="8" t="s">
        <v>1767</v>
      </c>
      <c r="O606" s="8" t="s">
        <v>404</v>
      </c>
      <c r="P606" s="8" t="s">
        <v>405</v>
      </c>
      <c r="Q606" s="12"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606" s="8" t="s">
        <v>100</v>
      </c>
      <c r="S606" s="8" t="s">
        <v>28</v>
      </c>
      <c r="T606" s="6"/>
      <c r="U606" s="8"/>
    </row>
    <row r="607" spans="1:34" ht="13.5" customHeight="1">
      <c r="A607" s="8" t="s">
        <v>1748</v>
      </c>
      <c r="B607" s="16">
        <v>42</v>
      </c>
      <c r="C607" s="8" t="s">
        <v>20</v>
      </c>
      <c r="D607" s="8" t="s">
        <v>85</v>
      </c>
      <c r="F607" s="17">
        <v>42171</v>
      </c>
      <c r="G607" s="8" t="s">
        <v>1749</v>
      </c>
      <c r="H607" s="8" t="s">
        <v>1750</v>
      </c>
      <c r="I607" s="8" t="s">
        <v>62</v>
      </c>
      <c r="J607" s="16" t="s">
        <v>1751</v>
      </c>
      <c r="K607" s="2" t="s">
        <v>1752</v>
      </c>
      <c r="L607" s="8" t="s">
        <v>1753</v>
      </c>
      <c r="M607" s="8" t="s">
        <v>29</v>
      </c>
      <c r="N607" s="8" t="s">
        <v>1754</v>
      </c>
      <c r="O607" s="8" t="s">
        <v>404</v>
      </c>
      <c r="P607" s="8" t="s">
        <v>405</v>
      </c>
      <c r="Q607" s="12"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607" s="8" t="s">
        <v>972</v>
      </c>
      <c r="S607" s="8" t="s">
        <v>18</v>
      </c>
      <c r="T607" s="6"/>
      <c r="U607" s="8"/>
    </row>
    <row r="608" spans="1:34" ht="13.5" customHeight="1">
      <c r="A608" s="8" t="s">
        <v>1768</v>
      </c>
      <c r="B608" s="16">
        <v>22</v>
      </c>
      <c r="C608" s="8" t="s">
        <v>20</v>
      </c>
      <c r="D608" s="8" t="s">
        <v>85</v>
      </c>
      <c r="E608" s="8" t="str">
        <f>HYPERLINK("http://www.kcra.com/image/view/-/33606430/medRes/1/-/maxh/460/maxw/620/-/xldfqjz/-/Kris-Jackson-061615-jpg.jpg","http://www.kcra.com/image/view/-/33606430/medRes/1/-/maxh/460/maxw/620/-/xldfqjz/-/Kris-Jackson-061615-jpg.jpg")</f>
        <v>http://www.kcra.com/image/view/-/33606430/medRes/1/-/maxh/460/maxw/620/-/xldfqjz/-/Kris-Jackson-061615-jpg.jpg</v>
      </c>
      <c r="F608" s="17">
        <v>42170</v>
      </c>
      <c r="G608" s="8" t="s">
        <v>1769</v>
      </c>
      <c r="H608" s="8" t="s">
        <v>1770</v>
      </c>
      <c r="I608" s="8" t="s">
        <v>45</v>
      </c>
      <c r="J608" s="16" t="s">
        <v>1771</v>
      </c>
      <c r="K608" s="2" t="s">
        <v>1772</v>
      </c>
      <c r="L608" s="8" t="s">
        <v>1773</v>
      </c>
      <c r="M608" s="8" t="s">
        <v>27</v>
      </c>
      <c r="N608" s="8" t="s">
        <v>1774</v>
      </c>
      <c r="O608" s="8" t="s">
        <v>404</v>
      </c>
      <c r="P608" s="8" t="s">
        <v>405</v>
      </c>
      <c r="Q608" s="12" t="str">
        <f>HYPERLINK("http://www.kcra.com/news/local-news/news-sierra/officers-police-shoot-kill-man-at-tahoe-hacienda-inn/33590860","http://www.kcra.com/news/local-news/news-sierra/officers-police-shoot-kill-man-at-tahoe-hacienda-inn/33590860")</f>
        <v>http://www.kcra.com/news/local-news/news-sierra/officers-police-shoot-kill-man-at-tahoe-hacienda-inn/33590860</v>
      </c>
      <c r="R608" s="8" t="s">
        <v>100</v>
      </c>
      <c r="S608" s="8" t="s">
        <v>18</v>
      </c>
      <c r="T608" s="6"/>
      <c r="U608" s="8"/>
    </row>
    <row r="609" spans="1:34" ht="13.5" customHeight="1">
      <c r="A609" s="8" t="s">
        <v>1775</v>
      </c>
      <c r="B609" s="16">
        <v>28</v>
      </c>
      <c r="C609" s="8" t="s">
        <v>20</v>
      </c>
      <c r="D609" s="8" t="s">
        <v>48</v>
      </c>
      <c r="E609" s="8" t="str">
        <f>HYPERLINK("https://tribfox40.files.wordpress.com/2015/06/kenneth-garcia.jpg","https://tribfox40.files.wordpress.com/2015/06/kenneth-garcia.jpg")</f>
        <v>https://tribfox40.files.wordpress.com/2015/06/kenneth-garcia.jpg</v>
      </c>
      <c r="F609" s="17">
        <v>42169</v>
      </c>
      <c r="G609" s="8" t="s">
        <v>1776</v>
      </c>
      <c r="H609" s="8" t="s">
        <v>1777</v>
      </c>
      <c r="I609" s="8" t="s">
        <v>45</v>
      </c>
      <c r="J609" s="16" t="s">
        <v>1778</v>
      </c>
      <c r="K609" s="2" t="s">
        <v>1779</v>
      </c>
      <c r="L609" s="8" t="s">
        <v>1780</v>
      </c>
      <c r="M609" s="8" t="s">
        <v>27</v>
      </c>
      <c r="N609" s="8" t="s">
        <v>1781</v>
      </c>
      <c r="O609" s="8" t="s">
        <v>404</v>
      </c>
      <c r="P609" s="8" t="s">
        <v>405</v>
      </c>
      <c r="Q609" s="12"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609" s="8" t="s">
        <v>100</v>
      </c>
      <c r="S609" s="8" t="s">
        <v>383</v>
      </c>
      <c r="T609" s="6"/>
      <c r="U609" s="8"/>
    </row>
    <row r="610" spans="1:34" ht="13.5" customHeight="1">
      <c r="A610" s="8" t="s">
        <v>1782</v>
      </c>
      <c r="B610" s="16">
        <v>15</v>
      </c>
      <c r="C610" s="8" t="s">
        <v>20</v>
      </c>
      <c r="D610" s="8" t="s">
        <v>37</v>
      </c>
      <c r="E610" s="8" t="str">
        <f>HYPERLINK("http://media.cmgdigital.com/shared/img/photos/2015/06/15/08/8a/Zane_Terryn.jpg","http://media.cmgdigital.com/shared/img/photos/2015/06/15/08/8a/Zane_Terryn.jpg")</f>
        <v>http://media.cmgdigital.com/shared/img/photos/2015/06/15/08/8a/Zane_Terryn.jpg</v>
      </c>
      <c r="F610" s="17">
        <v>42169</v>
      </c>
      <c r="G610" s="8" t="s">
        <v>1783</v>
      </c>
      <c r="H610" s="8" t="s">
        <v>1784</v>
      </c>
      <c r="I610" s="8" t="s">
        <v>62</v>
      </c>
      <c r="J610" s="16" t="s">
        <v>1785</v>
      </c>
      <c r="K610" s="2" t="s">
        <v>1786</v>
      </c>
      <c r="L610" s="8" t="s">
        <v>1034</v>
      </c>
      <c r="M610" s="8" t="s">
        <v>27</v>
      </c>
      <c r="N610" s="8" t="s">
        <v>1787</v>
      </c>
      <c r="O610" s="8" t="s">
        <v>404</v>
      </c>
      <c r="P610" s="8" t="s">
        <v>405</v>
      </c>
      <c r="Q610" s="12" t="str">
        <f>HYPERLINK("http://www.wftv.com/news/news/local/trooper-teens-idd-brevard-county-shooting/nmdGr/","http://www.wftv.com/news/news/local/trooper-teens-idd-brevard-county-shooting/nmdGr/")</f>
        <v>http://www.wftv.com/news/news/local/trooper-teens-idd-brevard-county-shooting/nmdGr/</v>
      </c>
      <c r="R610" s="8" t="s">
        <v>559</v>
      </c>
      <c r="S610" s="8" t="s">
        <v>28</v>
      </c>
      <c r="T610" s="6"/>
      <c r="U610" s="8"/>
    </row>
    <row r="611" spans="1:34" ht="13.5" customHeight="1">
      <c r="A611" s="8" t="s">
        <v>1788</v>
      </c>
      <c r="B611" s="16">
        <v>47</v>
      </c>
      <c r="C611" s="8" t="s">
        <v>20</v>
      </c>
      <c r="D611" s="8" t="s">
        <v>85</v>
      </c>
      <c r="E611" s="8" t="str">
        <f>HYPERLINK("http://whns.images.worldnow.com/images/8077680_G.jpg","http://whns.images.worldnow.com/images/8077680_G.jpg")</f>
        <v>http://whns.images.worldnow.com/images/8077680_G.jpg</v>
      </c>
      <c r="F611" s="17">
        <v>42168</v>
      </c>
      <c r="G611" s="8" t="s">
        <v>1789</v>
      </c>
      <c r="H611" s="8" t="s">
        <v>33</v>
      </c>
      <c r="I611" s="8" t="s">
        <v>32</v>
      </c>
      <c r="J611" s="16" t="s">
        <v>1790</v>
      </c>
      <c r="K611" s="2" t="s">
        <v>33</v>
      </c>
      <c r="L611" s="8" t="s">
        <v>34</v>
      </c>
      <c r="M611" s="8" t="s">
        <v>383</v>
      </c>
      <c r="N611" s="8" t="s">
        <v>1791</v>
      </c>
      <c r="O611" s="8" t="s">
        <v>1018</v>
      </c>
      <c r="P611" s="8" t="s">
        <v>405</v>
      </c>
      <c r="Q611" s="12"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611" s="8" t="s">
        <v>100</v>
      </c>
      <c r="S611" s="8" t="s">
        <v>18</v>
      </c>
      <c r="T611" s="6"/>
      <c r="U611" s="8"/>
      <c r="Y611" s="8"/>
      <c r="Z611" s="8"/>
      <c r="AA611" s="8"/>
      <c r="AB611" s="8"/>
      <c r="AC611" s="8"/>
      <c r="AD611" s="8"/>
      <c r="AE611" s="8"/>
      <c r="AF611" s="8"/>
      <c r="AG611" s="8"/>
      <c r="AH611" s="8"/>
    </row>
    <row r="612" spans="1:34" ht="13.5" customHeight="1">
      <c r="A612" s="8" t="s">
        <v>1816</v>
      </c>
      <c r="B612" s="16">
        <v>46</v>
      </c>
      <c r="C612" s="8" t="s">
        <v>20</v>
      </c>
      <c r="D612" s="8" t="s">
        <v>37</v>
      </c>
      <c r="E612" s="8" t="str">
        <f>HYPERLINK("http://assets.mediaspanonline.com/prod/11889528/7206529_h400.jpg","http://assets.mediaspanonline.com/prod/11889528/7206529_h400.jpg")</f>
        <v>http://assets.mediaspanonline.com/prod/11889528/7206529_h400.jpg</v>
      </c>
      <c r="F612" s="17">
        <v>42168</v>
      </c>
      <c r="G612" s="8" t="s">
        <v>1817</v>
      </c>
      <c r="H612" s="8" t="s">
        <v>1818</v>
      </c>
      <c r="I612" s="8" t="s">
        <v>220</v>
      </c>
      <c r="J612" s="16" t="s">
        <v>1819</v>
      </c>
      <c r="K612" s="2" t="s">
        <v>1820</v>
      </c>
      <c r="L612" s="8" t="s">
        <v>1821</v>
      </c>
      <c r="M612" s="8" t="s">
        <v>27</v>
      </c>
      <c r="N612" s="8" t="s">
        <v>1822</v>
      </c>
      <c r="O612" s="8" t="s">
        <v>1018</v>
      </c>
      <c r="P612" s="8" t="s">
        <v>405</v>
      </c>
      <c r="Q612" s="12" t="str">
        <f>HYPERLINK("http://wane.com/2015/06/15/coroner-releases-identity-of-man-shot-by-officer/","http://wane.com/2015/06/15/coroner-releases-identity-of-man-shot-by-officer/")</f>
        <v>http://wane.com/2015/06/15/coroner-releases-identity-of-man-shot-by-officer/</v>
      </c>
      <c r="R612" s="8" t="s">
        <v>100</v>
      </c>
      <c r="S612" s="8" t="s">
        <v>28</v>
      </c>
      <c r="T612" s="6"/>
      <c r="U612" s="8"/>
    </row>
    <row r="613" spans="1:34" ht="13.5" customHeight="1">
      <c r="A613" s="8" t="s">
        <v>1797</v>
      </c>
      <c r="B613" s="16">
        <v>24</v>
      </c>
      <c r="C613" s="8" t="s">
        <v>115</v>
      </c>
      <c r="D613" s="8" t="s">
        <v>37</v>
      </c>
      <c r="E613" s="8"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613" s="17">
        <v>42168</v>
      </c>
      <c r="G613" s="8" t="s">
        <v>1798</v>
      </c>
      <c r="H613" s="8" t="s">
        <v>1799</v>
      </c>
      <c r="I613" s="8" t="s">
        <v>32</v>
      </c>
      <c r="J613" s="16" t="s">
        <v>1800</v>
      </c>
      <c r="K613" s="2" t="s">
        <v>1801</v>
      </c>
      <c r="L613" s="8" t="s">
        <v>1802</v>
      </c>
      <c r="M613" s="8" t="s">
        <v>27</v>
      </c>
      <c r="N613" s="8" t="s">
        <v>1803</v>
      </c>
      <c r="O613" s="8" t="s">
        <v>1804</v>
      </c>
      <c r="P613" s="8" t="s">
        <v>405</v>
      </c>
      <c r="Q613" s="12" t="str">
        <f>HYPERLINK("http://www.wrdw.com/home/headlines/Shooting-on-Coulter-Drive-in-North-Augusta-307293011.html","http://www.wrdw.com/home/headlines/Shooting-on-Coulter-Drive-in-North-Augusta-307293011.html")</f>
        <v>http://www.wrdw.com/home/headlines/Shooting-on-Coulter-Drive-in-North-Augusta-307293011.html</v>
      </c>
      <c r="R613" s="8" t="s">
        <v>100</v>
      </c>
      <c r="S613" s="8" t="s">
        <v>35</v>
      </c>
      <c r="T613" s="6"/>
      <c r="U613" s="8"/>
      <c r="Y613" s="8"/>
      <c r="Z613" s="8"/>
      <c r="AA613" s="8"/>
      <c r="AB613" s="8"/>
      <c r="AC613" s="8"/>
      <c r="AD613" s="8"/>
      <c r="AE613" s="8"/>
      <c r="AF613" s="8"/>
      <c r="AG613" s="8"/>
      <c r="AH613" s="8"/>
    </row>
    <row r="614" spans="1:34" ht="13.5" customHeight="1">
      <c r="A614" s="8" t="s">
        <v>1792</v>
      </c>
      <c r="B614" s="16">
        <v>35</v>
      </c>
      <c r="C614" s="8" t="s">
        <v>20</v>
      </c>
      <c r="D614" s="8" t="s">
        <v>85</v>
      </c>
      <c r="E614" s="8"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614" s="17">
        <v>42168</v>
      </c>
      <c r="G614" s="8" t="s">
        <v>1793</v>
      </c>
      <c r="H614" s="8" t="s">
        <v>898</v>
      </c>
      <c r="I614" s="8" t="s">
        <v>319</v>
      </c>
      <c r="J614" s="16" t="s">
        <v>1794</v>
      </c>
      <c r="K614" s="2" t="s">
        <v>1795</v>
      </c>
      <c r="L614" s="8" t="s">
        <v>899</v>
      </c>
      <c r="M614" s="8" t="s">
        <v>27</v>
      </c>
      <c r="N614" s="8" t="s">
        <v>1796</v>
      </c>
      <c r="O614" s="8" t="s">
        <v>1018</v>
      </c>
      <c r="P614" s="8" t="s">
        <v>405</v>
      </c>
      <c r="Q614" s="12"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614" s="8" t="s">
        <v>972</v>
      </c>
      <c r="S614" s="8" t="s">
        <v>28</v>
      </c>
      <c r="T614" s="6"/>
      <c r="U614" s="8"/>
    </row>
    <row r="615" spans="1:34" ht="13.5" customHeight="1">
      <c r="A615" s="8" t="s">
        <v>1811</v>
      </c>
      <c r="B615" s="16">
        <v>35</v>
      </c>
      <c r="C615" s="8" t="s">
        <v>20</v>
      </c>
      <c r="D615" s="8" t="s">
        <v>37</v>
      </c>
      <c r="E615" s="8"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615" s="17">
        <v>42168</v>
      </c>
      <c r="G615" s="8" t="s">
        <v>1812</v>
      </c>
      <c r="H615" s="8" t="s">
        <v>1813</v>
      </c>
      <c r="I615" s="8" t="s">
        <v>73</v>
      </c>
      <c r="J615" s="16" t="s">
        <v>1814</v>
      </c>
      <c r="K615" s="2" t="s">
        <v>288</v>
      </c>
      <c r="L615" s="8" t="s">
        <v>289</v>
      </c>
      <c r="M615" s="8" t="s">
        <v>27</v>
      </c>
      <c r="N615" s="8" t="s">
        <v>1815</v>
      </c>
      <c r="O615" s="8" t="s">
        <v>1018</v>
      </c>
      <c r="P615" s="8" t="s">
        <v>405</v>
      </c>
      <c r="Q615" s="12"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615" s="8" t="s">
        <v>100</v>
      </c>
      <c r="S615" s="8" t="s">
        <v>28</v>
      </c>
      <c r="T615" s="6"/>
      <c r="U615" s="8"/>
    </row>
    <row r="616" spans="1:34" ht="13.5" customHeight="1">
      <c r="A616" s="8" t="s">
        <v>1805</v>
      </c>
      <c r="B616" s="16">
        <v>51</v>
      </c>
      <c r="C616" s="8" t="s">
        <v>20</v>
      </c>
      <c r="D616" s="8" t="s">
        <v>37</v>
      </c>
      <c r="E616" s="8" t="str">
        <f>HYPERLINK("http://media.cmgdigital.com/shared/img/photos/2015/07/01/63/fb/jimmy_payne_alteredREV2.jpg","http://media.cmgdigital.com/shared/img/photos/2015/07/01/63/fb/jimmy_payne_alteredREV2.jpg")</f>
        <v>http://media.cmgdigital.com/shared/img/photos/2015/07/01/63/fb/jimmy_payne_alteredREV2.jpg</v>
      </c>
      <c r="F616" s="17">
        <v>42168</v>
      </c>
      <c r="G616" s="8" t="s">
        <v>1806</v>
      </c>
      <c r="H616" s="8" t="s">
        <v>1807</v>
      </c>
      <c r="I616" s="8" t="s">
        <v>69</v>
      </c>
      <c r="J616" s="16" t="s">
        <v>1808</v>
      </c>
      <c r="K616" s="2" t="s">
        <v>1065</v>
      </c>
      <c r="L616" s="8" t="s">
        <v>1809</v>
      </c>
      <c r="M616" s="8" t="s">
        <v>107</v>
      </c>
      <c r="N616" s="8" t="s">
        <v>1810</v>
      </c>
      <c r="O616" s="8" t="s">
        <v>404</v>
      </c>
      <c r="P616" s="8" t="s">
        <v>405</v>
      </c>
      <c r="Q616" s="12" t="str">
        <f>HYPERLINK("http://www.whio.com/news/news/officer-on-leave-during-crash-investigation/nmjmX/","http://www.whio.com/news/news/officer-on-leave-during-crash-investigation/nmjmX/")</f>
        <v>http://www.whio.com/news/news/officer-on-leave-during-crash-investigation/nmjmX/</v>
      </c>
      <c r="R616" s="8" t="s">
        <v>100</v>
      </c>
      <c r="S616" s="8" t="s">
        <v>18</v>
      </c>
      <c r="T616" s="6"/>
      <c r="U616" s="8"/>
    </row>
    <row r="617" spans="1:34" ht="13.5" customHeight="1">
      <c r="A617" s="8" t="s">
        <v>1829</v>
      </c>
      <c r="B617" s="16">
        <v>50</v>
      </c>
      <c r="C617" s="8" t="s">
        <v>20</v>
      </c>
      <c r="D617" s="8" t="s">
        <v>37</v>
      </c>
      <c r="E617" s="8" t="str">
        <f>HYPERLINK("http://wvns.images.worldnow.com/images/8063652_G.jpg","http://wvns.images.worldnow.com/images/8063652_G.jpg")</f>
        <v>http://wvns.images.worldnow.com/images/8063652_G.jpg</v>
      </c>
      <c r="F617" s="17">
        <v>42167</v>
      </c>
      <c r="G617" s="8" t="s">
        <v>1830</v>
      </c>
      <c r="H617" s="8" t="s">
        <v>1831</v>
      </c>
      <c r="I617" s="8" t="s">
        <v>152</v>
      </c>
      <c r="J617" s="16">
        <v>25059</v>
      </c>
      <c r="K617" s="2" t="s">
        <v>1532</v>
      </c>
      <c r="L617" s="8" t="s">
        <v>1832</v>
      </c>
      <c r="M617" s="8" t="s">
        <v>308</v>
      </c>
      <c r="P617" s="8" t="s">
        <v>405</v>
      </c>
      <c r="Q617" s="12" t="str">
        <f>HYPERLINK("http://www.wowktv.com/story/29310449/inmate-death-reported-at-mount-olive-prison-in-fayette-county","http://www.wowktv.com/story/29310449/inmate-death-reported-at-mount-olive-prison-in-fayette-county")</f>
        <v>http://www.wowktv.com/story/29310449/inmate-death-reported-at-mount-olive-prison-in-fayette-county</v>
      </c>
      <c r="S617" s="8" t="s">
        <v>18</v>
      </c>
      <c r="T617" s="6"/>
      <c r="U617" s="8"/>
    </row>
    <row r="618" spans="1:34" ht="13.5" customHeight="1">
      <c r="A618" s="8" t="s">
        <v>1823</v>
      </c>
      <c r="B618" s="16">
        <v>17</v>
      </c>
      <c r="C618" s="8" t="s">
        <v>115</v>
      </c>
      <c r="D618" s="8" t="s">
        <v>37</v>
      </c>
      <c r="E618" s="8"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618" s="17">
        <v>42167</v>
      </c>
      <c r="G618" s="8" t="s">
        <v>1824</v>
      </c>
      <c r="H618" s="8" t="s">
        <v>1825</v>
      </c>
      <c r="I618" s="8" t="s">
        <v>220</v>
      </c>
      <c r="J618" s="16" t="s">
        <v>1826</v>
      </c>
      <c r="K618" s="2" t="s">
        <v>53</v>
      </c>
      <c r="L618" s="8" t="s">
        <v>1827</v>
      </c>
      <c r="M618" s="8" t="s">
        <v>27</v>
      </c>
      <c r="N618" s="8" t="s">
        <v>1828</v>
      </c>
      <c r="O618" s="8" t="s">
        <v>554</v>
      </c>
      <c r="P618" s="8" t="s">
        <v>405</v>
      </c>
      <c r="Q618" s="12"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618" s="8" t="s">
        <v>100</v>
      </c>
      <c r="S618" s="8" t="s">
        <v>28</v>
      </c>
      <c r="T618" s="6"/>
      <c r="U618" s="8"/>
    </row>
    <row r="619" spans="1:34" ht="13.5" customHeight="1">
      <c r="A619" s="8" t="s">
        <v>1833</v>
      </c>
      <c r="B619" s="16">
        <v>40</v>
      </c>
      <c r="C619" s="8" t="s">
        <v>20</v>
      </c>
      <c r="D619" s="8" t="s">
        <v>85</v>
      </c>
      <c r="E619" s="8" t="str">
        <f>HYPERLINK("http://www.trbimg.com/img-557a9e9e/turbine/fl-pompano-beach-fatal-shoot-bso-20150611-003/550/550x309","http://www.trbimg.com/img-557a9e9e/turbine/fl-pompano-beach-fatal-shoot-bso-20150611-003/550/550x309")</f>
        <v>http://www.trbimg.com/img-557a9e9e/turbine/fl-pompano-beach-fatal-shoot-bso-20150611-003/550/550x309</v>
      </c>
      <c r="F619" s="17">
        <v>42166</v>
      </c>
      <c r="G619" s="8" t="s">
        <v>1834</v>
      </c>
      <c r="H619" s="8" t="s">
        <v>1835</v>
      </c>
      <c r="I619" s="8" t="s">
        <v>62</v>
      </c>
      <c r="J619" s="16" t="s">
        <v>1836</v>
      </c>
      <c r="K619" s="2" t="s">
        <v>1134</v>
      </c>
      <c r="L619" s="8" t="s">
        <v>4438</v>
      </c>
      <c r="M619" s="8" t="s">
        <v>27</v>
      </c>
      <c r="N619" s="8" t="s">
        <v>1837</v>
      </c>
      <c r="O619" s="8" t="s">
        <v>1018</v>
      </c>
      <c r="P619" s="8" t="s">
        <v>405</v>
      </c>
      <c r="Q619" s="12" t="str">
        <f>HYPERLINK("http://www.local10.com/news/bso-investigates-deputyinvolved-shooting-in-pompano-beach/33522974","http://www.local10.com/news/bso-investigates-deputyinvolved-shooting-in-pompano-beach/33522974")</f>
        <v>http://www.local10.com/news/bso-investigates-deputyinvolved-shooting-in-pompano-beach/33522974</v>
      </c>
      <c r="R619" s="8" t="s">
        <v>100</v>
      </c>
      <c r="S619" s="8" t="s">
        <v>28</v>
      </c>
      <c r="T619" s="6"/>
      <c r="U619" s="8"/>
    </row>
    <row r="620" spans="1:34" ht="13.5" customHeight="1">
      <c r="A620" s="8" t="s">
        <v>1838</v>
      </c>
      <c r="B620" s="16">
        <v>46</v>
      </c>
      <c r="C620" s="8" t="s">
        <v>20</v>
      </c>
      <c r="D620" s="8" t="s">
        <v>85</v>
      </c>
      <c r="E620" s="8" t="str">
        <f>HYPERLINK("http://i.dailymail.co.uk/i/pix/2015/06/12/08/298F3F8200000578-3120464-image-m-3_1434095771297.jpg","http://i.dailymail.co.uk/i/pix/2015/06/12/08/298F3F8200000578-3120464-image-m-3_1434095771297.jpg")</f>
        <v>http://i.dailymail.co.uk/i/pix/2015/06/12/08/298F3F8200000578-3120464-image-m-3_1434095771297.jpg</v>
      </c>
      <c r="F620" s="17">
        <v>42166</v>
      </c>
      <c r="G620" s="8" t="s">
        <v>1839</v>
      </c>
      <c r="H620" s="8" t="s">
        <v>216</v>
      </c>
      <c r="I620" s="8" t="s">
        <v>62</v>
      </c>
      <c r="J620" s="16" t="s">
        <v>1840</v>
      </c>
      <c r="K620" s="2" t="s">
        <v>163</v>
      </c>
      <c r="L620" s="8" t="s">
        <v>460</v>
      </c>
      <c r="M620" s="8" t="s">
        <v>27</v>
      </c>
      <c r="N620" s="8" t="s">
        <v>1841</v>
      </c>
      <c r="O620" s="8" t="s">
        <v>1018</v>
      </c>
      <c r="P620" s="8" t="s">
        <v>405</v>
      </c>
      <c r="Q620" s="12" t="str">
        <f>HYPERLINK("http://miami.cbslocal.com/2015/06/11/witnesses-police-officer-shoots-homeless-man-five-times-in-miami/","http://miami.cbslocal.com/2015/06/11/witnesses-police-officer-shoots-homeless-man-five-times-in-miami/")</f>
        <v>http://miami.cbslocal.com/2015/06/11/witnesses-police-officer-shoots-homeless-man-five-times-in-miami/</v>
      </c>
      <c r="R620" s="8" t="s">
        <v>29</v>
      </c>
      <c r="S620" s="8" t="s">
        <v>28</v>
      </c>
      <c r="T620" s="6"/>
      <c r="U620" s="8"/>
    </row>
    <row r="621" spans="1:34" ht="13.5" customHeight="1">
      <c r="A621" s="8" t="s">
        <v>1842</v>
      </c>
      <c r="B621" s="16">
        <v>28</v>
      </c>
      <c r="C621" s="8" t="s">
        <v>20</v>
      </c>
      <c r="D621" s="8" t="s">
        <v>48</v>
      </c>
      <c r="E621" s="8" t="str">
        <f>HYPERLINK("http://victimsofpolice.com/2015/images/Mark-Flores-Jr.jpg","http://victimsofpolice.com/2015/images/Mark-Flores-Jr.jpg")</f>
        <v>http://victimsofpolice.com/2015/images/Mark-Flores-Jr.jpg</v>
      </c>
      <c r="F621" s="17">
        <v>42166</v>
      </c>
      <c r="G621" s="8" t="s">
        <v>1843</v>
      </c>
      <c r="H621" s="8" t="s">
        <v>579</v>
      </c>
      <c r="I621" s="8" t="s">
        <v>73</v>
      </c>
      <c r="J621" s="16" t="s">
        <v>1844</v>
      </c>
      <c r="K621" s="2" t="s">
        <v>580</v>
      </c>
      <c r="L621" s="8" t="s">
        <v>589</v>
      </c>
      <c r="M621" s="8" t="s">
        <v>27</v>
      </c>
      <c r="N621" s="8" t="s">
        <v>1845</v>
      </c>
      <c r="O621" s="8" t="s">
        <v>404</v>
      </c>
      <c r="P621" s="8" t="s">
        <v>405</v>
      </c>
      <c r="Q621" s="12" t="str">
        <f>HYPERLINK("http://www.ksat.com/news/father-says-mental-issues-triggered-gun-fight-with-son","http://www.ksat.com/news/father-says-mental-issues-triggered-gun-fight-with-son")</f>
        <v>http://www.ksat.com/news/father-says-mental-issues-triggered-gun-fight-with-son</v>
      </c>
      <c r="R621" s="8" t="s">
        <v>559</v>
      </c>
      <c r="S621" s="8" t="s">
        <v>28</v>
      </c>
      <c r="T621" s="6"/>
      <c r="U621" s="8"/>
    </row>
    <row r="622" spans="1:34" ht="13.5" customHeight="1">
      <c r="A622" s="8" t="s">
        <v>1846</v>
      </c>
      <c r="B622" s="16">
        <v>22</v>
      </c>
      <c r="C622" s="8" t="s">
        <v>20</v>
      </c>
      <c r="D622" s="8" t="s">
        <v>48</v>
      </c>
      <c r="E622" s="8"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622" s="17">
        <v>42166</v>
      </c>
      <c r="G622" s="8" t="s">
        <v>1847</v>
      </c>
      <c r="H622" s="8" t="s">
        <v>1848</v>
      </c>
      <c r="I622" s="8" t="s">
        <v>81</v>
      </c>
      <c r="J622" s="16" t="s">
        <v>1849</v>
      </c>
      <c r="K622" s="2" t="s">
        <v>1850</v>
      </c>
      <c r="L622" s="8" t="s">
        <v>1851</v>
      </c>
      <c r="M622" s="8" t="s">
        <v>27</v>
      </c>
      <c r="N622" s="8" t="s">
        <v>1852</v>
      </c>
      <c r="O622" s="8" t="s">
        <v>1018</v>
      </c>
      <c r="P622" s="8" t="s">
        <v>405</v>
      </c>
      <c r="Q622" s="12"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622" s="8" t="s">
        <v>559</v>
      </c>
      <c r="S622" s="8" t="s">
        <v>28</v>
      </c>
      <c r="T622" s="6"/>
      <c r="U622" s="8"/>
    </row>
    <row r="623" spans="1:34" ht="13.5" customHeight="1">
      <c r="A623" s="8" t="s">
        <v>1853</v>
      </c>
      <c r="B623" s="16">
        <v>86</v>
      </c>
      <c r="C623" s="8" t="s">
        <v>20</v>
      </c>
      <c r="D623" s="8" t="s">
        <v>30</v>
      </c>
      <c r="F623" s="17">
        <v>42166</v>
      </c>
      <c r="G623" s="8" t="s">
        <v>1854</v>
      </c>
      <c r="H623" s="8" t="s">
        <v>51</v>
      </c>
      <c r="I623" s="8" t="s">
        <v>323</v>
      </c>
      <c r="J623" s="16" t="s">
        <v>1855</v>
      </c>
      <c r="K623" s="2" t="s">
        <v>1856</v>
      </c>
      <c r="L623" s="8" t="s">
        <v>1857</v>
      </c>
      <c r="M623" s="8" t="s">
        <v>27</v>
      </c>
      <c r="N623" s="8" t="s">
        <v>1858</v>
      </c>
      <c r="O623" s="8" t="s">
        <v>404</v>
      </c>
      <c r="P623" s="8" t="s">
        <v>405</v>
      </c>
      <c r="Q623" s="12" t="str">
        <f>HYPERLINK("http://www.wsmv.com/story/29298752/officer-involved-fatal-shooting-reported-in-columbia","http://www.wsmv.com/story/29298752/officer-involved-fatal-shooting-reported-in-columbia")</f>
        <v>http://www.wsmv.com/story/29298752/officer-involved-fatal-shooting-reported-in-columbia</v>
      </c>
      <c r="R623" s="8" t="s">
        <v>29</v>
      </c>
      <c r="S623" s="8" t="s">
        <v>28</v>
      </c>
      <c r="T623" s="6"/>
      <c r="U623" s="8"/>
    </row>
    <row r="624" spans="1:34" ht="13.5" customHeight="1">
      <c r="A624" s="8" t="s">
        <v>1859</v>
      </c>
      <c r="B624" s="16">
        <v>19</v>
      </c>
      <c r="C624" s="8" t="s">
        <v>20</v>
      </c>
      <c r="D624" s="8" t="s">
        <v>85</v>
      </c>
      <c r="E624" s="8"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624" s="17">
        <v>42165</v>
      </c>
      <c r="G624" s="8" t="s">
        <v>1860</v>
      </c>
      <c r="H624" s="8" t="s">
        <v>1861</v>
      </c>
      <c r="I624" s="8" t="s">
        <v>427</v>
      </c>
      <c r="J624" s="16" t="s">
        <v>1862</v>
      </c>
      <c r="K624" s="2" t="s">
        <v>762</v>
      </c>
      <c r="L624" s="8" t="s">
        <v>586</v>
      </c>
      <c r="M624" s="8" t="s">
        <v>27</v>
      </c>
      <c r="N624" s="8" t="s">
        <v>1863</v>
      </c>
      <c r="O624" s="8" t="s">
        <v>404</v>
      </c>
      <c r="P624" s="8" t="s">
        <v>405</v>
      </c>
      <c r="Q624" s="12"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624" s="8" t="s">
        <v>100</v>
      </c>
      <c r="S624" s="7" t="s">
        <v>28</v>
      </c>
      <c r="T624" s="6"/>
      <c r="U624" s="8"/>
    </row>
    <row r="625" spans="1:39" ht="13.5" customHeight="1">
      <c r="A625" s="8" t="s">
        <v>1872</v>
      </c>
      <c r="B625" s="16">
        <v>45</v>
      </c>
      <c r="C625" s="8" t="s">
        <v>20</v>
      </c>
      <c r="D625" s="8" t="s">
        <v>37</v>
      </c>
      <c r="E625" s="8" t="s">
        <v>20911</v>
      </c>
      <c r="F625" s="17">
        <v>42164</v>
      </c>
      <c r="G625" s="8" t="s">
        <v>1873</v>
      </c>
      <c r="H625" s="8" t="s">
        <v>1874</v>
      </c>
      <c r="I625" s="8" t="s">
        <v>73</v>
      </c>
      <c r="J625" s="16" t="s">
        <v>1875</v>
      </c>
      <c r="K625" s="2" t="s">
        <v>562</v>
      </c>
      <c r="L625" s="8" t="s">
        <v>1876</v>
      </c>
      <c r="M625" s="8" t="s">
        <v>27</v>
      </c>
      <c r="N625" s="8" t="s">
        <v>1877</v>
      </c>
      <c r="O625" s="8" t="s">
        <v>1018</v>
      </c>
      <c r="P625" s="8" t="s">
        <v>405</v>
      </c>
      <c r="Q625" s="12"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625" s="8" t="s">
        <v>100</v>
      </c>
      <c r="S625" s="7" t="s">
        <v>28</v>
      </c>
      <c r="T625" s="6"/>
      <c r="U625" s="8"/>
    </row>
    <row r="626" spans="1:39" ht="13.5" customHeight="1">
      <c r="A626" s="8" t="str">
        <f>HYPERLINK("http://www.killedbypolice.net/victims/150501.jpg","Jeremy John Linhart")</f>
        <v>Jeremy John Linhart</v>
      </c>
      <c r="B626" s="16">
        <v>30</v>
      </c>
      <c r="C626" s="8" t="s">
        <v>20</v>
      </c>
      <c r="D626" s="8" t="s">
        <v>37</v>
      </c>
      <c r="F626" s="17">
        <v>42164</v>
      </c>
      <c r="G626" s="8" t="s">
        <v>1884</v>
      </c>
      <c r="H626" s="8" t="s">
        <v>1885</v>
      </c>
      <c r="I626" s="8" t="s">
        <v>69</v>
      </c>
      <c r="J626" s="16" t="s">
        <v>1886</v>
      </c>
      <c r="K626" s="2" t="s">
        <v>1887</v>
      </c>
      <c r="L626" s="8" t="s">
        <v>1888</v>
      </c>
      <c r="M626" s="8" t="s">
        <v>27</v>
      </c>
      <c r="N626" s="8" t="s">
        <v>1889</v>
      </c>
      <c r="O626" s="8" t="s">
        <v>404</v>
      </c>
      <c r="P626" s="8" t="s">
        <v>405</v>
      </c>
      <c r="Q626" s="12" t="str">
        <f>HYPERLINK("https://www.toledoblade.com/Police-Fire/2015/06/09/Findlay-officer-involved-in-shooting.html","https://www.toledoblade.com/Police-Fire/2015/06/09/Findlay-officer-involved-in-shooting.html")</f>
        <v>https://www.toledoblade.com/Police-Fire/2015/06/09/Findlay-officer-involved-in-shooting.html</v>
      </c>
      <c r="R626" s="8" t="s">
        <v>100</v>
      </c>
      <c r="S626" s="7" t="s">
        <v>18</v>
      </c>
      <c r="T626" s="6"/>
      <c r="U626" s="8"/>
    </row>
    <row r="627" spans="1:39" ht="13.5" customHeight="1">
      <c r="A627" s="8" t="str">
        <f>HYPERLINK("http://www.killedbypolice.net/victims/150504.jpg","QuanDavier Hicks")</f>
        <v>QuanDavier Hicks</v>
      </c>
      <c r="B627" s="16">
        <v>22</v>
      </c>
      <c r="C627" s="8" t="s">
        <v>20</v>
      </c>
      <c r="D627" s="8" t="s">
        <v>85</v>
      </c>
      <c r="E627" s="8"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627" s="17">
        <v>42164</v>
      </c>
      <c r="G627" s="8" t="s">
        <v>1864</v>
      </c>
      <c r="H627" s="8" t="s">
        <v>551</v>
      </c>
      <c r="I627" s="8" t="s">
        <v>69</v>
      </c>
      <c r="J627" s="16" t="s">
        <v>1865</v>
      </c>
      <c r="K627" s="2" t="s">
        <v>552</v>
      </c>
      <c r="L627" s="8" t="s">
        <v>553</v>
      </c>
      <c r="M627" s="8" t="s">
        <v>27</v>
      </c>
      <c r="N627" s="8" t="s">
        <v>1866</v>
      </c>
      <c r="O627" s="8" t="s">
        <v>1018</v>
      </c>
      <c r="P627" s="8" t="s">
        <v>405</v>
      </c>
      <c r="Q627" s="12" t="str">
        <f>HYPERLINK("http://www.cincinnati.com/story/news/crime/2015/06/09/officer-involved-shooting-northside/28778129/","http://www.cincinnati.com/story/news/crime/2015/06/09/officer-involved-shooting-northside/28778129/")</f>
        <v>http://www.cincinnati.com/story/news/crime/2015/06/09/officer-involved-shooting-northside/28778129/</v>
      </c>
      <c r="R627" s="8" t="s">
        <v>29</v>
      </c>
      <c r="S627" s="7" t="s">
        <v>28</v>
      </c>
      <c r="T627" s="6"/>
      <c r="U627" s="8"/>
    </row>
    <row r="628" spans="1:39" ht="13.5" customHeight="1">
      <c r="A628" s="8" t="s">
        <v>1867</v>
      </c>
      <c r="B628" s="16">
        <v>25</v>
      </c>
      <c r="C628" s="8" t="s">
        <v>20</v>
      </c>
      <c r="D628" s="8" t="s">
        <v>85</v>
      </c>
      <c r="F628" s="17">
        <v>42164</v>
      </c>
      <c r="G628" s="8" t="s">
        <v>1868</v>
      </c>
      <c r="H628" s="8" t="s">
        <v>288</v>
      </c>
      <c r="I628" s="8" t="s">
        <v>73</v>
      </c>
      <c r="J628" s="16" t="s">
        <v>1869</v>
      </c>
      <c r="K628" s="2" t="s">
        <v>288</v>
      </c>
      <c r="L628" s="8" t="s">
        <v>289</v>
      </c>
      <c r="M628" s="8" t="s">
        <v>395</v>
      </c>
      <c r="N628" s="8" t="s">
        <v>1870</v>
      </c>
      <c r="O628" s="8" t="s">
        <v>1871</v>
      </c>
      <c r="P628" s="8" t="s">
        <v>405</v>
      </c>
      <c r="Q628" s="12" t="str">
        <f>HYPERLINK("http://www.dallasnews.com/news/metro/20150609-man-who-died-after-police-used-stun-gun-identified.ece","http://www.dallasnews.com/news/metro/20150609-man-who-died-after-police-used-stun-gun-identified.ece")</f>
        <v>http://www.dallasnews.com/news/metro/20150609-man-who-died-after-police-used-stun-gun-identified.ece</v>
      </c>
      <c r="R628" s="8" t="s">
        <v>100</v>
      </c>
      <c r="S628" s="7" t="s">
        <v>18</v>
      </c>
      <c r="T628" s="6"/>
      <c r="U628" s="8"/>
    </row>
    <row r="629" spans="1:39" ht="13.5" customHeight="1">
      <c r="A629" s="8" t="str">
        <f>HYPERLINK("http://www.killedbypolice.net/victims/150505.jpg","Ryan Keith Bolinger")</f>
        <v>Ryan Keith Bolinger</v>
      </c>
      <c r="B629" s="16">
        <v>28</v>
      </c>
      <c r="C629" s="8" t="s">
        <v>20</v>
      </c>
      <c r="D629" s="8" t="s">
        <v>37</v>
      </c>
      <c r="F629" s="17">
        <v>42164</v>
      </c>
      <c r="G629" s="8" t="s">
        <v>1878</v>
      </c>
      <c r="H629" s="8" t="s">
        <v>1879</v>
      </c>
      <c r="I629" s="8" t="s">
        <v>374</v>
      </c>
      <c r="J629" s="16" t="s">
        <v>1880</v>
      </c>
      <c r="K629" s="2" t="s">
        <v>1881</v>
      </c>
      <c r="L629" s="8" t="s">
        <v>1882</v>
      </c>
      <c r="M629" s="8" t="s">
        <v>27</v>
      </c>
      <c r="N629" s="8" t="s">
        <v>1883</v>
      </c>
      <c r="O629" s="8" t="s">
        <v>404</v>
      </c>
      <c r="P629" s="8" t="s">
        <v>405</v>
      </c>
      <c r="Q629" s="12"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629" s="8" t="s">
        <v>100</v>
      </c>
      <c r="S629" s="7" t="s">
        <v>18</v>
      </c>
      <c r="T629" s="6"/>
      <c r="U629" s="8"/>
    </row>
    <row r="630" spans="1:39" ht="13.5" customHeight="1">
      <c r="A630" s="8" t="s">
        <v>1900</v>
      </c>
      <c r="B630" s="16">
        <v>54</v>
      </c>
      <c r="C630" s="8" t="s">
        <v>20</v>
      </c>
      <c r="D630" s="8" t="s">
        <v>30</v>
      </c>
      <c r="F630" s="17">
        <v>42163</v>
      </c>
      <c r="G630" s="8" t="s">
        <v>1901</v>
      </c>
      <c r="H630" s="8" t="s">
        <v>1902</v>
      </c>
      <c r="I630" s="8" t="s">
        <v>220</v>
      </c>
      <c r="J630" s="16" t="s">
        <v>1903</v>
      </c>
      <c r="K630" s="2" t="s">
        <v>424</v>
      </c>
      <c r="L630" s="8" t="s">
        <v>1904</v>
      </c>
      <c r="M630" s="8" t="s">
        <v>27</v>
      </c>
      <c r="N630" s="8" t="s">
        <v>1905</v>
      </c>
      <c r="O630" s="8" t="s">
        <v>404</v>
      </c>
      <c r="P630" s="8" t="s">
        <v>405</v>
      </c>
      <c r="Q630" s="12" t="str">
        <f>HYPERLINK("http://www.indystar.com/story/news/crime/2015/06/08/police-shooting-suspect-dead-beech-grove/28700455/","http://www.indystar.com/story/news/crime/2015/06/08/police-shooting-suspect-dead-beech-grove/28700455/")</f>
        <v>http://www.indystar.com/story/news/crime/2015/06/08/police-shooting-suspect-dead-beech-grove/28700455/</v>
      </c>
      <c r="R630" s="8" t="s">
        <v>559</v>
      </c>
      <c r="S630" s="7" t="s">
        <v>28</v>
      </c>
      <c r="T630" s="6"/>
      <c r="U630" s="8"/>
    </row>
    <row r="631" spans="1:39" ht="13.5" customHeight="1">
      <c r="A631" s="8" t="str">
        <f>HYPERLINK("http://www.killedbypolice.net/victims/150499.jpg","Mario Ocasio")</f>
        <v>Mario Ocasio</v>
      </c>
      <c r="B631" s="16">
        <v>51</v>
      </c>
      <c r="C631" s="8" t="s">
        <v>20</v>
      </c>
      <c r="D631" s="8" t="s">
        <v>37</v>
      </c>
      <c r="F631" s="17">
        <v>42163</v>
      </c>
      <c r="G631" s="8" t="s">
        <v>1912</v>
      </c>
      <c r="H631" s="8" t="s">
        <v>762</v>
      </c>
      <c r="I631" s="8" t="s">
        <v>427</v>
      </c>
      <c r="J631" s="16" t="s">
        <v>1913</v>
      </c>
      <c r="K631" s="2" t="s">
        <v>1861</v>
      </c>
      <c r="L631" s="8" t="s">
        <v>586</v>
      </c>
      <c r="M631" s="8" t="s">
        <v>395</v>
      </c>
      <c r="N631" s="8" t="s">
        <v>1914</v>
      </c>
      <c r="O631" s="8" t="s">
        <v>404</v>
      </c>
      <c r="P631" s="8" t="s">
        <v>405</v>
      </c>
      <c r="Q631" s="12" t="str">
        <f>HYPERLINK("http://www.nydailynews.com/new-york/bronx/bronx-man-shocked-taser-cops-dies-sources-article-1.2250703","http://www.nydailynews.com/new-york/bronx/bronx-man-shocked-taser-cops-dies-sources-article-1.2250703")</f>
        <v>http://www.nydailynews.com/new-york/bronx/bronx-man-shocked-taser-cops-dies-sources-article-1.2250703</v>
      </c>
      <c r="R631" s="8" t="s">
        <v>972</v>
      </c>
      <c r="S631" s="7" t="s">
        <v>28</v>
      </c>
      <c r="T631" s="6"/>
      <c r="U631" s="8"/>
    </row>
    <row r="632" spans="1:39" ht="13.5" customHeight="1">
      <c r="A632" s="8" t="str">
        <f>HYPERLINK("http://www.killedbypolice.net/victims/150496.jpg","Matthew Wayne McDaniel")</f>
        <v>Matthew Wayne McDaniel</v>
      </c>
      <c r="B632" s="16">
        <v>35</v>
      </c>
      <c r="C632" s="8" t="s">
        <v>20</v>
      </c>
      <c r="D632" s="8" t="s">
        <v>21</v>
      </c>
      <c r="F632" s="17">
        <v>42163</v>
      </c>
      <c r="G632" s="8" t="s">
        <v>1890</v>
      </c>
      <c r="H632" s="8" t="s">
        <v>1891</v>
      </c>
      <c r="I632" s="8" t="s">
        <v>62</v>
      </c>
      <c r="J632" s="16" t="s">
        <v>1892</v>
      </c>
      <c r="K632" s="2" t="s">
        <v>1786</v>
      </c>
      <c r="L632" s="8" t="s">
        <v>1893</v>
      </c>
      <c r="M632" s="8" t="s">
        <v>27</v>
      </c>
      <c r="N632" s="8" t="s">
        <v>1894</v>
      </c>
      <c r="O632" s="8" t="s">
        <v>1018</v>
      </c>
      <c r="P632" s="8" t="s">
        <v>405</v>
      </c>
      <c r="Q632" s="12" t="str">
        <f>HYPERLINK("http://www.wftv.com/news/news/local/police-person-interest-killed-melbourne-officer-in/nmX7b/","http://www.wftv.com/news/news/local/police-person-interest-killed-melbourne-officer-in/nmX7b/")</f>
        <v>http://www.wftv.com/news/news/local/police-person-interest-killed-melbourne-officer-in/nmX7b/</v>
      </c>
      <c r="R632" s="8" t="s">
        <v>29</v>
      </c>
      <c r="S632" s="7" t="s">
        <v>28</v>
      </c>
      <c r="T632" s="6"/>
      <c r="U632" s="8"/>
      <c r="AI632" s="8"/>
      <c r="AJ632" s="8"/>
      <c r="AK632" s="8"/>
      <c r="AL632" s="8"/>
      <c r="AM632" s="8"/>
    </row>
    <row r="633" spans="1:39" ht="13.5" customHeight="1">
      <c r="A633" s="8" t="str">
        <f>HYPERLINK("http://www.killedbypolice.net/victims/150498.jpg","Rene Garcia")</f>
        <v>Rene Garcia</v>
      </c>
      <c r="B633" s="16">
        <v>30</v>
      </c>
      <c r="C633" s="8" t="s">
        <v>20</v>
      </c>
      <c r="D633" s="8" t="s">
        <v>48</v>
      </c>
      <c r="F633" s="17">
        <v>42163</v>
      </c>
      <c r="G633" s="8" t="s">
        <v>1895</v>
      </c>
      <c r="H633" s="8" t="s">
        <v>1896</v>
      </c>
      <c r="I633" s="8" t="s">
        <v>45</v>
      </c>
      <c r="J633" s="16" t="s">
        <v>1897</v>
      </c>
      <c r="K633" s="2" t="s">
        <v>1070</v>
      </c>
      <c r="L633" s="8" t="s">
        <v>1898</v>
      </c>
      <c r="M633" s="8" t="s">
        <v>27</v>
      </c>
      <c r="N633" s="8" t="s">
        <v>1899</v>
      </c>
      <c r="O633" s="8" t="s">
        <v>404</v>
      </c>
      <c r="P633" s="8" t="s">
        <v>405</v>
      </c>
      <c r="Q633" s="12" t="str">
        <f>HYPERLINK("http://www.ocregister.com/articles/shooting-665164-personnel-dispatchers.html","http://www.ocregister.com/articles/shooting-665164-personnel-dispatchers.html")</f>
        <v>http://www.ocregister.com/articles/shooting-665164-personnel-dispatchers.html</v>
      </c>
      <c r="R633" s="8" t="s">
        <v>559</v>
      </c>
      <c r="S633" s="7" t="s">
        <v>28</v>
      </c>
      <c r="T633" s="6"/>
      <c r="U633" s="8"/>
      <c r="Y633" s="8"/>
      <c r="Z633" s="8"/>
      <c r="AA633" s="8"/>
      <c r="AB633" s="8"/>
      <c r="AC633" s="8"/>
      <c r="AD633" s="8"/>
      <c r="AE633" s="8"/>
      <c r="AF633" s="8"/>
      <c r="AG633" s="8"/>
      <c r="AH633" s="8"/>
    </row>
    <row r="634" spans="1:39" ht="13.5" customHeight="1">
      <c r="A634" s="8" t="s">
        <v>1906</v>
      </c>
      <c r="B634" s="16">
        <v>69</v>
      </c>
      <c r="C634" s="8" t="s">
        <v>20</v>
      </c>
      <c r="D634" s="8" t="s">
        <v>30</v>
      </c>
      <c r="F634" s="17">
        <v>42163</v>
      </c>
      <c r="G634" s="8" t="s">
        <v>1907</v>
      </c>
      <c r="H634" s="8" t="s">
        <v>1908</v>
      </c>
      <c r="I634" s="8" t="s">
        <v>124</v>
      </c>
      <c r="J634" s="16" t="s">
        <v>1909</v>
      </c>
      <c r="K634" s="2" t="s">
        <v>639</v>
      </c>
      <c r="L634" s="8" t="s">
        <v>1910</v>
      </c>
      <c r="M634" s="8" t="s">
        <v>27</v>
      </c>
      <c r="N634" s="8" t="s">
        <v>1911</v>
      </c>
      <c r="O634" s="8" t="s">
        <v>1018</v>
      </c>
      <c r="P634" s="8" t="s">
        <v>405</v>
      </c>
      <c r="Q634" s="12" t="str">
        <f>HYPERLINK("http://www.azfamily.com/story/29270558/deputy-involved-shooting-in-sun-city","http://www.azfamily.com/story/29270558/deputy-involved-shooting-in-sun-city")</f>
        <v>http://www.azfamily.com/story/29270558/deputy-involved-shooting-in-sun-city</v>
      </c>
      <c r="R634" s="8" t="s">
        <v>559</v>
      </c>
      <c r="S634" s="7" t="s">
        <v>28</v>
      </c>
      <c r="T634" s="6"/>
      <c r="U634" s="8"/>
    </row>
    <row r="635" spans="1:39" ht="13.5" customHeight="1">
      <c r="A635" s="8" t="s">
        <v>1922</v>
      </c>
      <c r="B635" s="16">
        <v>58</v>
      </c>
      <c r="C635" s="8" t="s">
        <v>20</v>
      </c>
      <c r="D635" s="8" t="s">
        <v>30</v>
      </c>
      <c r="F635" s="17">
        <v>42162</v>
      </c>
      <c r="G635" s="8" t="s">
        <v>1923</v>
      </c>
      <c r="H635" s="8" t="s">
        <v>1924</v>
      </c>
      <c r="I635" s="8" t="s">
        <v>306</v>
      </c>
      <c r="J635" s="16">
        <v>98674</v>
      </c>
      <c r="K635" s="2" t="s">
        <v>1925</v>
      </c>
      <c r="L635" s="8" t="s">
        <v>1926</v>
      </c>
      <c r="M635" s="8" t="s">
        <v>27</v>
      </c>
      <c r="N635" s="8" t="s">
        <v>1927</v>
      </c>
      <c r="O635" s="8" t="s">
        <v>404</v>
      </c>
      <c r="P635" s="8" t="s">
        <v>405</v>
      </c>
      <c r="Q635" s="12"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635" s="8" t="s">
        <v>559</v>
      </c>
      <c r="S635" s="7" t="s">
        <v>28</v>
      </c>
      <c r="T635" s="6"/>
      <c r="U635" s="8"/>
      <c r="V635" s="8"/>
      <c r="W635" s="8"/>
      <c r="X635" s="8"/>
    </row>
    <row r="636" spans="1:39" ht="13.5" customHeight="1">
      <c r="A636" s="8" t="s">
        <v>1915</v>
      </c>
      <c r="B636" s="16">
        <v>53</v>
      </c>
      <c r="C636" s="8" t="s">
        <v>20</v>
      </c>
      <c r="D636" s="8" t="s">
        <v>37</v>
      </c>
      <c r="E636" s="8" t="s">
        <v>20914</v>
      </c>
      <c r="F636" s="17">
        <v>42162</v>
      </c>
      <c r="G636" s="8" t="s">
        <v>1916</v>
      </c>
      <c r="H636" s="8" t="s">
        <v>1917</v>
      </c>
      <c r="I636" s="8" t="s">
        <v>62</v>
      </c>
      <c r="J636" s="16" t="s">
        <v>1918</v>
      </c>
      <c r="K636" s="2" t="s">
        <v>1919</v>
      </c>
      <c r="L636" s="8" t="s">
        <v>1920</v>
      </c>
      <c r="M636" s="8" t="s">
        <v>27</v>
      </c>
      <c r="N636" s="8" t="s">
        <v>1921</v>
      </c>
      <c r="O636" s="8" t="s">
        <v>404</v>
      </c>
      <c r="P636" s="8" t="s">
        <v>405</v>
      </c>
      <c r="Q636" s="12" t="str">
        <f>HYPERLINK("http://www.wfla.com/story/29258795/suspect-dead-after-deputy-involved-shooting-in-sarasota","http://www.wfla.com/story/29258795/suspect-dead-after-deputy-involved-shooting-in-sarasota")</f>
        <v>http://www.wfla.com/story/29258795/suspect-dead-after-deputy-involved-shooting-in-sarasota</v>
      </c>
      <c r="R636" s="8" t="s">
        <v>972</v>
      </c>
      <c r="S636" s="7" t="s">
        <v>28</v>
      </c>
      <c r="T636" s="6"/>
      <c r="U636" s="8"/>
    </row>
    <row r="637" spans="1:39" ht="13.5" customHeight="1">
      <c r="A637" s="8" t="str">
        <f>HYPERLINK("http://www.killedbypolice.net/victims/150491.jpg","Alejandro Campos Fernandez")</f>
        <v>Alejandro Campos Fernandez</v>
      </c>
      <c r="B637" s="16">
        <v>45</v>
      </c>
      <c r="C637" s="8" t="s">
        <v>20</v>
      </c>
      <c r="D637" s="8" t="s">
        <v>48</v>
      </c>
      <c r="F637" s="17">
        <v>42161</v>
      </c>
      <c r="G637" s="8" t="s">
        <v>1944</v>
      </c>
      <c r="H637" s="8" t="s">
        <v>1945</v>
      </c>
      <c r="I637" s="8" t="s">
        <v>45</v>
      </c>
      <c r="J637" s="16" t="s">
        <v>1946</v>
      </c>
      <c r="K637" s="2" t="s">
        <v>1373</v>
      </c>
      <c r="L637" s="8" t="s">
        <v>1947</v>
      </c>
      <c r="M637" s="8" t="s">
        <v>27</v>
      </c>
      <c r="N637" s="8" t="s">
        <v>1948</v>
      </c>
      <c r="O637" s="8" t="s">
        <v>1018</v>
      </c>
      <c r="P637" s="8" t="s">
        <v>405</v>
      </c>
      <c r="Q637" s="12"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637" s="8" t="s">
        <v>100</v>
      </c>
      <c r="S637" s="7" t="s">
        <v>28</v>
      </c>
      <c r="T637" s="6"/>
      <c r="U637" s="8"/>
    </row>
    <row r="638" spans="1:39" ht="13.5" customHeight="1">
      <c r="A638" s="8" t="s">
        <v>1949</v>
      </c>
      <c r="B638" s="16">
        <v>45</v>
      </c>
      <c r="C638" s="8" t="s">
        <v>115</v>
      </c>
      <c r="D638" s="8" t="s">
        <v>30</v>
      </c>
      <c r="F638" s="17">
        <v>42161</v>
      </c>
      <c r="G638" s="8" t="s">
        <v>1950</v>
      </c>
      <c r="H638" s="8" t="s">
        <v>1951</v>
      </c>
      <c r="I638" s="8" t="s">
        <v>152</v>
      </c>
      <c r="J638" s="16" t="s">
        <v>1952</v>
      </c>
      <c r="K638" s="2" t="s">
        <v>1953</v>
      </c>
      <c r="L638" s="8" t="s">
        <v>1954</v>
      </c>
      <c r="M638" s="8" t="s">
        <v>27</v>
      </c>
      <c r="N638" s="8" t="s">
        <v>1955</v>
      </c>
      <c r="O638" s="8" t="s">
        <v>1018</v>
      </c>
      <c r="P638" s="8" t="s">
        <v>405</v>
      </c>
      <c r="Q638" s="12" t="str">
        <f>HYPERLINK("http://www.mrt.com/news/crime/article_eccc8aa0-0ccd-11e5-92a5-e30a35ff1af1.html","http://www.mrt.com/news/crime/article_eccc8aa0-0ccd-11e5-92a5-e30a35ff1af1.html")</f>
        <v>http://www.mrt.com/news/crime/article_eccc8aa0-0ccd-11e5-92a5-e30a35ff1af1.html</v>
      </c>
      <c r="R638" s="8" t="s">
        <v>100</v>
      </c>
      <c r="S638" s="7" t="s">
        <v>35</v>
      </c>
      <c r="T638" s="6"/>
      <c r="U638" s="8"/>
    </row>
    <row r="639" spans="1:39" ht="13.5" customHeight="1">
      <c r="A639" s="8" t="str">
        <f>HYPERLINK("http://www.killedbypolice.net/victims/150489.jpg","Damien James Ramirez")</f>
        <v>Damien James Ramirez</v>
      </c>
      <c r="B639" s="16">
        <v>27</v>
      </c>
      <c r="C639" s="8" t="s">
        <v>20</v>
      </c>
      <c r="D639" s="8" t="s">
        <v>48</v>
      </c>
      <c r="F639" s="17">
        <v>42161</v>
      </c>
      <c r="G639" s="8" t="s">
        <v>1938</v>
      </c>
      <c r="H639" s="8" t="s">
        <v>1939</v>
      </c>
      <c r="I639" s="8" t="s">
        <v>212</v>
      </c>
      <c r="J639" s="16" t="s">
        <v>1940</v>
      </c>
      <c r="K639" s="2" t="s">
        <v>1941</v>
      </c>
      <c r="L639" s="8" t="s">
        <v>1942</v>
      </c>
      <c r="M639" s="8" t="s">
        <v>27</v>
      </c>
      <c r="N639" s="8" t="s">
        <v>1943</v>
      </c>
      <c r="O639" s="8" t="s">
        <v>1018</v>
      </c>
      <c r="P639" s="8" t="s">
        <v>405</v>
      </c>
      <c r="Q639" s="12" t="str">
        <f>HYPERLINK("http://www.denverpost.com/news/ci_28264788/man-was-fatally-shot-following-high-speed-chase","http://www.denverpost.com/news/ci_28264788/man-was-fatally-shot-following-high-speed-chase")</f>
        <v>http://www.denverpost.com/news/ci_28264788/man-was-fatally-shot-following-high-speed-chase</v>
      </c>
      <c r="R639" s="8" t="s">
        <v>100</v>
      </c>
      <c r="S639" s="7" t="s">
        <v>28</v>
      </c>
      <c r="T639" s="6"/>
      <c r="U639" s="8"/>
      <c r="Y639" s="8"/>
      <c r="Z639" s="8"/>
      <c r="AA639" s="8"/>
      <c r="AB639" s="8"/>
      <c r="AC639" s="8"/>
      <c r="AD639" s="8"/>
      <c r="AE639" s="8"/>
      <c r="AF639" s="8"/>
      <c r="AG639" s="8"/>
      <c r="AH639" s="8"/>
    </row>
    <row r="640" spans="1:39" ht="13.5" customHeight="1">
      <c r="A640" s="8" t="str">
        <f>HYPERLINK("http://www.killedbypolice.net/victims/150490.jpg","Demouria Hogg")</f>
        <v>Demouria Hogg</v>
      </c>
      <c r="B640" s="16">
        <v>30</v>
      </c>
      <c r="C640" s="8" t="s">
        <v>20</v>
      </c>
      <c r="D640" s="8" t="s">
        <v>85</v>
      </c>
      <c r="F640" s="17">
        <v>42161</v>
      </c>
      <c r="G640" s="8" t="s">
        <v>1928</v>
      </c>
      <c r="H640" s="8" t="s">
        <v>607</v>
      </c>
      <c r="I640" s="8" t="s">
        <v>45</v>
      </c>
      <c r="J640" s="16" t="s">
        <v>1929</v>
      </c>
      <c r="K640" s="2" t="s">
        <v>608</v>
      </c>
      <c r="L640" s="8" t="s">
        <v>609</v>
      </c>
      <c r="M640" s="8" t="s">
        <v>27</v>
      </c>
      <c r="N640" s="8" t="s">
        <v>1930</v>
      </c>
      <c r="O640" s="8" t="s">
        <v>1018</v>
      </c>
      <c r="P640" s="8" t="s">
        <v>405</v>
      </c>
      <c r="Q640" s="12" t="str">
        <f>HYPERLINK("http://www.sfgate.com/crime/article/Oakland-police-shoot-suspect-near-Lake-Merritt-6311221.php","http://www.sfgate.com/crime/article/Oakland-police-shoot-suspect-near-Lake-Merritt-6311221.php")</f>
        <v>http://www.sfgate.com/crime/article/Oakland-police-shoot-suspect-near-Lake-Merritt-6311221.php</v>
      </c>
      <c r="R640" s="8" t="s">
        <v>100</v>
      </c>
      <c r="S640" s="7" t="s">
        <v>28</v>
      </c>
      <c r="T640" s="6"/>
      <c r="U640" s="8"/>
    </row>
    <row r="641" spans="1:39" ht="13.5" customHeight="1">
      <c r="A641" s="8" t="s">
        <v>1956</v>
      </c>
      <c r="B641" s="16">
        <v>42</v>
      </c>
      <c r="C641" s="8" t="s">
        <v>20</v>
      </c>
      <c r="D641" s="8" t="s">
        <v>37</v>
      </c>
      <c r="F641" s="17">
        <v>42161</v>
      </c>
      <c r="G641" s="8" t="s">
        <v>1957</v>
      </c>
      <c r="H641" s="8" t="s">
        <v>1958</v>
      </c>
      <c r="I641" s="8" t="s">
        <v>73</v>
      </c>
      <c r="J641" s="16" t="s">
        <v>1959</v>
      </c>
      <c r="K641" s="2" t="s">
        <v>1958</v>
      </c>
      <c r="L641" s="8" t="s">
        <v>1960</v>
      </c>
      <c r="M641" s="8" t="s">
        <v>27</v>
      </c>
      <c r="N641" s="8" t="s">
        <v>1961</v>
      </c>
      <c r="O641" s="8" t="s">
        <v>554</v>
      </c>
      <c r="P641" s="8" t="s">
        <v>405</v>
      </c>
      <c r="Q641" s="12" t="str">
        <f>HYPERLINK("http://www.wboy.com/story/29256189/monongalia-county-deputies-shoot-suspect-after-vehicle-pursuit","http://www.wboy.com/story/29256189/monongalia-county-deputies-shoot-suspect-after-vehicle-pursuit")</f>
        <v>http://www.wboy.com/story/29256189/monongalia-county-deputies-shoot-suspect-after-vehicle-pursuit</v>
      </c>
      <c r="R641" s="8" t="s">
        <v>29</v>
      </c>
      <c r="S641" s="7" t="s">
        <v>28</v>
      </c>
      <c r="T641" s="6"/>
      <c r="U641" s="8"/>
    </row>
    <row r="642" spans="1:39" ht="13.5" customHeight="1">
      <c r="A642" s="8" t="s">
        <v>1931</v>
      </c>
      <c r="B642" s="16">
        <v>19</v>
      </c>
      <c r="C642" s="8" t="s">
        <v>20</v>
      </c>
      <c r="D642" s="8" t="s">
        <v>85</v>
      </c>
      <c r="F642" s="17">
        <v>42161</v>
      </c>
      <c r="G642" s="8" t="s">
        <v>1932</v>
      </c>
      <c r="H642" s="8" t="s">
        <v>1933</v>
      </c>
      <c r="I642" s="8" t="s">
        <v>175</v>
      </c>
      <c r="J642" s="16" t="s">
        <v>1934</v>
      </c>
      <c r="K642" s="2" t="s">
        <v>1572</v>
      </c>
      <c r="L642" s="8" t="s">
        <v>1935</v>
      </c>
      <c r="M642" s="8" t="s">
        <v>383</v>
      </c>
      <c r="N642" s="8" t="s">
        <v>1936</v>
      </c>
      <c r="O642" s="8" t="s">
        <v>1018</v>
      </c>
      <c r="P642" s="8" t="s">
        <v>405</v>
      </c>
      <c r="Q642" s="12" t="s">
        <v>1937</v>
      </c>
      <c r="R642" s="8" t="s">
        <v>100</v>
      </c>
      <c r="S642" s="8" t="s">
        <v>383</v>
      </c>
      <c r="T642" s="6"/>
      <c r="U642" s="8"/>
    </row>
    <row r="643" spans="1:39" ht="13.5" customHeight="1">
      <c r="A643" s="8" t="s">
        <v>1962</v>
      </c>
      <c r="B643" s="16">
        <v>33</v>
      </c>
      <c r="C643" s="8" t="s">
        <v>20</v>
      </c>
      <c r="D643" s="8" t="s">
        <v>85</v>
      </c>
      <c r="F643" s="17">
        <v>42160</v>
      </c>
      <c r="G643" s="8" t="s">
        <v>1963</v>
      </c>
      <c r="H643" s="8" t="s">
        <v>1110</v>
      </c>
      <c r="I643" s="8" t="s">
        <v>408</v>
      </c>
      <c r="J643" s="16" t="s">
        <v>1964</v>
      </c>
      <c r="K643" s="2" t="s">
        <v>1110</v>
      </c>
      <c r="L643" s="8" t="s">
        <v>1111</v>
      </c>
      <c r="M643" s="8" t="s">
        <v>27</v>
      </c>
      <c r="N643" s="8" t="s">
        <v>1965</v>
      </c>
      <c r="O643" s="8" t="s">
        <v>1018</v>
      </c>
      <c r="P643" s="8" t="s">
        <v>405</v>
      </c>
      <c r="Q643" s="12" t="str">
        <f>HYPERLINK("http://www.nbcphiladelphia.com/news/breaking/Rising-Sun-Pizza-Robbery-Shooting-306241121.html","http://www.nbcphiladelphia.com/news/breaking/Rising-Sun-Pizza-Robbery-Shooting-306241121.html")</f>
        <v>http://www.nbcphiladelphia.com/news/breaking/Rising-Sun-Pizza-Robbery-Shooting-306241121.html</v>
      </c>
      <c r="R643" s="8" t="s">
        <v>100</v>
      </c>
      <c r="S643" s="7" t="s">
        <v>18</v>
      </c>
      <c r="T643" s="6"/>
      <c r="U643" s="8"/>
    </row>
    <row r="644" spans="1:39" ht="13.5" customHeight="1">
      <c r="A644" s="8" t="str">
        <f>HYPERLINK("http://www.killedbypolice.net/victims/150488.jpg","Donald J. Pinkerton-DeVito III")</f>
        <v>Donald J. Pinkerton-DeVito III</v>
      </c>
      <c r="B644" s="16">
        <v>23</v>
      </c>
      <c r="C644" s="8" t="s">
        <v>20</v>
      </c>
      <c r="D644" s="8" t="s">
        <v>37</v>
      </c>
      <c r="F644" s="17">
        <v>42160</v>
      </c>
      <c r="G644" s="8" t="s">
        <v>1973</v>
      </c>
      <c r="H644" s="8" t="s">
        <v>953</v>
      </c>
      <c r="I644" s="8" t="s">
        <v>45</v>
      </c>
      <c r="J644" s="16" t="s">
        <v>1974</v>
      </c>
      <c r="K644" s="2" t="s">
        <v>953</v>
      </c>
      <c r="L644" s="8" t="s">
        <v>954</v>
      </c>
      <c r="M644" s="8" t="s">
        <v>383</v>
      </c>
      <c r="N644" s="8" t="s">
        <v>1975</v>
      </c>
      <c r="O644" s="8" t="s">
        <v>1018</v>
      </c>
      <c r="P644" s="8" t="s">
        <v>405</v>
      </c>
      <c r="Q644" s="12"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644" s="8" t="s">
        <v>100</v>
      </c>
      <c r="S644" s="7" t="s">
        <v>18</v>
      </c>
      <c r="T644" s="6"/>
      <c r="U644" s="8"/>
    </row>
    <row r="645" spans="1:39" ht="13.5" customHeight="1">
      <c r="A645" s="8" t="s">
        <v>1966</v>
      </c>
      <c r="B645" s="16">
        <v>50</v>
      </c>
      <c r="C645" s="8" t="s">
        <v>20</v>
      </c>
      <c r="D645" s="8" t="s">
        <v>48</v>
      </c>
      <c r="F645" s="17">
        <v>42160</v>
      </c>
      <c r="G645" s="8" t="s">
        <v>1967</v>
      </c>
      <c r="H645" s="8" t="s">
        <v>1968</v>
      </c>
      <c r="I645" s="8" t="s">
        <v>45</v>
      </c>
      <c r="J645" s="16" t="s">
        <v>1969</v>
      </c>
      <c r="K645" s="2" t="s">
        <v>1970</v>
      </c>
      <c r="L645" s="8" t="s">
        <v>1971</v>
      </c>
      <c r="M645" s="8" t="s">
        <v>27</v>
      </c>
      <c r="N645" s="8" t="s">
        <v>1972</v>
      </c>
      <c r="O645" s="8" t="s">
        <v>404</v>
      </c>
      <c r="P645" s="8" t="s">
        <v>405</v>
      </c>
      <c r="Q645" s="12"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645" s="8" t="s">
        <v>100</v>
      </c>
      <c r="S645" s="7" t="s">
        <v>28</v>
      </c>
      <c r="T645" s="6"/>
      <c r="U645" s="8"/>
    </row>
    <row r="646" spans="1:39" ht="13.5" customHeight="1">
      <c r="A646" s="8" t="s">
        <v>1980</v>
      </c>
      <c r="B646" s="16">
        <v>46</v>
      </c>
      <c r="C646" s="8" t="s">
        <v>20</v>
      </c>
      <c r="D646" s="8" t="s">
        <v>48</v>
      </c>
      <c r="F646" s="17">
        <v>42159</v>
      </c>
      <c r="G646" s="8" t="s">
        <v>1981</v>
      </c>
      <c r="H646" s="8" t="s">
        <v>1982</v>
      </c>
      <c r="I646" s="8" t="s">
        <v>45</v>
      </c>
      <c r="J646" s="16" t="s">
        <v>1983</v>
      </c>
      <c r="K646" s="2" t="s">
        <v>687</v>
      </c>
      <c r="L646" s="8" t="s">
        <v>1984</v>
      </c>
      <c r="M646" s="8" t="s">
        <v>27</v>
      </c>
      <c r="N646" s="8" t="s">
        <v>1985</v>
      </c>
      <c r="O646" s="8" t="s">
        <v>404</v>
      </c>
      <c r="P646" s="8" t="s">
        <v>405</v>
      </c>
      <c r="Q646" s="12" t="str">
        <f>HYPERLINK("http://www.turnto23.com/news/local-news/delano-pd-shoot-kill-man-after-he-fires-at-police","http://www.turnto23.com/news/local-news/delano-pd-shoot-kill-man-after-he-fires-at-police")</f>
        <v>http://www.turnto23.com/news/local-news/delano-pd-shoot-kill-man-after-he-fires-at-police</v>
      </c>
      <c r="R646" s="8" t="s">
        <v>100</v>
      </c>
      <c r="S646" s="7" t="s">
        <v>28</v>
      </c>
      <c r="T646" s="6"/>
      <c r="U646" s="8"/>
    </row>
    <row r="647" spans="1:39" ht="13.5" customHeight="1">
      <c r="A647" s="8" t="str">
        <f>HYPERLINK("http://www.killedbypolice.net/victims/150485.jpg","Rudy Baca")</f>
        <v>Rudy Baca</v>
      </c>
      <c r="B647" s="16">
        <v>36</v>
      </c>
      <c r="C647" s="8" t="s">
        <v>20</v>
      </c>
      <c r="D647" s="8" t="s">
        <v>48</v>
      </c>
      <c r="F647" s="17">
        <v>42159</v>
      </c>
      <c r="G647" s="8" t="s">
        <v>1986</v>
      </c>
      <c r="H647" s="8" t="s">
        <v>1987</v>
      </c>
      <c r="I647" s="8" t="s">
        <v>198</v>
      </c>
      <c r="J647" s="16" t="s">
        <v>1988</v>
      </c>
      <c r="K647" s="2" t="s">
        <v>1989</v>
      </c>
      <c r="L647" s="8" t="s">
        <v>1990</v>
      </c>
      <c r="M647" s="8" t="s">
        <v>27</v>
      </c>
      <c r="N647" s="8" t="s">
        <v>1991</v>
      </c>
      <c r="O647" s="8" t="s">
        <v>404</v>
      </c>
      <c r="P647" s="8" t="s">
        <v>405</v>
      </c>
      <c r="Q647" s="12" t="str">
        <f>HYPERLINK("http://www.koat.com/news/valencia-county-deputy-involved-in-shooting/33383626","http://www.koat.com/news/valencia-county-deputy-involved-in-shooting/33383626")</f>
        <v>http://www.koat.com/news/valencia-county-deputy-involved-in-shooting/33383626</v>
      </c>
      <c r="R647" s="8" t="s">
        <v>100</v>
      </c>
      <c r="S647" s="7" t="s">
        <v>35</v>
      </c>
      <c r="T647" s="6"/>
      <c r="U647" s="8"/>
    </row>
    <row r="648" spans="1:39" ht="13.5" customHeight="1">
      <c r="A648" s="8" t="str">
        <f>HYPERLINK("http://www.killedbypolice.net/victims/150483.jpg","Sherman Byrd")</f>
        <v>Sherman Byrd</v>
      </c>
      <c r="B648" s="16">
        <v>24</v>
      </c>
      <c r="C648" s="8" t="s">
        <v>20</v>
      </c>
      <c r="D648" s="8" t="s">
        <v>85</v>
      </c>
      <c r="F648" s="17">
        <v>42159</v>
      </c>
      <c r="G648" s="8" t="s">
        <v>1976</v>
      </c>
      <c r="H648" s="8" t="s">
        <v>407</v>
      </c>
      <c r="I648" s="8" t="s">
        <v>408</v>
      </c>
      <c r="J648" s="16" t="s">
        <v>1977</v>
      </c>
      <c r="K648" s="2" t="s">
        <v>407</v>
      </c>
      <c r="L648" s="8" t="s">
        <v>1978</v>
      </c>
      <c r="M648" s="8" t="s">
        <v>383</v>
      </c>
      <c r="N648" s="8" t="s">
        <v>1979</v>
      </c>
      <c r="O648" s="8" t="s">
        <v>404</v>
      </c>
      <c r="P648" s="8" t="s">
        <v>405</v>
      </c>
      <c r="Q648" s="12" t="str">
        <f>HYPERLINK("http://philadelphia.cbslocal.com/2015/06/04/police-cruiser-hits-kills-man-fleeing-officers-in-chester/","http://philadelphia.cbslocal.com/2015/06/04/police-cruiser-hits-kills-man-fleeing-officers-in-chester/")</f>
        <v>http://philadelphia.cbslocal.com/2015/06/04/police-cruiser-hits-kills-man-fleeing-officers-in-chester/</v>
      </c>
      <c r="R648" s="8" t="s">
        <v>29</v>
      </c>
      <c r="S648" s="7" t="s">
        <v>28</v>
      </c>
      <c r="T648" s="6"/>
      <c r="U648" s="8"/>
    </row>
    <row r="649" spans="1:39" ht="13.5" customHeight="1">
      <c r="A649" s="8" t="s">
        <v>1999</v>
      </c>
      <c r="B649" s="16">
        <v>33</v>
      </c>
      <c r="C649" s="8" t="s">
        <v>20</v>
      </c>
      <c r="D649" s="8" t="s">
        <v>48</v>
      </c>
      <c r="F649" s="17">
        <v>42158</v>
      </c>
      <c r="G649" s="8" t="s">
        <v>2000</v>
      </c>
      <c r="H649" s="8" t="s">
        <v>731</v>
      </c>
      <c r="I649" s="8" t="s">
        <v>73</v>
      </c>
      <c r="J649" s="16" t="s">
        <v>2001</v>
      </c>
      <c r="K649" s="2" t="s">
        <v>562</v>
      </c>
      <c r="L649" s="8" t="s">
        <v>732</v>
      </c>
      <c r="M649" s="8" t="s">
        <v>27</v>
      </c>
      <c r="N649" s="8" t="s">
        <v>2002</v>
      </c>
      <c r="O649" s="8" t="s">
        <v>1018</v>
      </c>
      <c r="P649" s="8" t="s">
        <v>405</v>
      </c>
      <c r="Q649" s="12" t="str">
        <f>HYPERLINK("http://www.khou.com/story/news/crime/2015/06/03/chase-ends--shooting-southeast-houston/28402107/","http://www.khou.com/story/news/crime/2015/06/03/chase-ends--shooting-southeast-houston/28402107/")</f>
        <v>http://www.khou.com/story/news/crime/2015/06/03/chase-ends--shooting-southeast-houston/28402107/</v>
      </c>
      <c r="R649" s="8" t="s">
        <v>29</v>
      </c>
      <c r="S649" s="7" t="s">
        <v>28</v>
      </c>
      <c r="T649" s="6"/>
      <c r="U649" s="8"/>
    </row>
    <row r="650" spans="1:39" ht="13.5" customHeight="1">
      <c r="A650" s="8" t="s">
        <v>1992</v>
      </c>
      <c r="B650" s="16">
        <v>18</v>
      </c>
      <c r="C650" s="8" t="s">
        <v>20</v>
      </c>
      <c r="D650" s="8" t="s">
        <v>48</v>
      </c>
      <c r="F650" s="17">
        <v>42158</v>
      </c>
      <c r="G650" s="8" t="s">
        <v>1993</v>
      </c>
      <c r="H650" s="8" t="s">
        <v>1994</v>
      </c>
      <c r="I650" s="8" t="s">
        <v>73</v>
      </c>
      <c r="J650" s="16" t="s">
        <v>1995</v>
      </c>
      <c r="K650" s="2" t="s">
        <v>1996</v>
      </c>
      <c r="L650" s="8" t="s">
        <v>1997</v>
      </c>
      <c r="M650" s="8" t="s">
        <v>27</v>
      </c>
      <c r="N650" s="8" t="s">
        <v>1998</v>
      </c>
      <c r="O650" s="8" t="s">
        <v>1018</v>
      </c>
      <c r="P650" s="8" t="s">
        <v>405</v>
      </c>
      <c r="Q650" s="12"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650" s="8" t="s">
        <v>559</v>
      </c>
      <c r="S650" s="7" t="s">
        <v>28</v>
      </c>
      <c r="T650" s="6"/>
      <c r="U650" s="8"/>
    </row>
    <row r="651" spans="1:39" ht="13.5" customHeight="1">
      <c r="A651" s="8" t="s">
        <v>2003</v>
      </c>
      <c r="B651" s="16">
        <v>56</v>
      </c>
      <c r="C651" s="8" t="s">
        <v>20</v>
      </c>
      <c r="D651" s="8" t="s">
        <v>37</v>
      </c>
      <c r="E651" s="8" t="s">
        <v>20913</v>
      </c>
      <c r="F651" s="17">
        <v>42158</v>
      </c>
      <c r="G651" s="8" t="s">
        <v>2004</v>
      </c>
      <c r="H651" s="8" t="s">
        <v>2005</v>
      </c>
      <c r="I651" s="8" t="s">
        <v>81</v>
      </c>
      <c r="J651" s="16" t="s">
        <v>2006</v>
      </c>
      <c r="K651" s="2" t="s">
        <v>2007</v>
      </c>
      <c r="L651" s="8" t="s">
        <v>2008</v>
      </c>
      <c r="M651" s="8" t="s">
        <v>27</v>
      </c>
      <c r="N651" s="8" t="s">
        <v>2009</v>
      </c>
      <c r="O651" s="8" t="s">
        <v>404</v>
      </c>
      <c r="P651" s="8" t="s">
        <v>405</v>
      </c>
      <c r="Q651" s="12"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651" s="8" t="s">
        <v>29</v>
      </c>
      <c r="S651" s="7" t="s">
        <v>28</v>
      </c>
      <c r="T651" s="6"/>
      <c r="U651" s="8"/>
    </row>
    <row r="652" spans="1:39" ht="13.5" customHeight="1">
      <c r="A652" s="8" t="s">
        <v>20868</v>
      </c>
      <c r="B652" s="16">
        <v>51</v>
      </c>
      <c r="C652" s="8" t="s">
        <v>20</v>
      </c>
      <c r="D652" s="8" t="s">
        <v>85</v>
      </c>
      <c r="E652" s="8" t="s">
        <v>20869</v>
      </c>
      <c r="F652" s="17">
        <v>42157</v>
      </c>
      <c r="G652" s="8" t="s">
        <v>20870</v>
      </c>
      <c r="H652" s="8" t="s">
        <v>20871</v>
      </c>
      <c r="I652" s="8" t="s">
        <v>94</v>
      </c>
      <c r="J652" s="3" t="s">
        <v>20872</v>
      </c>
      <c r="K652" s="3" t="s">
        <v>5486</v>
      </c>
      <c r="L652" s="3" t="s">
        <v>20873</v>
      </c>
      <c r="M652" s="3" t="s">
        <v>383</v>
      </c>
      <c r="N652" s="3" t="s">
        <v>20875</v>
      </c>
      <c r="O652" s="3" t="s">
        <v>404</v>
      </c>
      <c r="P652" s="8" t="s">
        <v>405</v>
      </c>
      <c r="Q652" s="20" t="s">
        <v>20874</v>
      </c>
      <c r="R652" s="3" t="s">
        <v>29</v>
      </c>
      <c r="S652" s="3" t="s">
        <v>383</v>
      </c>
      <c r="T652" s="3" t="s">
        <v>5144</v>
      </c>
      <c r="U652" s="24"/>
      <c r="V652" s="24"/>
      <c r="W652" s="24"/>
      <c r="X652" s="24"/>
      <c r="Y652" s="24"/>
      <c r="Z652" s="24"/>
      <c r="AA652" s="24"/>
      <c r="AB652" s="24"/>
      <c r="AC652" s="24"/>
      <c r="AD652" s="24"/>
      <c r="AE652" s="24"/>
      <c r="AF652" s="24"/>
      <c r="AG652" s="24"/>
      <c r="AH652" s="24"/>
      <c r="AI652" s="24"/>
      <c r="AJ652" s="24"/>
      <c r="AK652" s="24"/>
      <c r="AL652" s="24"/>
      <c r="AM652" s="25"/>
    </row>
    <row r="653" spans="1:39" ht="13.5" customHeight="1">
      <c r="A653" s="8" t="str">
        <f>HYPERLINK("http://www.killedbypolice.net/victims/150479.jpg","Kamal Dajani")</f>
        <v>Kamal Dajani</v>
      </c>
      <c r="B653" s="16">
        <v>26</v>
      </c>
      <c r="C653" s="8" t="s">
        <v>20</v>
      </c>
      <c r="D653" s="8" t="s">
        <v>21</v>
      </c>
      <c r="F653" s="17">
        <v>42157</v>
      </c>
      <c r="G653" s="8" t="s">
        <v>2010</v>
      </c>
      <c r="H653" s="8" t="s">
        <v>2011</v>
      </c>
      <c r="I653" s="8" t="s">
        <v>73</v>
      </c>
      <c r="J653" s="16" t="s">
        <v>2012</v>
      </c>
      <c r="K653" s="2" t="s">
        <v>74</v>
      </c>
      <c r="L653" s="8" t="s">
        <v>2013</v>
      </c>
      <c r="M653" s="8" t="s">
        <v>27</v>
      </c>
      <c r="N653" s="8" t="s">
        <v>2014</v>
      </c>
      <c r="O653" s="8" t="s">
        <v>404</v>
      </c>
      <c r="P653" s="8" t="s">
        <v>405</v>
      </c>
      <c r="Q653"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653" s="8" t="s">
        <v>559</v>
      </c>
      <c r="S653" s="7" t="s">
        <v>28</v>
      </c>
      <c r="T653" s="6"/>
      <c r="U653" s="8"/>
      <c r="AI653" s="8"/>
      <c r="AJ653" s="8"/>
      <c r="AK653" s="8"/>
      <c r="AL653" s="8"/>
      <c r="AM653" s="8"/>
    </row>
    <row r="654" spans="1:39" ht="13.5" customHeight="1">
      <c r="A654" s="8" t="str">
        <f>HYPERLINK("http://www.killedbypolice.net/victims/150478.jpg","Usaamah Rahim")</f>
        <v>Usaamah Rahim</v>
      </c>
      <c r="B654" s="16">
        <v>26</v>
      </c>
      <c r="C654" s="8" t="s">
        <v>20</v>
      </c>
      <c r="D654" s="8" t="s">
        <v>85</v>
      </c>
      <c r="F654" s="17">
        <v>42157</v>
      </c>
      <c r="G654" s="8" t="s">
        <v>2015</v>
      </c>
      <c r="H654" s="8" t="s">
        <v>2016</v>
      </c>
      <c r="I654" s="8" t="s">
        <v>46</v>
      </c>
      <c r="J654" s="16" t="s">
        <v>2017</v>
      </c>
      <c r="K654" s="2" t="s">
        <v>1716</v>
      </c>
      <c r="L654" s="8" t="s">
        <v>3266</v>
      </c>
      <c r="M654" s="8" t="s">
        <v>27</v>
      </c>
      <c r="N654" s="8" t="s">
        <v>2018</v>
      </c>
      <c r="O654" s="8" t="s">
        <v>554</v>
      </c>
      <c r="P654" s="8" t="s">
        <v>405</v>
      </c>
      <c r="Q654" s="12" t="str">
        <f>HYPERLINK("http://www.whdh.com/story/29215946/one-dead-after-officer-involved-shooting-in-roslindale","http://www.whdh.com/story/29215946/one-dead-after-officer-involved-shooting-in-roslindale")</f>
        <v>http://www.whdh.com/story/29215946/one-dead-after-officer-involved-shooting-in-roslindale</v>
      </c>
      <c r="R654" s="8" t="s">
        <v>29</v>
      </c>
      <c r="S654" s="7" t="s">
        <v>28</v>
      </c>
      <c r="T654" s="6"/>
      <c r="U654" s="8"/>
    </row>
    <row r="655" spans="1:39" ht="13.5" customHeight="1">
      <c r="A655" s="8" t="str">
        <f>HYPERLINK("http://www.killedbypolice.net/victims/150475.jpg","James D. Bushey")</f>
        <v>James D. Bushey</v>
      </c>
      <c r="B655" s="16">
        <v>47</v>
      </c>
      <c r="C655" s="8" t="s">
        <v>20</v>
      </c>
      <c r="D655" s="8" t="s">
        <v>37</v>
      </c>
      <c r="F655" s="17">
        <v>42156</v>
      </c>
      <c r="G655" s="8" t="s">
        <v>2024</v>
      </c>
      <c r="H655" s="8" t="s">
        <v>2025</v>
      </c>
      <c r="I655" s="8" t="s">
        <v>73</v>
      </c>
      <c r="J655" s="16" t="s">
        <v>2026</v>
      </c>
      <c r="K655" s="2" t="s">
        <v>255</v>
      </c>
      <c r="L655" s="8" t="s">
        <v>2027</v>
      </c>
      <c r="M655" s="8" t="s">
        <v>27</v>
      </c>
      <c r="N655" s="8" t="s">
        <v>2028</v>
      </c>
      <c r="O655" s="8" t="s">
        <v>404</v>
      </c>
      <c r="P655" s="8" t="s">
        <v>405</v>
      </c>
      <c r="Q655" s="12" t="str">
        <f>HYPERLINK("http://www.kplctv.com/story/29203366/palestine-police-id-victim-in-officer-involved-shooting","http://www.kplctv.com/story/29203366/palestine-police-id-victim-in-officer-involved-shooting")</f>
        <v>http://www.kplctv.com/story/29203366/palestine-police-id-victim-in-officer-involved-shooting</v>
      </c>
      <c r="R655" s="8" t="s">
        <v>100</v>
      </c>
      <c r="S655" s="7" t="s">
        <v>28</v>
      </c>
      <c r="T655" s="6"/>
      <c r="U655" s="8"/>
    </row>
    <row r="656" spans="1:39" ht="13.5" customHeight="1">
      <c r="A656" s="8" t="str">
        <f>HYPERLINK("http://www.killedbypolice.net/victims/150476.jpg","Joseph M. Ladd")</f>
        <v>Joseph M. Ladd</v>
      </c>
      <c r="B656" s="16">
        <v>23</v>
      </c>
      <c r="C656" s="8" t="s">
        <v>20</v>
      </c>
      <c r="D656" s="8" t="s">
        <v>37</v>
      </c>
      <c r="F656" s="17">
        <v>42156</v>
      </c>
      <c r="G656" s="8" t="s">
        <v>2019</v>
      </c>
      <c r="H656" s="8" t="s">
        <v>2020</v>
      </c>
      <c r="I656" s="8" t="s">
        <v>427</v>
      </c>
      <c r="J656" s="16" t="s">
        <v>2021</v>
      </c>
      <c r="K656" s="2" t="s">
        <v>1115</v>
      </c>
      <c r="L656" s="8" t="s">
        <v>2022</v>
      </c>
      <c r="M656" s="8" t="s">
        <v>27</v>
      </c>
      <c r="N656" s="8" t="s">
        <v>2023</v>
      </c>
      <c r="O656" s="8" t="s">
        <v>404</v>
      </c>
      <c r="P656" s="8" t="s">
        <v>405</v>
      </c>
      <c r="Q656" s="12"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656" s="8" t="s">
        <v>972</v>
      </c>
      <c r="S656" s="7" t="s">
        <v>28</v>
      </c>
      <c r="T656" s="6"/>
      <c r="U656" s="8"/>
    </row>
    <row r="657" spans="1:39" ht="13.5" customHeight="1">
      <c r="A657" s="8" t="s">
        <v>2035</v>
      </c>
      <c r="B657" s="16">
        <v>40</v>
      </c>
      <c r="C657" s="8" t="s">
        <v>20</v>
      </c>
      <c r="D657" s="8" t="s">
        <v>30</v>
      </c>
      <c r="F657" s="17">
        <v>42155</v>
      </c>
      <c r="G657" s="8" t="s">
        <v>2036</v>
      </c>
      <c r="H657" s="8" t="s">
        <v>2037</v>
      </c>
      <c r="I657" s="8" t="s">
        <v>118</v>
      </c>
      <c r="J657" s="16" t="s">
        <v>2038</v>
      </c>
      <c r="K657" s="2" t="s">
        <v>437</v>
      </c>
      <c r="L657" s="8" t="s">
        <v>2039</v>
      </c>
      <c r="M657" s="8" t="s">
        <v>27</v>
      </c>
      <c r="N657" s="8" t="s">
        <v>2040</v>
      </c>
      <c r="O657" s="8" t="s">
        <v>404</v>
      </c>
      <c r="P657" s="8" t="s">
        <v>405</v>
      </c>
      <c r="Q657" s="12" t="s">
        <v>2041</v>
      </c>
      <c r="R657" s="8" t="s">
        <v>559</v>
      </c>
      <c r="S657" s="7" t="s">
        <v>28</v>
      </c>
      <c r="T657" s="6"/>
      <c r="U657" s="8"/>
    </row>
    <row r="658" spans="1:39" ht="13.5" customHeight="1">
      <c r="A658" s="8" t="s">
        <v>2029</v>
      </c>
      <c r="B658" s="16">
        <v>50</v>
      </c>
      <c r="C658" s="8" t="s">
        <v>20</v>
      </c>
      <c r="D658" s="8" t="s">
        <v>85</v>
      </c>
      <c r="E658" s="8" t="s">
        <v>2030</v>
      </c>
      <c r="F658" s="17">
        <v>42155</v>
      </c>
      <c r="G658" s="8" t="s">
        <v>2031</v>
      </c>
      <c r="H658" s="8" t="s">
        <v>2020</v>
      </c>
      <c r="I658" s="8" t="s">
        <v>427</v>
      </c>
      <c r="J658" s="16" t="s">
        <v>2032</v>
      </c>
      <c r="K658" s="2" t="s">
        <v>1115</v>
      </c>
      <c r="L658" s="8" t="s">
        <v>2033</v>
      </c>
      <c r="M658" s="8" t="s">
        <v>395</v>
      </c>
      <c r="N658" s="8" t="s">
        <v>2034</v>
      </c>
      <c r="O658" s="8" t="s">
        <v>1018</v>
      </c>
      <c r="P658" s="8" t="s">
        <v>405</v>
      </c>
      <c r="Q658" s="12"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658" s="8" t="s">
        <v>29</v>
      </c>
      <c r="S658" s="7" t="s">
        <v>18</v>
      </c>
      <c r="T658" s="6"/>
      <c r="U658" s="8"/>
    </row>
    <row r="659" spans="1:39" ht="13.5" customHeight="1">
      <c r="A659" s="8" t="s">
        <v>2042</v>
      </c>
      <c r="B659" s="16">
        <v>39</v>
      </c>
      <c r="C659" s="8" t="s">
        <v>20</v>
      </c>
      <c r="D659" s="8" t="s">
        <v>48</v>
      </c>
      <c r="E659" s="8" t="s">
        <v>2043</v>
      </c>
      <c r="F659" s="17">
        <v>42154</v>
      </c>
      <c r="G659" s="8" t="s">
        <v>2044</v>
      </c>
      <c r="H659" s="8" t="s">
        <v>2045</v>
      </c>
      <c r="I659" s="8" t="s">
        <v>323</v>
      </c>
      <c r="J659" s="16" t="s">
        <v>2046</v>
      </c>
      <c r="K659" s="2" t="s">
        <v>887</v>
      </c>
      <c r="L659" s="8" t="s">
        <v>888</v>
      </c>
      <c r="M659" s="8" t="s">
        <v>27</v>
      </c>
      <c r="N659" s="8" t="s">
        <v>2047</v>
      </c>
      <c r="O659" s="8" t="s">
        <v>1018</v>
      </c>
      <c r="P659" s="8" t="s">
        <v>405</v>
      </c>
      <c r="Q659" s="12"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659" s="8" t="s">
        <v>100</v>
      </c>
      <c r="S659" s="7" t="s">
        <v>28</v>
      </c>
      <c r="T659" s="6"/>
      <c r="U659" s="8"/>
    </row>
    <row r="660" spans="1:39" ht="13.5" customHeight="1">
      <c r="A660" s="8" t="s">
        <v>2048</v>
      </c>
      <c r="B660" s="16">
        <v>19</v>
      </c>
      <c r="C660" s="8" t="s">
        <v>20</v>
      </c>
      <c r="D660" s="8" t="s">
        <v>37</v>
      </c>
      <c r="E660" s="8" t="s">
        <v>2049</v>
      </c>
      <c r="F660" s="17">
        <v>42154</v>
      </c>
      <c r="G660" s="8" t="s">
        <v>2050</v>
      </c>
      <c r="H660" s="8" t="s">
        <v>2051</v>
      </c>
      <c r="I660" s="8" t="s">
        <v>124</v>
      </c>
      <c r="J660" s="16" t="s">
        <v>2052</v>
      </c>
      <c r="K660" s="2" t="s">
        <v>181</v>
      </c>
      <c r="L660" s="8" t="s">
        <v>2053</v>
      </c>
      <c r="M660" s="8" t="s">
        <v>27</v>
      </c>
      <c r="N660" s="8" t="s">
        <v>2054</v>
      </c>
      <c r="O660" s="8" t="s">
        <v>404</v>
      </c>
      <c r="P660" s="8" t="s">
        <v>405</v>
      </c>
      <c r="Q660" s="12" t="s">
        <v>2055</v>
      </c>
      <c r="R660" s="8" t="s">
        <v>100</v>
      </c>
      <c r="S660" s="7" t="s">
        <v>18</v>
      </c>
      <c r="T660" s="6"/>
      <c r="U660" s="8"/>
    </row>
    <row r="661" spans="1:39" ht="13.5" customHeight="1">
      <c r="A661" s="8" t="s">
        <v>2056</v>
      </c>
      <c r="B661" s="16">
        <v>35</v>
      </c>
      <c r="C661" s="8" t="s">
        <v>20</v>
      </c>
      <c r="D661" s="8" t="s">
        <v>37</v>
      </c>
      <c r="E661" s="8" t="s">
        <v>2057</v>
      </c>
      <c r="F661" s="17">
        <v>42154</v>
      </c>
      <c r="G661" s="8" t="s">
        <v>2058</v>
      </c>
      <c r="H661" s="8" t="s">
        <v>2059</v>
      </c>
      <c r="I661" s="8" t="s">
        <v>399</v>
      </c>
      <c r="J661" s="16" t="s">
        <v>2060</v>
      </c>
      <c r="K661" s="2" t="s">
        <v>2061</v>
      </c>
      <c r="L661" s="8" t="s">
        <v>2062</v>
      </c>
      <c r="M661" s="8" t="s">
        <v>27</v>
      </c>
      <c r="N661" s="8" t="s">
        <v>2063</v>
      </c>
      <c r="O661" s="8" t="s">
        <v>404</v>
      </c>
      <c r="P661" s="8" t="s">
        <v>405</v>
      </c>
      <c r="Q661" s="12" t="s">
        <v>2064</v>
      </c>
      <c r="R661" s="8" t="s">
        <v>100</v>
      </c>
      <c r="S661" s="7" t="s">
        <v>35</v>
      </c>
      <c r="T661" s="6"/>
      <c r="U661" s="8"/>
    </row>
    <row r="662" spans="1:39" ht="13.5" customHeight="1">
      <c r="A662" s="8" t="s">
        <v>2065</v>
      </c>
      <c r="B662" s="16">
        <v>55</v>
      </c>
      <c r="C662" s="8" t="s">
        <v>20</v>
      </c>
      <c r="D662" s="8" t="s">
        <v>37</v>
      </c>
      <c r="F662" s="17">
        <v>42154</v>
      </c>
      <c r="G662" s="8" t="s">
        <v>2066</v>
      </c>
      <c r="H662" s="8" t="s">
        <v>2067</v>
      </c>
      <c r="I662" s="8" t="s">
        <v>118</v>
      </c>
      <c r="J662" s="16" t="s">
        <v>2068</v>
      </c>
      <c r="K662" s="2" t="s">
        <v>1553</v>
      </c>
      <c r="L662" s="8" t="s">
        <v>2069</v>
      </c>
      <c r="M662" s="8" t="s">
        <v>27</v>
      </c>
      <c r="N662" s="8" t="s">
        <v>2070</v>
      </c>
      <c r="O662" s="8" t="s">
        <v>404</v>
      </c>
      <c r="P662" s="8" t="s">
        <v>405</v>
      </c>
      <c r="Q662" s="12" t="str">
        <f>HYPERLINK("http://koin.com/2015/05/30/osp-troopers-shoot-kill-man-in-wilderville/","http://koin.com/2015/05/30/osp-troopers-shoot-kill-man-in-wilderville/")</f>
        <v>http://koin.com/2015/05/30/osp-troopers-shoot-kill-man-in-wilderville/</v>
      </c>
      <c r="R662" s="8" t="s">
        <v>29</v>
      </c>
      <c r="S662" s="7" t="s">
        <v>28</v>
      </c>
      <c r="T662" s="6"/>
      <c r="U662" s="8"/>
    </row>
    <row r="663" spans="1:39" ht="13.5" customHeight="1">
      <c r="A663" s="8" t="str">
        <f>HYPERLINK("http://www.killedbypolice.net/victims/150477.jpg","Billy J. Collins")</f>
        <v>Billy J. Collins</v>
      </c>
      <c r="B663" s="16">
        <v>56</v>
      </c>
      <c r="C663" s="8" t="s">
        <v>20</v>
      </c>
      <c r="D663" s="8" t="s">
        <v>37</v>
      </c>
      <c r="E663" s="8" t="s">
        <v>2083</v>
      </c>
      <c r="F663" s="17">
        <v>42153</v>
      </c>
      <c r="G663" s="8" t="s">
        <v>2084</v>
      </c>
      <c r="H663" s="8" t="s">
        <v>2085</v>
      </c>
      <c r="I663" s="8" t="s">
        <v>319</v>
      </c>
      <c r="J663" s="16" t="s">
        <v>2086</v>
      </c>
      <c r="K663" s="2" t="s">
        <v>2087</v>
      </c>
      <c r="L663" s="8" t="s">
        <v>2088</v>
      </c>
      <c r="M663" s="8" t="s">
        <v>395</v>
      </c>
      <c r="N663" s="8" t="s">
        <v>2089</v>
      </c>
      <c r="O663" s="8" t="s">
        <v>404</v>
      </c>
      <c r="P663" s="8" t="s">
        <v>405</v>
      </c>
      <c r="Q663" s="12"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663" s="8" t="s">
        <v>29</v>
      </c>
      <c r="S663" s="7" t="s">
        <v>28</v>
      </c>
      <c r="T663" s="6"/>
      <c r="U663" s="8"/>
    </row>
    <row r="664" spans="1:39" ht="13.5" customHeight="1">
      <c r="A664" s="8" t="s">
        <v>2071</v>
      </c>
      <c r="B664" s="16">
        <v>36</v>
      </c>
      <c r="C664" s="8" t="s">
        <v>20</v>
      </c>
      <c r="D664" s="8" t="s">
        <v>85</v>
      </c>
      <c r="E664" s="8" t="s">
        <v>2072</v>
      </c>
      <c r="F664" s="17">
        <v>42153</v>
      </c>
      <c r="G664" s="8" t="s">
        <v>2073</v>
      </c>
      <c r="H664" s="8" t="s">
        <v>2074</v>
      </c>
      <c r="I664" s="8" t="s">
        <v>81</v>
      </c>
      <c r="J664" s="16" t="s">
        <v>2075</v>
      </c>
      <c r="K664" s="2" t="s">
        <v>1850</v>
      </c>
      <c r="L664" s="8" t="s">
        <v>2076</v>
      </c>
      <c r="M664" s="8" t="s">
        <v>27</v>
      </c>
      <c r="N664" s="8" t="s">
        <v>2077</v>
      </c>
      <c r="O664" s="8" t="s">
        <v>2078</v>
      </c>
      <c r="P664" s="8" t="s">
        <v>405</v>
      </c>
      <c r="Q664" s="12" t="str">
        <f>HYPERLINK("http://newyork.cbslocal.com/2015/05/29/lyndhurst-library-police-shooting/","http://newyork.cbslocal.com/2015/05/29/lyndhurst-library-police-shooting/")</f>
        <v>http://newyork.cbslocal.com/2015/05/29/lyndhurst-library-police-shooting/</v>
      </c>
      <c r="R664" s="8" t="s">
        <v>100</v>
      </c>
      <c r="S664" s="7" t="s">
        <v>28</v>
      </c>
      <c r="T664" s="6"/>
      <c r="U664" s="8"/>
    </row>
    <row r="665" spans="1:39" ht="13.5" customHeight="1">
      <c r="A665" s="8" t="s">
        <v>2079</v>
      </c>
      <c r="B665" s="16">
        <v>35</v>
      </c>
      <c r="C665" s="8" t="s">
        <v>20</v>
      </c>
      <c r="D665" s="8" t="s">
        <v>48</v>
      </c>
      <c r="F665" s="17">
        <v>42153</v>
      </c>
      <c r="G665" s="8" t="s">
        <v>2080</v>
      </c>
      <c r="H665" s="8" t="s">
        <v>1750</v>
      </c>
      <c r="I665" s="8" t="s">
        <v>62</v>
      </c>
      <c r="J665" s="16" t="s">
        <v>2081</v>
      </c>
      <c r="K665" s="2" t="s">
        <v>1752</v>
      </c>
      <c r="L665" s="8" t="s">
        <v>1753</v>
      </c>
      <c r="M665" s="8" t="s">
        <v>29</v>
      </c>
      <c r="P665" s="8" t="s">
        <v>405</v>
      </c>
      <c r="Q665" s="12" t="s">
        <v>2082</v>
      </c>
      <c r="S665" s="7" t="s">
        <v>18</v>
      </c>
      <c r="T665" s="6"/>
      <c r="U665" s="8"/>
    </row>
    <row r="666" spans="1:39" ht="13.5" customHeight="1">
      <c r="A666" s="8" t="s">
        <v>2124</v>
      </c>
      <c r="B666" s="16">
        <v>60</v>
      </c>
      <c r="C666" s="8" t="s">
        <v>20</v>
      </c>
      <c r="D666" s="8" t="s">
        <v>37</v>
      </c>
      <c r="E666" s="8" t="s">
        <v>2125</v>
      </c>
      <c r="F666" s="17">
        <v>42152</v>
      </c>
      <c r="G666" s="8" t="s">
        <v>2126</v>
      </c>
      <c r="H666" s="8" t="s">
        <v>1507</v>
      </c>
      <c r="I666" s="8" t="s">
        <v>32</v>
      </c>
      <c r="J666" s="16" t="s">
        <v>2127</v>
      </c>
      <c r="K666" s="2" t="s">
        <v>1507</v>
      </c>
      <c r="L666" s="8" t="s">
        <v>2128</v>
      </c>
      <c r="M666" s="8" t="s">
        <v>27</v>
      </c>
      <c r="N666" s="8" t="s">
        <v>2129</v>
      </c>
      <c r="O666" s="8" t="s">
        <v>404</v>
      </c>
      <c r="P666" s="8" t="s">
        <v>405</v>
      </c>
      <c r="Q666" s="12" t="str">
        <f>HYPERLINK("http://www.wsoctv.com/news/news/local/sled-responding-possible-officer-involved-shooting/nmQSJ/","http://www.wsoctv.com/news/news/local/sled-responding-possible-officer-involved-shooting/nmQSJ/")</f>
        <v>http://www.wsoctv.com/news/news/local/sled-responding-possible-officer-involved-shooting/nmQSJ/</v>
      </c>
      <c r="R666" s="8" t="s">
        <v>29</v>
      </c>
      <c r="S666" s="7" t="s">
        <v>28</v>
      </c>
      <c r="T666" s="6"/>
      <c r="U666" s="8"/>
    </row>
    <row r="667" spans="1:39" ht="13.5" customHeight="1">
      <c r="A667" s="8" t="s">
        <v>2090</v>
      </c>
      <c r="B667" s="16">
        <v>20</v>
      </c>
      <c r="C667" s="8" t="s">
        <v>20</v>
      </c>
      <c r="D667" s="8" t="s">
        <v>21</v>
      </c>
      <c r="E667" s="8" t="s">
        <v>2091</v>
      </c>
      <c r="F667" s="17">
        <v>42152</v>
      </c>
      <c r="G667" s="8" t="s">
        <v>2092</v>
      </c>
      <c r="H667" s="8" t="s">
        <v>493</v>
      </c>
      <c r="I667" s="8" t="s">
        <v>45</v>
      </c>
      <c r="J667" s="16" t="s">
        <v>2093</v>
      </c>
      <c r="K667" s="2" t="s">
        <v>98</v>
      </c>
      <c r="L667" s="8" t="s">
        <v>494</v>
      </c>
      <c r="M667" s="8" t="s">
        <v>27</v>
      </c>
      <c r="N667" s="8" t="s">
        <v>2094</v>
      </c>
      <c r="O667" s="8" t="s">
        <v>404</v>
      </c>
      <c r="P667" s="8" t="s">
        <v>405</v>
      </c>
      <c r="Q667"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667" s="8" t="s">
        <v>972</v>
      </c>
      <c r="S667" s="7" t="s">
        <v>18</v>
      </c>
      <c r="T667" s="6"/>
      <c r="U667" s="8"/>
      <c r="AI667" s="8"/>
      <c r="AJ667" s="8"/>
      <c r="AK667" s="8"/>
      <c r="AL667" s="8"/>
      <c r="AM667" s="8"/>
    </row>
    <row r="668" spans="1:39" ht="13.5" customHeight="1">
      <c r="A668" s="8" t="s">
        <v>2110</v>
      </c>
      <c r="B668" s="16">
        <v>57</v>
      </c>
      <c r="C668" s="8" t="s">
        <v>20</v>
      </c>
      <c r="D668" s="8" t="s">
        <v>37</v>
      </c>
      <c r="F668" s="17">
        <v>42152</v>
      </c>
      <c r="G668" s="8" t="s">
        <v>2111</v>
      </c>
      <c r="H668" s="8" t="s">
        <v>2112</v>
      </c>
      <c r="I668" s="8" t="s">
        <v>175</v>
      </c>
      <c r="J668" s="16" t="s">
        <v>2113</v>
      </c>
      <c r="K668" s="2" t="s">
        <v>2114</v>
      </c>
      <c r="L668" s="8" t="s">
        <v>2115</v>
      </c>
      <c r="M668" s="8" t="s">
        <v>27</v>
      </c>
      <c r="N668" s="8" t="s">
        <v>2116</v>
      </c>
      <c r="O668" s="8" t="s">
        <v>404</v>
      </c>
      <c r="P668" s="8" t="s">
        <v>405</v>
      </c>
      <c r="Q668" s="12" t="str">
        <f>HYPERLINK("http://www.macon.com/2015/05/28/3768612/putnam-deputy-shoots-and-kills.html","http://www.macon.com/2015/05/28/3768612/putnam-deputy-shoots-and-kills.html")</f>
        <v>http://www.macon.com/2015/05/28/3768612/putnam-deputy-shoots-and-kills.html</v>
      </c>
      <c r="R668" s="8" t="s">
        <v>559</v>
      </c>
      <c r="S668" s="7" t="s">
        <v>28</v>
      </c>
      <c r="T668" s="6"/>
      <c r="U668" s="8"/>
    </row>
    <row r="669" spans="1:39" ht="13.5" customHeight="1">
      <c r="A669" s="8" t="s">
        <v>2104</v>
      </c>
      <c r="B669" s="16">
        <v>32</v>
      </c>
      <c r="C669" s="8" t="s">
        <v>20</v>
      </c>
      <c r="D669" s="8" t="s">
        <v>37</v>
      </c>
      <c r="F669" s="17">
        <v>42152</v>
      </c>
      <c r="G669" s="8" t="s">
        <v>2105</v>
      </c>
      <c r="H669" s="8" t="s">
        <v>2106</v>
      </c>
      <c r="I669" s="8" t="s">
        <v>212</v>
      </c>
      <c r="J669" s="16" t="s">
        <v>2107</v>
      </c>
      <c r="K669" s="2" t="s">
        <v>1941</v>
      </c>
      <c r="L669" s="8" t="s">
        <v>2108</v>
      </c>
      <c r="M669" s="8" t="s">
        <v>27</v>
      </c>
      <c r="N669" s="8" t="s">
        <v>2109</v>
      </c>
      <c r="O669" s="8" t="s">
        <v>29</v>
      </c>
      <c r="P669" s="8" t="s">
        <v>405</v>
      </c>
      <c r="Q669" s="12" t="str">
        <f>HYPERLINK("http://www.thedenverchannel.com/news/local-news/injured-northglenn-police-officer-taken-to-hospital","http://www.thedenverchannel.com/news/local-news/injured-northglenn-police-officer-taken-to-hospital")</f>
        <v>http://www.thedenverchannel.com/news/local-news/injured-northglenn-police-officer-taken-to-hospital</v>
      </c>
      <c r="R669" s="8" t="s">
        <v>100</v>
      </c>
      <c r="S669" s="7" t="s">
        <v>28</v>
      </c>
      <c r="T669" s="6"/>
      <c r="U669" s="8"/>
    </row>
    <row r="670" spans="1:39" ht="13.5" customHeight="1">
      <c r="A670" s="8" t="s">
        <v>2095</v>
      </c>
      <c r="B670" s="16">
        <v>40</v>
      </c>
      <c r="C670" s="8" t="s">
        <v>20</v>
      </c>
      <c r="D670" s="8" t="s">
        <v>85</v>
      </c>
      <c r="E670" s="8" t="s">
        <v>2096</v>
      </c>
      <c r="F670" s="17">
        <v>42152</v>
      </c>
      <c r="G670" s="8" t="s">
        <v>2097</v>
      </c>
      <c r="H670" s="8" t="s">
        <v>2098</v>
      </c>
      <c r="I670" s="8" t="s">
        <v>175</v>
      </c>
      <c r="J670" s="16" t="s">
        <v>2099</v>
      </c>
      <c r="K670" s="2" t="s">
        <v>2100</v>
      </c>
      <c r="L670" s="8" t="s">
        <v>2101</v>
      </c>
      <c r="M670" s="8" t="s">
        <v>27</v>
      </c>
      <c r="N670" s="8" t="s">
        <v>2102</v>
      </c>
      <c r="O670" s="8" t="s">
        <v>2103</v>
      </c>
      <c r="P670" s="8" t="s">
        <v>405</v>
      </c>
      <c r="Q670" s="12"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670" s="8" t="s">
        <v>100</v>
      </c>
      <c r="S670" s="7" t="s">
        <v>28</v>
      </c>
      <c r="T670" s="6"/>
      <c r="U670" s="8"/>
    </row>
    <row r="671" spans="1:39" ht="13.5" customHeight="1">
      <c r="A671" s="8" t="s">
        <v>2117</v>
      </c>
      <c r="B671" s="16">
        <v>18</v>
      </c>
      <c r="C671" s="8" t="s">
        <v>20</v>
      </c>
      <c r="D671" s="8" t="s">
        <v>37</v>
      </c>
      <c r="E671" s="8" t="s">
        <v>2118</v>
      </c>
      <c r="F671" s="17">
        <v>42152</v>
      </c>
      <c r="G671" s="8" t="s">
        <v>2119</v>
      </c>
      <c r="H671" s="8" t="s">
        <v>2120</v>
      </c>
      <c r="I671" s="8" t="s">
        <v>57</v>
      </c>
      <c r="J671" s="16" t="s">
        <v>2121</v>
      </c>
      <c r="K671" s="2" t="s">
        <v>1139</v>
      </c>
      <c r="L671" s="8" t="s">
        <v>2122</v>
      </c>
      <c r="M671" s="8" t="s">
        <v>27</v>
      </c>
      <c r="N671" s="8" t="s">
        <v>2123</v>
      </c>
      <c r="O671" s="8" t="s">
        <v>404</v>
      </c>
      <c r="P671" s="8" t="s">
        <v>405</v>
      </c>
      <c r="Q671" s="12" t="str">
        <f>HYPERLINK("http://www.clickondetroit.com/news/man-attacks-officer-shot-by-police-trenton/33276844","http://www.clickondetroit.com/news/man-attacks-officer-shot-by-police-trenton/33276844")</f>
        <v>http://www.clickondetroit.com/news/man-attacks-officer-shot-by-police-trenton/33276844</v>
      </c>
      <c r="R671" s="8" t="s">
        <v>972</v>
      </c>
      <c r="S671" s="7" t="s">
        <v>28</v>
      </c>
      <c r="T671" s="6"/>
      <c r="U671" s="8"/>
    </row>
    <row r="672" spans="1:39" ht="13.5" customHeight="1">
      <c r="A672" s="8" t="s">
        <v>2148</v>
      </c>
      <c r="B672" s="16">
        <v>24</v>
      </c>
      <c r="C672" s="8" t="s">
        <v>20</v>
      </c>
      <c r="D672" s="8" t="s">
        <v>37</v>
      </c>
      <c r="E672" s="8" t="s">
        <v>2149</v>
      </c>
      <c r="F672" s="17">
        <v>42151</v>
      </c>
      <c r="G672" s="8" t="s">
        <v>2150</v>
      </c>
      <c r="H672" s="8" t="s">
        <v>2151</v>
      </c>
      <c r="I672" s="8" t="s">
        <v>399</v>
      </c>
      <c r="J672" s="16" t="s">
        <v>2152</v>
      </c>
      <c r="K672" s="2" t="s">
        <v>1105</v>
      </c>
      <c r="L672" s="8" t="s">
        <v>2153</v>
      </c>
      <c r="M672" s="8" t="s">
        <v>27</v>
      </c>
      <c r="N672" s="8" t="s">
        <v>2154</v>
      </c>
      <c r="O672" s="8" t="s">
        <v>404</v>
      </c>
      <c r="P672" s="8" t="s">
        <v>405</v>
      </c>
      <c r="Q672" s="12" t="str">
        <f>HYPERLINK("http://kfor.com/2015/05/27/breaking-news-officer-involved-shooting-in-edmond/","http://kfor.com/2015/05/27/breaking-news-officer-involved-shooting-in-edmond/")</f>
        <v>http://kfor.com/2015/05/27/breaking-news-officer-involved-shooting-in-edmond/</v>
      </c>
      <c r="R672" s="8" t="s">
        <v>559</v>
      </c>
      <c r="S672" s="7" t="s">
        <v>28</v>
      </c>
      <c r="T672" s="6"/>
      <c r="U672" s="8"/>
    </row>
    <row r="673" spans="1:34" ht="13.5" customHeight="1">
      <c r="A673" s="8" t="s">
        <v>2136</v>
      </c>
      <c r="B673" s="16">
        <v>34</v>
      </c>
      <c r="C673" s="8" t="s">
        <v>20</v>
      </c>
      <c r="D673" s="8" t="s">
        <v>37</v>
      </c>
      <c r="E673" s="8" t="s">
        <v>2137</v>
      </c>
      <c r="F673" s="17">
        <v>42151</v>
      </c>
      <c r="G673" s="8" t="s">
        <v>2138</v>
      </c>
      <c r="H673" s="8" t="s">
        <v>434</v>
      </c>
      <c r="I673" s="8" t="s">
        <v>367</v>
      </c>
      <c r="J673" s="16" t="s">
        <v>2139</v>
      </c>
      <c r="K673" s="2" t="s">
        <v>604</v>
      </c>
      <c r="L673" s="8" t="s">
        <v>2140</v>
      </c>
      <c r="M673" s="8" t="s">
        <v>395</v>
      </c>
      <c r="N673" s="8" t="s">
        <v>2141</v>
      </c>
      <c r="O673" s="8" t="s">
        <v>1018</v>
      </c>
      <c r="P673" s="8" t="s">
        <v>405</v>
      </c>
      <c r="Q673" s="12"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673" s="8" t="s">
        <v>972</v>
      </c>
      <c r="S673" s="7" t="s">
        <v>18</v>
      </c>
      <c r="T673" s="6"/>
      <c r="U673" s="8"/>
    </row>
    <row r="674" spans="1:34" ht="13.5" customHeight="1">
      <c r="A674" s="8" t="s">
        <v>2142</v>
      </c>
      <c r="B674" s="16">
        <v>39</v>
      </c>
      <c r="C674" s="8" t="s">
        <v>20</v>
      </c>
      <c r="D674" s="8" t="s">
        <v>37</v>
      </c>
      <c r="F674" s="17">
        <v>42151</v>
      </c>
      <c r="G674" s="8" t="s">
        <v>2143</v>
      </c>
      <c r="H674" s="8" t="s">
        <v>2144</v>
      </c>
      <c r="I674" s="8" t="s">
        <v>81</v>
      </c>
      <c r="J674" s="16" t="s">
        <v>2145</v>
      </c>
      <c r="K674" s="2" t="s">
        <v>1759</v>
      </c>
      <c r="L674" s="8" t="s">
        <v>2146</v>
      </c>
      <c r="M674" s="8" t="s">
        <v>27</v>
      </c>
      <c r="N674" s="8" t="s">
        <v>2147</v>
      </c>
      <c r="O674" s="8" t="s">
        <v>404</v>
      </c>
      <c r="P674" s="8" t="s">
        <v>405</v>
      </c>
      <c r="Q674" s="12"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674" s="8" t="s">
        <v>29</v>
      </c>
      <c r="S674" s="7" t="s">
        <v>28</v>
      </c>
      <c r="T674" s="6"/>
      <c r="U674" s="8"/>
    </row>
    <row r="675" spans="1:34" ht="13.5" customHeight="1">
      <c r="A675" s="8" t="s">
        <v>2130</v>
      </c>
      <c r="B675" s="16">
        <v>33</v>
      </c>
      <c r="C675" s="8" t="s">
        <v>20</v>
      </c>
      <c r="D675" s="8" t="s">
        <v>37</v>
      </c>
      <c r="F675" s="17">
        <v>42151</v>
      </c>
      <c r="G675" s="8" t="s">
        <v>2131</v>
      </c>
      <c r="H675" s="8" t="s">
        <v>2132</v>
      </c>
      <c r="I675" s="8" t="s">
        <v>45</v>
      </c>
      <c r="J675" s="16" t="s">
        <v>2133</v>
      </c>
      <c r="K675" s="2" t="s">
        <v>158</v>
      </c>
      <c r="L675" s="8" t="s">
        <v>2134</v>
      </c>
      <c r="M675" s="8" t="s">
        <v>27</v>
      </c>
      <c r="N675" s="8" t="s">
        <v>2135</v>
      </c>
      <c r="O675" s="8" t="s">
        <v>1018</v>
      </c>
      <c r="P675" s="8" t="s">
        <v>405</v>
      </c>
      <c r="Q675" s="12" t="str">
        <f>HYPERLINK("http://www.nbcsandiego.com/news/local/Reported-Shots-Fired-Alpine-305259931.html","http://www.nbcsandiego.com/news/local/Reported-Shots-Fired-Alpine-305259931.html")</f>
        <v>http://www.nbcsandiego.com/news/local/Reported-Shots-Fired-Alpine-305259931.html</v>
      </c>
      <c r="R675" s="8" t="s">
        <v>559</v>
      </c>
      <c r="S675" s="7" t="s">
        <v>28</v>
      </c>
      <c r="T675" s="6"/>
      <c r="U675" s="8"/>
    </row>
    <row r="676" spans="1:34" ht="13.5" customHeight="1">
      <c r="A676" s="8" t="s">
        <v>2155</v>
      </c>
      <c r="B676" s="16">
        <v>51</v>
      </c>
      <c r="C676" s="8" t="s">
        <v>20</v>
      </c>
      <c r="D676" s="8" t="s">
        <v>85</v>
      </c>
      <c r="E676" s="8" t="s">
        <v>2156</v>
      </c>
      <c r="F676" s="17">
        <v>42150</v>
      </c>
      <c r="G676" s="8" t="s">
        <v>2157</v>
      </c>
      <c r="H676" s="8" t="s">
        <v>762</v>
      </c>
      <c r="I676" s="8" t="s">
        <v>427</v>
      </c>
      <c r="J676" s="16" t="s">
        <v>2158</v>
      </c>
      <c r="K676" s="2" t="s">
        <v>762</v>
      </c>
      <c r="L676" s="8" t="s">
        <v>586</v>
      </c>
      <c r="M676" s="8" t="s">
        <v>27</v>
      </c>
      <c r="N676" s="8" t="s">
        <v>2159</v>
      </c>
      <c r="O676" s="8" t="s">
        <v>1018</v>
      </c>
      <c r="P676" s="8" t="s">
        <v>405</v>
      </c>
      <c r="Q676" s="12" t="str">
        <f>HYPERLINK("http://pix11.com/2015/05/26/police-shoot-man-in-brooklyn-school-parking-lot/","http://pix11.com/2015/05/26/police-shoot-man-in-brooklyn-school-parking-lot/")</f>
        <v>http://pix11.com/2015/05/26/police-shoot-man-in-brooklyn-school-parking-lot/</v>
      </c>
      <c r="R676" s="8" t="s">
        <v>100</v>
      </c>
      <c r="S676" s="7" t="s">
        <v>28</v>
      </c>
      <c r="T676" s="6"/>
      <c r="U676" s="8"/>
    </row>
    <row r="677" spans="1:34" ht="13.5" customHeight="1">
      <c r="A677" s="8" t="s">
        <v>2160</v>
      </c>
      <c r="B677" s="16">
        <v>24</v>
      </c>
      <c r="C677" s="8" t="s">
        <v>20</v>
      </c>
      <c r="D677" s="8" t="s">
        <v>37</v>
      </c>
      <c r="E677" s="8" t="s">
        <v>2161</v>
      </c>
      <c r="F677" s="17">
        <v>42150</v>
      </c>
      <c r="G677" s="8" t="s">
        <v>2162</v>
      </c>
      <c r="H677" s="8" t="s">
        <v>2163</v>
      </c>
      <c r="I677" s="8" t="s">
        <v>25</v>
      </c>
      <c r="J677" s="16" t="s">
        <v>2164</v>
      </c>
      <c r="K677" s="2" t="s">
        <v>2165</v>
      </c>
      <c r="L677" s="8" t="s">
        <v>409</v>
      </c>
      <c r="M677" s="8" t="s">
        <v>27</v>
      </c>
      <c r="N677" s="8" t="s">
        <v>2166</v>
      </c>
      <c r="O677" s="8" t="s">
        <v>1018</v>
      </c>
      <c r="P677" s="8" t="s">
        <v>405</v>
      </c>
      <c r="Q677" s="12" t="str">
        <f>HYPERLINK("http://www.nbcdfw.com/news/local/9-Year-Old-Child-Reported-Missing-in-Benbrook-304947651.html","http://www.nbcdfw.com/news/local/9-Year-Old-Child-Reported-Missing-in-Benbrook-304947651.html")</f>
        <v>http://www.nbcdfw.com/news/local/9-Year-Old-Child-Reported-Missing-in-Benbrook-304947651.html</v>
      </c>
      <c r="R677" s="8" t="s">
        <v>100</v>
      </c>
      <c r="S677" s="7" t="s">
        <v>28</v>
      </c>
      <c r="T677" s="6"/>
      <c r="U677" s="8"/>
    </row>
    <row r="678" spans="1:34" ht="13.5" customHeight="1">
      <c r="A678" s="8" t="s">
        <v>2167</v>
      </c>
      <c r="B678" s="16">
        <v>62</v>
      </c>
      <c r="C678" s="8" t="s">
        <v>20</v>
      </c>
      <c r="D678" s="8" t="s">
        <v>37</v>
      </c>
      <c r="F678" s="17">
        <v>42150</v>
      </c>
      <c r="G678" s="8" t="s">
        <v>2168</v>
      </c>
      <c r="H678" s="8" t="s">
        <v>2169</v>
      </c>
      <c r="I678" s="8" t="s">
        <v>306</v>
      </c>
      <c r="J678" s="16" t="s">
        <v>2170</v>
      </c>
      <c r="K678" s="2" t="s">
        <v>2169</v>
      </c>
      <c r="L678" s="8" t="s">
        <v>2171</v>
      </c>
      <c r="M678" s="8" t="s">
        <v>27</v>
      </c>
      <c r="N678" s="8" t="s">
        <v>2172</v>
      </c>
      <c r="O678" s="8" t="s">
        <v>2173</v>
      </c>
      <c r="P678" s="8" t="s">
        <v>405</v>
      </c>
      <c r="Q678" s="12" t="str">
        <f>HYPERLINK("http://www.kirotv.com/news/news/breaking-news-deputy-shoots-kills-man-near-monroe/nmNnq/","http://www.kirotv.com/news/news/breaking-news-deputy-shoots-kills-man-near-monroe/nmNnq/")</f>
        <v>http://www.kirotv.com/news/news/breaking-news-deputy-shoots-kills-man-near-monroe/nmNnq/</v>
      </c>
      <c r="R678" s="8" t="s">
        <v>29</v>
      </c>
      <c r="S678" s="7" t="s">
        <v>28</v>
      </c>
      <c r="T678" s="6"/>
      <c r="U678" s="8"/>
    </row>
    <row r="679" spans="1:34" ht="13.5" customHeight="1">
      <c r="A679" s="8" t="s">
        <v>2174</v>
      </c>
      <c r="B679" s="16">
        <v>38</v>
      </c>
      <c r="C679" s="8" t="s">
        <v>20</v>
      </c>
      <c r="D679" s="8" t="s">
        <v>85</v>
      </c>
      <c r="E679" s="8" t="s">
        <v>2175</v>
      </c>
      <c r="F679" s="17">
        <v>42149</v>
      </c>
      <c r="G679" s="8" t="s">
        <v>2176</v>
      </c>
      <c r="H679" s="8" t="s">
        <v>2177</v>
      </c>
      <c r="I679" s="8" t="s">
        <v>94</v>
      </c>
      <c r="J679" s="16" t="s">
        <v>2178</v>
      </c>
      <c r="K679" s="2" t="s">
        <v>2179</v>
      </c>
      <c r="L679" s="8" t="s">
        <v>2180</v>
      </c>
      <c r="M679" s="8" t="s">
        <v>27</v>
      </c>
      <c r="N679" s="8" t="s">
        <v>2181</v>
      </c>
      <c r="O679" s="8" t="s">
        <v>1018</v>
      </c>
      <c r="P679" s="8" t="s">
        <v>405</v>
      </c>
      <c r="Q679" s="12"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679" s="8" t="s">
        <v>29</v>
      </c>
      <c r="S679" s="7" t="s">
        <v>28</v>
      </c>
      <c r="T679" s="6"/>
      <c r="U679" s="8"/>
    </row>
    <row r="680" spans="1:34" ht="13.5" customHeight="1">
      <c r="A680" s="8" t="s">
        <v>2182</v>
      </c>
      <c r="B680" s="16">
        <v>31</v>
      </c>
      <c r="C680" s="8" t="s">
        <v>115</v>
      </c>
      <c r="D680" s="8" t="s">
        <v>37</v>
      </c>
      <c r="F680" s="17">
        <v>42149</v>
      </c>
      <c r="G680" s="8" t="s">
        <v>2183</v>
      </c>
      <c r="H680" s="8" t="s">
        <v>1326</v>
      </c>
      <c r="I680" s="8" t="s">
        <v>73</v>
      </c>
      <c r="J680" s="16" t="s">
        <v>2184</v>
      </c>
      <c r="K680" s="2" t="s">
        <v>1327</v>
      </c>
      <c r="L680" s="8" t="s">
        <v>1328</v>
      </c>
      <c r="M680" s="8" t="s">
        <v>27</v>
      </c>
      <c r="N680" s="8" t="s">
        <v>2185</v>
      </c>
      <c r="O680" s="8" t="s">
        <v>1018</v>
      </c>
      <c r="P680" s="8" t="s">
        <v>405</v>
      </c>
      <c r="Q680" s="12" t="str">
        <f>HYPERLINK("http://kxan.com/2015/05/25/woman-shot-dead-after-five-hour-standoff-with-apd-swat-officers/","http://kxan.com/2015/05/25/woman-shot-dead-after-five-hour-standoff-with-apd-swat-officers/")</f>
        <v>http://kxan.com/2015/05/25/woman-shot-dead-after-five-hour-standoff-with-apd-swat-officers/</v>
      </c>
      <c r="R680" s="8" t="s">
        <v>559</v>
      </c>
      <c r="S680" s="7" t="s">
        <v>28</v>
      </c>
      <c r="T680" s="6"/>
      <c r="U680" s="8"/>
      <c r="Y680" s="8"/>
      <c r="Z680" s="8"/>
      <c r="AA680" s="8"/>
      <c r="AB680" s="8"/>
      <c r="AC680" s="8"/>
      <c r="AD680" s="8"/>
      <c r="AE680" s="8"/>
      <c r="AF680" s="8"/>
      <c r="AG680" s="8"/>
      <c r="AH680" s="8"/>
    </row>
    <row r="681" spans="1:34" ht="13.5" customHeight="1">
      <c r="A681" s="8" t="s">
        <v>2186</v>
      </c>
      <c r="B681" s="16">
        <v>40</v>
      </c>
      <c r="C681" s="8" t="s">
        <v>20</v>
      </c>
      <c r="D681" s="8" t="s">
        <v>37</v>
      </c>
      <c r="F681" s="17">
        <v>42148</v>
      </c>
      <c r="G681" s="8" t="s">
        <v>2187</v>
      </c>
      <c r="H681" s="8" t="s">
        <v>2188</v>
      </c>
      <c r="I681" s="8" t="s">
        <v>124</v>
      </c>
      <c r="J681" s="16" t="s">
        <v>2189</v>
      </c>
      <c r="K681" s="2" t="s">
        <v>2190</v>
      </c>
      <c r="L681" s="8" t="s">
        <v>2191</v>
      </c>
      <c r="M681" s="8" t="s">
        <v>27</v>
      </c>
      <c r="N681" s="8" t="s">
        <v>2192</v>
      </c>
      <c r="O681" s="8" t="s">
        <v>404</v>
      </c>
      <c r="P681" s="8" t="s">
        <v>405</v>
      </c>
      <c r="Q681" s="12" t="str">
        <f>HYPERLINK("http://www.kpho.com/story/29143797/suspect-dead-following-police-shooting-in-eagar-ariz","http://www.kpho.com/story/29143797/suspect-dead-following-police-shooting-in-eagar-ariz")</f>
        <v>http://www.kpho.com/story/29143797/suspect-dead-following-police-shooting-in-eagar-ariz</v>
      </c>
      <c r="R681" s="8" t="s">
        <v>29</v>
      </c>
      <c r="S681" s="7" t="s">
        <v>28</v>
      </c>
      <c r="T681" s="6"/>
      <c r="U681" s="8"/>
    </row>
    <row r="682" spans="1:34" ht="13.5" customHeight="1">
      <c r="A682" s="8" t="s">
        <v>2193</v>
      </c>
      <c r="B682" s="16">
        <v>25</v>
      </c>
      <c r="C682" s="8" t="s">
        <v>20</v>
      </c>
      <c r="D682" s="8" t="s">
        <v>85</v>
      </c>
      <c r="F682" s="17">
        <v>42147</v>
      </c>
      <c r="G682" s="8" t="s">
        <v>2194</v>
      </c>
      <c r="H682" s="8" t="s">
        <v>448</v>
      </c>
      <c r="I682" s="8" t="s">
        <v>57</v>
      </c>
      <c r="J682" s="16" t="s">
        <v>2195</v>
      </c>
      <c r="K682" s="2" t="s">
        <v>1139</v>
      </c>
      <c r="L682" s="8" t="s">
        <v>2196</v>
      </c>
      <c r="M682" s="8" t="s">
        <v>27</v>
      </c>
      <c r="N682" s="8" t="s">
        <v>2197</v>
      </c>
      <c r="O682" s="8" t="s">
        <v>1018</v>
      </c>
      <c r="P682" s="8" t="s">
        <v>405</v>
      </c>
      <c r="Q682" s="12"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682" s="8" t="s">
        <v>559</v>
      </c>
      <c r="S682" s="7" t="s">
        <v>28</v>
      </c>
      <c r="T682" s="6"/>
      <c r="U682" s="8"/>
    </row>
    <row r="683" spans="1:34" ht="13.5" customHeight="1">
      <c r="A683" s="8" t="s">
        <v>2198</v>
      </c>
      <c r="B683" s="16">
        <v>47</v>
      </c>
      <c r="C683" s="8" t="s">
        <v>20</v>
      </c>
      <c r="D683" s="8" t="s">
        <v>37</v>
      </c>
      <c r="E683" s="8" t="s">
        <v>2199</v>
      </c>
      <c r="F683" s="17">
        <v>42147</v>
      </c>
      <c r="G683" s="8" t="s">
        <v>2200</v>
      </c>
      <c r="H683" s="8" t="s">
        <v>2201</v>
      </c>
      <c r="I683" s="8" t="s">
        <v>435</v>
      </c>
      <c r="J683" s="16" t="s">
        <v>2202</v>
      </c>
      <c r="K683" s="2" t="s">
        <v>2203</v>
      </c>
      <c r="L683" s="8" t="s">
        <v>2204</v>
      </c>
      <c r="M683" s="8" t="s">
        <v>27</v>
      </c>
      <c r="N683" s="8" t="s">
        <v>2205</v>
      </c>
      <c r="O683" s="8" t="s">
        <v>1018</v>
      </c>
      <c r="P683" s="8" t="s">
        <v>405</v>
      </c>
      <c r="Q683" s="12"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683" s="8" t="s">
        <v>100</v>
      </c>
      <c r="S683" s="7" t="s">
        <v>28</v>
      </c>
      <c r="T683" s="6"/>
      <c r="U683" s="8"/>
    </row>
    <row r="684" spans="1:34" ht="13.5" customHeight="1">
      <c r="A684" s="8" t="s">
        <v>2206</v>
      </c>
      <c r="B684" s="16">
        <v>40</v>
      </c>
      <c r="C684" s="8" t="s">
        <v>20</v>
      </c>
      <c r="D684" s="8" t="s">
        <v>37</v>
      </c>
      <c r="E684" s="8" t="s">
        <v>2207</v>
      </c>
      <c r="F684" s="17">
        <v>42146</v>
      </c>
      <c r="G684" s="8" t="s">
        <v>2208</v>
      </c>
      <c r="H684" s="8" t="s">
        <v>2209</v>
      </c>
      <c r="I684" s="8" t="s">
        <v>408</v>
      </c>
      <c r="J684" s="16" t="s">
        <v>2210</v>
      </c>
      <c r="K684" s="2" t="s">
        <v>2209</v>
      </c>
      <c r="L684" s="8" t="s">
        <v>9453</v>
      </c>
      <c r="M684" s="8" t="s">
        <v>27</v>
      </c>
      <c r="N684" s="8" t="s">
        <v>2211</v>
      </c>
      <c r="O684" s="8" t="s">
        <v>404</v>
      </c>
      <c r="P684" s="8" t="s">
        <v>405</v>
      </c>
      <c r="Q684" s="12" t="str">
        <f>HYPERLINK("http://www.wpxi.com/news/news/local/troopers-shoot-person-inside-grocery-store/nmMF2/","http://www.wpxi.com/news/news/local/troopers-shoot-person-inside-grocery-store/nmMF2/")</f>
        <v>http://www.wpxi.com/news/news/local/troopers-shoot-person-inside-grocery-store/nmMF2/</v>
      </c>
      <c r="R684" s="8" t="s">
        <v>100</v>
      </c>
      <c r="S684" s="7" t="s">
        <v>18</v>
      </c>
      <c r="T684" s="6"/>
      <c r="U684" s="8"/>
    </row>
    <row r="685" spans="1:34" ht="13.5" customHeight="1">
      <c r="A685" s="8" t="s">
        <v>2248</v>
      </c>
      <c r="B685" s="16">
        <v>53</v>
      </c>
      <c r="C685" s="8" t="s">
        <v>20</v>
      </c>
      <c r="D685" s="8" t="s">
        <v>37</v>
      </c>
      <c r="E685" s="8" t="s">
        <v>2249</v>
      </c>
      <c r="F685" s="17">
        <v>42145</v>
      </c>
      <c r="G685" s="8" t="s">
        <v>2250</v>
      </c>
      <c r="H685" s="8" t="s">
        <v>2251</v>
      </c>
      <c r="I685" s="8" t="s">
        <v>62</v>
      </c>
      <c r="J685" s="16" t="s">
        <v>2252</v>
      </c>
      <c r="K685" s="2" t="s">
        <v>2253</v>
      </c>
      <c r="L685" s="8" t="s">
        <v>5557</v>
      </c>
      <c r="M685" s="8" t="s">
        <v>27</v>
      </c>
      <c r="N685" s="8" t="s">
        <v>2254</v>
      </c>
      <c r="O685" s="8" t="s">
        <v>1018</v>
      </c>
      <c r="P685" s="8" t="s">
        <v>405</v>
      </c>
      <c r="Q685" s="12" t="str">
        <f>HYPERLINK("http://jacksonville.com/news/crime/2015-05-21/story/suspect-shot-deputies-st-augustine-beach-has-died","http://jacksonville.com/news/crime/2015-05-21/story/suspect-shot-deputies-st-augustine-beach-has-died")</f>
        <v>http://jacksonville.com/news/crime/2015-05-21/story/suspect-shot-deputies-st-augustine-beach-has-died</v>
      </c>
      <c r="R685" s="8" t="s">
        <v>559</v>
      </c>
      <c r="S685" s="7" t="s">
        <v>28</v>
      </c>
      <c r="T685" s="6"/>
      <c r="U685" s="8"/>
    </row>
    <row r="686" spans="1:34" ht="13.5" customHeight="1">
      <c r="A686" s="8" t="s">
        <v>2225</v>
      </c>
      <c r="B686" s="16">
        <v>38</v>
      </c>
      <c r="C686" s="8" t="s">
        <v>20</v>
      </c>
      <c r="D686" s="8" t="s">
        <v>85</v>
      </c>
      <c r="E686" s="8" t="s">
        <v>2226</v>
      </c>
      <c r="F686" s="17">
        <v>42145</v>
      </c>
      <c r="G686" s="8" t="s">
        <v>2227</v>
      </c>
      <c r="H686" s="8" t="s">
        <v>2228</v>
      </c>
      <c r="I686" s="8" t="s">
        <v>319</v>
      </c>
      <c r="J686" s="16" t="s">
        <v>2229</v>
      </c>
      <c r="K686" s="2" t="s">
        <v>2230</v>
      </c>
      <c r="L686" s="8" t="s">
        <v>2231</v>
      </c>
      <c r="M686" s="8" t="s">
        <v>27</v>
      </c>
      <c r="N686" s="8" t="s">
        <v>2232</v>
      </c>
      <c r="O686" s="8" t="s">
        <v>1018</v>
      </c>
      <c r="P686" s="8" t="s">
        <v>405</v>
      </c>
      <c r="Q686" s="12" t="str">
        <f>HYPERLINK("http://www.wave3.com/story/29120867/shooting-investigation-in-owensboro","http://www.wave3.com/story/29120867/shooting-investigation-in-owensboro")</f>
        <v>http://www.wave3.com/story/29120867/shooting-investigation-in-owensboro</v>
      </c>
      <c r="R686" s="8" t="s">
        <v>100</v>
      </c>
      <c r="S686" s="7" t="s">
        <v>28</v>
      </c>
      <c r="T686" s="6"/>
      <c r="U686" s="8"/>
    </row>
    <row r="687" spans="1:34" ht="13.5" customHeight="1">
      <c r="A687" s="8" t="s">
        <v>2244</v>
      </c>
      <c r="B687" s="16">
        <v>22</v>
      </c>
      <c r="C687" s="8" t="s">
        <v>20</v>
      </c>
      <c r="D687" s="8" t="s">
        <v>48</v>
      </c>
      <c r="F687" s="17">
        <v>42145</v>
      </c>
      <c r="G687" s="8" t="s">
        <v>2245</v>
      </c>
      <c r="H687" s="8" t="s">
        <v>865</v>
      </c>
      <c r="I687" s="8" t="s">
        <v>73</v>
      </c>
      <c r="J687" s="16" t="s">
        <v>2246</v>
      </c>
      <c r="K687" s="2" t="s">
        <v>865</v>
      </c>
      <c r="L687" s="8" t="s">
        <v>866</v>
      </c>
      <c r="M687" s="8" t="s">
        <v>27</v>
      </c>
      <c r="N687" s="8" t="s">
        <v>2247</v>
      </c>
      <c r="O687" s="8" t="s">
        <v>554</v>
      </c>
      <c r="P687" s="8" t="s">
        <v>405</v>
      </c>
      <c r="Q687" s="12" t="str">
        <f>HYPERLINK("http://www.elpasotimes.com/latestnews/ci_28159979/officer-involved-shooting-northeast-el-paso","http://www.elpasotimes.com/latestnews/ci_28159979/officer-involved-shooting-northeast-el-paso")</f>
        <v>http://www.elpasotimes.com/latestnews/ci_28159979/officer-involved-shooting-northeast-el-paso</v>
      </c>
      <c r="R687" s="8" t="s">
        <v>559</v>
      </c>
      <c r="S687" s="7" t="s">
        <v>28</v>
      </c>
      <c r="T687" s="6"/>
      <c r="U687" s="8"/>
    </row>
    <row r="688" spans="1:34" ht="13.5" customHeight="1">
      <c r="A688" s="8" t="s">
        <v>2240</v>
      </c>
      <c r="B688" s="16">
        <v>24</v>
      </c>
      <c r="C688" s="8" t="s">
        <v>20</v>
      </c>
      <c r="D688" s="8" t="s">
        <v>48</v>
      </c>
      <c r="E688" s="8" t="s">
        <v>2241</v>
      </c>
      <c r="F688" s="17">
        <v>42145</v>
      </c>
      <c r="G688" s="8" t="s">
        <v>2242</v>
      </c>
      <c r="H688" s="8" t="s">
        <v>1848</v>
      </c>
      <c r="I688" s="8" t="s">
        <v>81</v>
      </c>
      <c r="J688" s="16" t="s">
        <v>1849</v>
      </c>
      <c r="K688" s="2" t="s">
        <v>1850</v>
      </c>
      <c r="L688" s="8" t="s">
        <v>1851</v>
      </c>
      <c r="M688" s="8" t="s">
        <v>27</v>
      </c>
      <c r="N688" s="8" t="s">
        <v>2243</v>
      </c>
      <c r="O688" s="8" t="s">
        <v>1018</v>
      </c>
      <c r="P688" s="8" t="s">
        <v>405</v>
      </c>
      <c r="Q688" s="12"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688" s="8" t="s">
        <v>100</v>
      </c>
      <c r="S688" s="7" t="s">
        <v>28</v>
      </c>
      <c r="T688" s="6"/>
      <c r="U688" s="8"/>
    </row>
    <row r="689" spans="1:34" ht="13.5" customHeight="1">
      <c r="A689" s="8" t="s">
        <v>2255</v>
      </c>
      <c r="B689" s="16">
        <v>43</v>
      </c>
      <c r="C689" s="8" t="s">
        <v>20</v>
      </c>
      <c r="D689" s="8" t="s">
        <v>37</v>
      </c>
      <c r="E689" s="8" t="s">
        <v>2256</v>
      </c>
      <c r="F689" s="17">
        <v>42145</v>
      </c>
      <c r="G689" s="8" t="s">
        <v>2257</v>
      </c>
      <c r="H689" s="8" t="s">
        <v>2236</v>
      </c>
      <c r="I689" s="8" t="s">
        <v>32</v>
      </c>
      <c r="J689" s="16" t="s">
        <v>2258</v>
      </c>
      <c r="K689" s="2" t="s">
        <v>2236</v>
      </c>
      <c r="L689" s="8" t="s">
        <v>2259</v>
      </c>
      <c r="M689" s="8" t="s">
        <v>27</v>
      </c>
      <c r="N689" s="8" t="s">
        <v>2260</v>
      </c>
      <c r="O689" s="8" t="s">
        <v>1018</v>
      </c>
      <c r="P689" s="8" t="s">
        <v>405</v>
      </c>
      <c r="Q689" s="12"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689" s="8" t="s">
        <v>100</v>
      </c>
      <c r="S689" s="7" t="s">
        <v>28</v>
      </c>
      <c r="T689" s="6"/>
      <c r="U689" s="8"/>
    </row>
    <row r="690" spans="1:34" ht="13.5" customHeight="1">
      <c r="A690" s="8" t="s">
        <v>2218</v>
      </c>
      <c r="B690" s="16">
        <v>29</v>
      </c>
      <c r="C690" s="8" t="s">
        <v>20</v>
      </c>
      <c r="D690" s="8" t="s">
        <v>85</v>
      </c>
      <c r="E690" s="8" t="s">
        <v>2219</v>
      </c>
      <c r="F690" s="17">
        <v>42145</v>
      </c>
      <c r="G690" s="8" t="s">
        <v>2220</v>
      </c>
      <c r="H690" s="8" t="s">
        <v>2215</v>
      </c>
      <c r="I690" s="8" t="s">
        <v>62</v>
      </c>
      <c r="J690" s="16" t="s">
        <v>2221</v>
      </c>
      <c r="K690" s="2" t="s">
        <v>1134</v>
      </c>
      <c r="L690" s="8" t="s">
        <v>2222</v>
      </c>
      <c r="M690" s="8" t="s">
        <v>27</v>
      </c>
      <c r="N690" s="8" t="s">
        <v>2223</v>
      </c>
      <c r="O690" s="8" t="s">
        <v>1018</v>
      </c>
      <c r="P690" s="8" t="s">
        <v>405</v>
      </c>
      <c r="Q690" s="12" t="str">
        <f>HYPERLINK("http://www.wsvn.com/story/29128211/man-dead-after-barricading-himself-inside-fort-lauderdale-home","http://www.wsvn.com/story/29128211/man-dead-after-barricading-himself-inside-fort-lauderdale-home")</f>
        <v>http://www.wsvn.com/story/29128211/man-dead-after-barricading-himself-inside-fort-lauderdale-home</v>
      </c>
      <c r="R690" s="8" t="s">
        <v>2224</v>
      </c>
      <c r="S690" s="7" t="s">
        <v>28</v>
      </c>
      <c r="T690" s="6"/>
      <c r="U690" s="8"/>
    </row>
    <row r="691" spans="1:34" ht="13.5" customHeight="1">
      <c r="A691" s="8" t="s">
        <v>2233</v>
      </c>
      <c r="B691" s="16">
        <v>32</v>
      </c>
      <c r="C691" s="8" t="s">
        <v>20</v>
      </c>
      <c r="D691" s="8" t="s">
        <v>85</v>
      </c>
      <c r="E691" s="8" t="s">
        <v>2234</v>
      </c>
      <c r="F691" s="17">
        <v>42145</v>
      </c>
      <c r="G691" s="8" t="s">
        <v>2235</v>
      </c>
      <c r="H691" s="8" t="s">
        <v>2236</v>
      </c>
      <c r="I691" s="8" t="s">
        <v>32</v>
      </c>
      <c r="J691" s="16" t="s">
        <v>2237</v>
      </c>
      <c r="K691" s="2" t="s">
        <v>2236</v>
      </c>
      <c r="L691" s="8" t="s">
        <v>2238</v>
      </c>
      <c r="M691" s="8" t="s">
        <v>27</v>
      </c>
      <c r="N691" s="8" t="s">
        <v>2239</v>
      </c>
      <c r="O691" s="8" t="s">
        <v>1018</v>
      </c>
      <c r="P691" s="8" t="s">
        <v>405</v>
      </c>
      <c r="Q691" s="12"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691" s="8" t="s">
        <v>100</v>
      </c>
      <c r="S691" s="7" t="s">
        <v>28</v>
      </c>
      <c r="T691" s="6"/>
      <c r="U691" s="8"/>
    </row>
    <row r="692" spans="1:34" ht="13.5" customHeight="1">
      <c r="A692" s="8" t="s">
        <v>2212</v>
      </c>
      <c r="B692" s="16">
        <v>26</v>
      </c>
      <c r="C692" s="8" t="s">
        <v>20</v>
      </c>
      <c r="D692" s="8" t="s">
        <v>85</v>
      </c>
      <c r="E692" s="8" t="s">
        <v>2213</v>
      </c>
      <c r="F692" s="17">
        <v>42145</v>
      </c>
      <c r="G692" s="8" t="s">
        <v>2214</v>
      </c>
      <c r="H692" s="8" t="s">
        <v>2215</v>
      </c>
      <c r="I692" s="8" t="s">
        <v>62</v>
      </c>
      <c r="J692" s="16" t="s">
        <v>2216</v>
      </c>
      <c r="K692" s="2" t="s">
        <v>1134</v>
      </c>
      <c r="L692" s="8" t="s">
        <v>4438</v>
      </c>
      <c r="M692" s="8" t="s">
        <v>29</v>
      </c>
      <c r="N692" s="8" t="s">
        <v>2217</v>
      </c>
      <c r="O692" s="8" t="s">
        <v>1018</v>
      </c>
      <c r="P692" s="8" t="s">
        <v>405</v>
      </c>
      <c r="Q692" s="12" t="str">
        <f>HYPERLINK("http://www.local10.com/news/markus-clark-dies-at-florida-medical-center-after-arrest/33152392","http://www.local10.com/news/markus-clark-dies-at-florida-medical-center-after-arrest/33152392")</f>
        <v>http://www.local10.com/news/markus-clark-dies-at-florida-medical-center-after-arrest/33152392</v>
      </c>
      <c r="R692" s="8" t="s">
        <v>29</v>
      </c>
      <c r="S692" s="7" t="s">
        <v>18</v>
      </c>
      <c r="T692" s="6"/>
      <c r="U692" s="8"/>
    </row>
    <row r="693" spans="1:34" ht="13.5" customHeight="1">
      <c r="A693" s="8" t="s">
        <v>2261</v>
      </c>
      <c r="B693" s="16">
        <v>39</v>
      </c>
      <c r="C693" s="8" t="s">
        <v>115</v>
      </c>
      <c r="D693" s="8" t="s">
        <v>37</v>
      </c>
      <c r="E693" s="8" t="s">
        <v>2262</v>
      </c>
      <c r="F693" s="17">
        <v>42145</v>
      </c>
      <c r="G693" s="8" t="s">
        <v>2263</v>
      </c>
      <c r="H693" s="8" t="s">
        <v>2264</v>
      </c>
      <c r="I693" s="8" t="s">
        <v>1092</v>
      </c>
      <c r="J693" s="16" t="s">
        <v>2265</v>
      </c>
      <c r="K693" s="2" t="s">
        <v>2266</v>
      </c>
      <c r="L693" s="8" t="s">
        <v>2267</v>
      </c>
      <c r="M693" s="8" t="s">
        <v>27</v>
      </c>
      <c r="N693" s="8" t="s">
        <v>2268</v>
      </c>
      <c r="O693" s="8" t="s">
        <v>404</v>
      </c>
      <c r="P693" s="8" t="s">
        <v>405</v>
      </c>
      <c r="Q693" s="12" t="str">
        <f>HYPERLINK("http://www.gillettenewsrecord.com/news/local/article_8ce9749e-ffea-11e4-b7e5-5f207815da4f.html","http://www.gillettenewsrecord.com/news/local/article_8ce9749e-ffea-11e4-b7e5-5f207815da4f.html")</f>
        <v>http://www.gillettenewsrecord.com/news/local/article_8ce9749e-ffea-11e4-b7e5-5f207815da4f.html</v>
      </c>
      <c r="R693" s="8" t="s">
        <v>100</v>
      </c>
      <c r="S693" s="7" t="s">
        <v>28</v>
      </c>
      <c r="T693" s="6"/>
      <c r="U693" s="8"/>
    </row>
    <row r="694" spans="1:34" ht="13.5" customHeight="1">
      <c r="A694" s="8" t="s">
        <v>2283</v>
      </c>
      <c r="B694" s="16">
        <v>52</v>
      </c>
      <c r="C694" s="8" t="s">
        <v>20</v>
      </c>
      <c r="D694" s="8" t="s">
        <v>37</v>
      </c>
      <c r="E694" s="8" t="s">
        <v>2284</v>
      </c>
      <c r="F694" s="17">
        <v>42144</v>
      </c>
      <c r="G694" s="8" t="s">
        <v>2285</v>
      </c>
      <c r="H694" s="8" t="s">
        <v>1116</v>
      </c>
      <c r="I694" s="8" t="s">
        <v>69</v>
      </c>
      <c r="J694" s="16" t="s">
        <v>2286</v>
      </c>
      <c r="K694" s="2" t="s">
        <v>2287</v>
      </c>
      <c r="L694" s="8" t="s">
        <v>2288</v>
      </c>
      <c r="M694" s="8" t="s">
        <v>27</v>
      </c>
      <c r="N694" s="8" t="s">
        <v>2289</v>
      </c>
      <c r="O694" s="8" t="s">
        <v>1018</v>
      </c>
      <c r="P694" s="8" t="s">
        <v>405</v>
      </c>
      <c r="Q694" s="12"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694" s="8" t="s">
        <v>100</v>
      </c>
      <c r="S694" s="7" t="s">
        <v>28</v>
      </c>
      <c r="T694" s="6"/>
      <c r="U694" s="8"/>
    </row>
    <row r="695" spans="1:34" ht="13.5" customHeight="1">
      <c r="A695" s="8" t="s">
        <v>2275</v>
      </c>
      <c r="B695" s="16">
        <v>35</v>
      </c>
      <c r="C695" s="8" t="s">
        <v>20</v>
      </c>
      <c r="D695" s="8" t="s">
        <v>37</v>
      </c>
      <c r="E695" s="8" t="s">
        <v>2276</v>
      </c>
      <c r="F695" s="17">
        <v>42144</v>
      </c>
      <c r="G695" s="8" t="s">
        <v>2277</v>
      </c>
      <c r="H695" s="8" t="s">
        <v>2278</v>
      </c>
      <c r="I695" s="8" t="s">
        <v>986</v>
      </c>
      <c r="J695" s="16" t="s">
        <v>2279</v>
      </c>
      <c r="K695" s="2" t="s">
        <v>2280</v>
      </c>
      <c r="L695" s="8" t="s">
        <v>2281</v>
      </c>
      <c r="M695" s="8" t="s">
        <v>27</v>
      </c>
      <c r="N695" s="8" t="s">
        <v>2282</v>
      </c>
      <c r="O695" s="8" t="s">
        <v>1018</v>
      </c>
      <c r="P695" s="8" t="s">
        <v>405</v>
      </c>
      <c r="Q695" s="12" t="str">
        <f>HYPERLINK("http://www.thv11.com/story/news/crime/2015/05/19/police-respond-to-cabot-shooting/27627629/","http://www.thv11.com/story/news/crime/2015/05/19/police-respond-to-cabot-shooting/27627629/")</f>
        <v>http://www.thv11.com/story/news/crime/2015/05/19/police-respond-to-cabot-shooting/27627629/</v>
      </c>
      <c r="R695" s="8" t="s">
        <v>100</v>
      </c>
      <c r="S695" s="7" t="s">
        <v>28</v>
      </c>
      <c r="T695" s="6"/>
      <c r="U695" s="8"/>
    </row>
    <row r="696" spans="1:34" ht="13.5" customHeight="1">
      <c r="A696" s="8" t="s">
        <v>2269</v>
      </c>
      <c r="B696" s="16">
        <v>26</v>
      </c>
      <c r="C696" s="8" t="s">
        <v>20</v>
      </c>
      <c r="D696" s="8" t="s">
        <v>85</v>
      </c>
      <c r="E696" s="8" t="s">
        <v>2270</v>
      </c>
      <c r="F696" s="17">
        <v>42144</v>
      </c>
      <c r="G696" s="8" t="s">
        <v>2271</v>
      </c>
      <c r="H696" s="8" t="s">
        <v>1643</v>
      </c>
      <c r="I696" s="8" t="s">
        <v>467</v>
      </c>
      <c r="J696" s="16" t="s">
        <v>2272</v>
      </c>
      <c r="K696" s="2" t="s">
        <v>946</v>
      </c>
      <c r="L696" s="8" t="s">
        <v>2273</v>
      </c>
      <c r="M696" s="8" t="s">
        <v>27</v>
      </c>
      <c r="N696" s="8" t="s">
        <v>2274</v>
      </c>
      <c r="O696" s="8" t="s">
        <v>554</v>
      </c>
      <c r="P696" s="8" t="s">
        <v>405</v>
      </c>
      <c r="Q696" s="12" t="str">
        <f>HYPERLINK("http://www.wowt.com/home/headlines/Police-Officer-Shot-304450711.html?ref=711","http://www.wowt.com/home/headlines/Police-Officer-Shot-304450711.html?ref=711")</f>
        <v>http://www.wowt.com/home/headlines/Police-Officer-Shot-304450711.html?ref=711</v>
      </c>
      <c r="R696" s="8" t="s">
        <v>100</v>
      </c>
      <c r="S696" s="7" t="s">
        <v>28</v>
      </c>
      <c r="T696" s="6"/>
      <c r="U696" s="8"/>
    </row>
    <row r="697" spans="1:34" ht="13.5" customHeight="1">
      <c r="A697" s="8" t="s">
        <v>2296</v>
      </c>
      <c r="B697" s="16">
        <v>54</v>
      </c>
      <c r="C697" s="8" t="s">
        <v>20</v>
      </c>
      <c r="D697" s="8" t="s">
        <v>48</v>
      </c>
      <c r="F697" s="17">
        <v>42143</v>
      </c>
      <c r="G697" s="8" t="s">
        <v>2297</v>
      </c>
      <c r="H697" s="8" t="s">
        <v>851</v>
      </c>
      <c r="I697" s="8" t="s">
        <v>247</v>
      </c>
      <c r="J697" s="16" t="s">
        <v>2298</v>
      </c>
      <c r="K697" s="2" t="s">
        <v>851</v>
      </c>
      <c r="L697" s="8" t="s">
        <v>21101</v>
      </c>
      <c r="M697" s="8" t="s">
        <v>27</v>
      </c>
      <c r="N697" s="8" t="s">
        <v>2299</v>
      </c>
      <c r="O697" s="8" t="s">
        <v>404</v>
      </c>
      <c r="P697" s="8" t="s">
        <v>405</v>
      </c>
      <c r="Q697" s="12" t="str">
        <f>HYPERLINK("http://www.arlnow.com/2015/05/19/breaking-officer-involved-shooting-in-buckingham/","http://www.arlnow.com/2015/05/19/breaking-officer-involved-shooting-in-buckingham/")</f>
        <v>http://www.arlnow.com/2015/05/19/breaking-officer-involved-shooting-in-buckingham/</v>
      </c>
      <c r="R697" s="8" t="s">
        <v>2300</v>
      </c>
      <c r="S697" s="7" t="s">
        <v>28</v>
      </c>
      <c r="T697" s="6"/>
      <c r="U697" s="8"/>
      <c r="Y697" s="8"/>
      <c r="Z697" s="8"/>
      <c r="AA697" s="8"/>
      <c r="AB697" s="8"/>
      <c r="AC697" s="8"/>
      <c r="AD697" s="8"/>
      <c r="AE697" s="8"/>
      <c r="AF697" s="8"/>
      <c r="AG697" s="8"/>
      <c r="AH697" s="8"/>
    </row>
    <row r="698" spans="1:34" ht="13.5" customHeight="1">
      <c r="A698" s="8" t="s">
        <v>2290</v>
      </c>
      <c r="B698" s="16">
        <v>29</v>
      </c>
      <c r="C698" s="8" t="s">
        <v>20</v>
      </c>
      <c r="D698" s="8" t="s">
        <v>85</v>
      </c>
      <c r="E698" s="8" t="s">
        <v>2291</v>
      </c>
      <c r="F698" s="17">
        <v>42143</v>
      </c>
      <c r="G698" s="8" t="s">
        <v>2292</v>
      </c>
      <c r="H698" s="8" t="s">
        <v>1507</v>
      </c>
      <c r="I698" s="8" t="s">
        <v>408</v>
      </c>
      <c r="J698" s="16" t="s">
        <v>2293</v>
      </c>
      <c r="K698" s="2" t="s">
        <v>1507</v>
      </c>
      <c r="L698" s="8" t="s">
        <v>2294</v>
      </c>
      <c r="M698" s="8" t="s">
        <v>27</v>
      </c>
      <c r="N698" s="8" t="s">
        <v>2295</v>
      </c>
      <c r="O698" s="8" t="s">
        <v>1018</v>
      </c>
      <c r="P698" s="8" t="s">
        <v>405</v>
      </c>
      <c r="Q698" s="12" t="str">
        <f>HYPERLINK("http://www.wgal.com/news/breaking-news-officer-shot-in-lancaster/33104470","http://www.wgal.com/news/breaking-news-officer-shot-in-lancaster/33104470")</f>
        <v>http://www.wgal.com/news/breaking-news-officer-shot-in-lancaster/33104470</v>
      </c>
      <c r="R698" s="8" t="s">
        <v>100</v>
      </c>
      <c r="S698" s="7" t="s">
        <v>28</v>
      </c>
      <c r="T698" s="6"/>
      <c r="U698" s="8"/>
    </row>
    <row r="699" spans="1:34" ht="13.5" customHeight="1">
      <c r="A699" s="8" t="s">
        <v>2308</v>
      </c>
      <c r="B699" s="16">
        <v>46</v>
      </c>
      <c r="C699" s="8" t="s">
        <v>20</v>
      </c>
      <c r="D699" s="8" t="s">
        <v>37</v>
      </c>
      <c r="E699" s="8" t="s">
        <v>2309</v>
      </c>
      <c r="F699" s="17">
        <v>42143</v>
      </c>
      <c r="G699" s="8" t="s">
        <v>2310</v>
      </c>
      <c r="H699" s="8" t="s">
        <v>1332</v>
      </c>
      <c r="I699" s="8" t="s">
        <v>1092</v>
      </c>
      <c r="L699" s="8" t="s">
        <v>2311</v>
      </c>
      <c r="M699" s="8" t="s">
        <v>2312</v>
      </c>
      <c r="P699" s="8" t="s">
        <v>405</v>
      </c>
      <c r="Q699" s="12" t="str">
        <f>HYPERLINK("http://k2radio.com/inmate-fought-deputies-before-dying-affidavit-details-bin-williams-last-days/","http://k2radio.com/inmate-fought-deputies-before-dying-affidavit-details-bin-williams-last-days/")</f>
        <v>http://k2radio.com/inmate-fought-deputies-before-dying-affidavit-details-bin-williams-last-days/</v>
      </c>
      <c r="S699" s="7" t="s">
        <v>18</v>
      </c>
      <c r="T699" s="6"/>
      <c r="U699" s="8"/>
    </row>
    <row r="700" spans="1:34" ht="13.5" customHeight="1">
      <c r="A700" s="8" t="s">
        <v>2301</v>
      </c>
      <c r="B700" s="16">
        <v>17</v>
      </c>
      <c r="C700" s="8" t="s">
        <v>20</v>
      </c>
      <c r="D700" s="8" t="s">
        <v>37</v>
      </c>
      <c r="F700" s="17">
        <v>42143</v>
      </c>
      <c r="G700" s="8" t="s">
        <v>2302</v>
      </c>
      <c r="H700" s="8" t="s">
        <v>2303</v>
      </c>
      <c r="I700" s="8" t="s">
        <v>212</v>
      </c>
      <c r="J700" s="16" t="s">
        <v>2304</v>
      </c>
      <c r="K700" s="2" t="s">
        <v>1442</v>
      </c>
      <c r="L700" s="8" t="s">
        <v>2305</v>
      </c>
      <c r="M700" s="8" t="s">
        <v>27</v>
      </c>
      <c r="N700" s="8" t="s">
        <v>2306</v>
      </c>
      <c r="O700" s="8" t="s">
        <v>404</v>
      </c>
      <c r="P700" s="8" t="s">
        <v>405</v>
      </c>
      <c r="Q700" s="12"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700" s="8" t="s">
        <v>2307</v>
      </c>
      <c r="S700" s="7" t="s">
        <v>28</v>
      </c>
      <c r="T700" s="6"/>
      <c r="U700" s="8"/>
    </row>
    <row r="701" spans="1:34" ht="13.5" customHeight="1">
      <c r="A701" s="8" t="s">
        <v>2326</v>
      </c>
      <c r="B701" s="16">
        <v>18</v>
      </c>
      <c r="C701" s="8" t="s">
        <v>20</v>
      </c>
      <c r="D701" s="8" t="s">
        <v>37</v>
      </c>
      <c r="E701" s="8" t="s">
        <v>2327</v>
      </c>
      <c r="F701" s="17">
        <v>42141</v>
      </c>
      <c r="G701" s="8" t="s">
        <v>2328</v>
      </c>
      <c r="H701" s="8" t="s">
        <v>2329</v>
      </c>
      <c r="I701" s="8" t="s">
        <v>62</v>
      </c>
      <c r="J701" s="16" t="s">
        <v>2330</v>
      </c>
      <c r="K701" s="2" t="s">
        <v>2331</v>
      </c>
      <c r="L701" s="8" t="s">
        <v>2332</v>
      </c>
      <c r="M701" s="8" t="s">
        <v>27</v>
      </c>
      <c r="N701" s="8" t="s">
        <v>2333</v>
      </c>
      <c r="O701" s="8" t="s">
        <v>1018</v>
      </c>
      <c r="P701" s="8" t="s">
        <v>405</v>
      </c>
      <c r="Q701" s="12"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701" s="8" t="s">
        <v>559</v>
      </c>
      <c r="S701" s="7" t="s">
        <v>28</v>
      </c>
      <c r="T701" s="6"/>
      <c r="U701" s="8"/>
    </row>
    <row r="702" spans="1:34" ht="13.5" customHeight="1">
      <c r="A702" s="8" t="s">
        <v>2320</v>
      </c>
      <c r="B702" s="16">
        <v>34</v>
      </c>
      <c r="C702" s="8" t="s">
        <v>20</v>
      </c>
      <c r="D702" s="8" t="s">
        <v>37</v>
      </c>
      <c r="E702" s="8" t="s">
        <v>2321</v>
      </c>
      <c r="F702" s="17">
        <v>42141</v>
      </c>
      <c r="G702" s="8" t="s">
        <v>2322</v>
      </c>
      <c r="H702" s="8" t="s">
        <v>158</v>
      </c>
      <c r="I702" s="8" t="s">
        <v>45</v>
      </c>
      <c r="J702" s="16" t="s">
        <v>2323</v>
      </c>
      <c r="K702" s="2" t="s">
        <v>158</v>
      </c>
      <c r="L702" s="8" t="s">
        <v>159</v>
      </c>
      <c r="M702" s="8" t="s">
        <v>27</v>
      </c>
      <c r="N702" s="8" t="s">
        <v>2324</v>
      </c>
      <c r="O702" s="8" t="s">
        <v>404</v>
      </c>
      <c r="P702" s="8" t="s">
        <v>405</v>
      </c>
      <c r="Q702" s="12" t="str">
        <f>HYPERLINK("http://www.utsandiego.com/news/2015/may/17/sdpd-ois-officer-shot-kearny-mesa-hospital/","http://www.utsandiego.com/news/2015/may/17/sdpd-ois-officer-shot-kearny-mesa-hospital/")</f>
        <v>http://www.utsandiego.com/news/2015/may/17/sdpd-ois-officer-shot-kearny-mesa-hospital/</v>
      </c>
      <c r="R702" s="8" t="s">
        <v>2325</v>
      </c>
      <c r="S702" s="7" t="s">
        <v>28</v>
      </c>
      <c r="T702" s="6"/>
      <c r="U702" s="8"/>
    </row>
    <row r="703" spans="1:34" ht="13.5" customHeight="1">
      <c r="A703" s="8" t="s">
        <v>2313</v>
      </c>
      <c r="B703" s="16">
        <v>45</v>
      </c>
      <c r="C703" s="8" t="s">
        <v>20</v>
      </c>
      <c r="D703" s="8" t="s">
        <v>85</v>
      </c>
      <c r="E703" s="8" t="s">
        <v>2314</v>
      </c>
      <c r="F703" s="17">
        <v>42141</v>
      </c>
      <c r="G703" s="8" t="s">
        <v>2315</v>
      </c>
      <c r="H703" s="8" t="s">
        <v>2316</v>
      </c>
      <c r="I703" s="8" t="s">
        <v>44</v>
      </c>
      <c r="J703" s="16" t="s">
        <v>2317</v>
      </c>
      <c r="K703" s="2" t="s">
        <v>88</v>
      </c>
      <c r="L703" s="8" t="s">
        <v>2318</v>
      </c>
      <c r="M703" s="8" t="s">
        <v>27</v>
      </c>
      <c r="N703" s="8" t="s">
        <v>2319</v>
      </c>
      <c r="O703" s="8" t="s">
        <v>1018</v>
      </c>
      <c r="P703" s="8" t="s">
        <v>405</v>
      </c>
      <c r="Q703" s="12"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703" s="8" t="s">
        <v>100</v>
      </c>
      <c r="S703" s="7" t="s">
        <v>28</v>
      </c>
      <c r="T703" s="6"/>
      <c r="U703" s="8"/>
    </row>
    <row r="704" spans="1:34" ht="13.5" customHeight="1">
      <c r="A704" s="8" t="s">
        <v>2334</v>
      </c>
      <c r="B704" s="16">
        <v>27</v>
      </c>
      <c r="C704" s="8" t="s">
        <v>20</v>
      </c>
      <c r="D704" s="8" t="s">
        <v>37</v>
      </c>
      <c r="E704" s="8" t="s">
        <v>2335</v>
      </c>
      <c r="F704" s="17">
        <v>42141</v>
      </c>
      <c r="G704" s="8" t="s">
        <v>2336</v>
      </c>
      <c r="H704" s="8" t="s">
        <v>2337</v>
      </c>
      <c r="I704" s="8" t="s">
        <v>198</v>
      </c>
      <c r="J704" s="16" t="s">
        <v>2338</v>
      </c>
      <c r="K704" s="2" t="s">
        <v>2339</v>
      </c>
      <c r="L704" s="8" t="s">
        <v>2340</v>
      </c>
      <c r="M704" s="8" t="s">
        <v>27</v>
      </c>
      <c r="N704" s="8" t="s">
        <v>2341</v>
      </c>
      <c r="O704" s="8" t="s">
        <v>404</v>
      </c>
      <c r="P704" s="8" t="s">
        <v>405</v>
      </c>
      <c r="Q704" s="12" t="str">
        <f>HYPERLINK("http://www.kob.com/article/stories/s3798987.shtml#.VVkL0zY4nTY","http://www.kob.com/article/stories/s3798987.shtml#.VVkL0zY4nTY")</f>
        <v>http://www.kob.com/article/stories/s3798987.shtml#.VVkL0zY4nTY</v>
      </c>
      <c r="R704" s="8" t="s">
        <v>100</v>
      </c>
      <c r="S704" s="7" t="s">
        <v>28</v>
      </c>
      <c r="T704" s="6"/>
      <c r="U704" s="8"/>
    </row>
    <row r="705" spans="1:39" ht="13.5" customHeight="1">
      <c r="A705" s="8" t="s">
        <v>2342</v>
      </c>
      <c r="B705" s="16">
        <v>42</v>
      </c>
      <c r="C705" s="8" t="s">
        <v>20</v>
      </c>
      <c r="D705" s="8" t="s">
        <v>37</v>
      </c>
      <c r="E705" s="8" t="s">
        <v>2343</v>
      </c>
      <c r="F705" s="17">
        <v>42140</v>
      </c>
      <c r="G705" s="8" t="s">
        <v>2344</v>
      </c>
      <c r="H705" s="8" t="s">
        <v>1658</v>
      </c>
      <c r="I705" s="8" t="s">
        <v>45</v>
      </c>
      <c r="J705" s="16" t="s">
        <v>2345</v>
      </c>
      <c r="K705" s="2" t="s">
        <v>1658</v>
      </c>
      <c r="L705" s="8" t="s">
        <v>2346</v>
      </c>
      <c r="M705" s="8" t="s">
        <v>27</v>
      </c>
      <c r="N705" s="8" t="s">
        <v>2347</v>
      </c>
      <c r="O705" s="8" t="s">
        <v>1018</v>
      </c>
      <c r="P705" s="8" t="s">
        <v>405</v>
      </c>
      <c r="Q705" s="12"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705" s="8" t="s">
        <v>2348</v>
      </c>
      <c r="S705" s="7" t="s">
        <v>18</v>
      </c>
      <c r="T705" s="6"/>
      <c r="U705" s="8"/>
    </row>
    <row r="706" spans="1:39" ht="13.5" customHeight="1">
      <c r="A706" s="8" t="s">
        <v>2349</v>
      </c>
      <c r="B706" s="16">
        <v>40</v>
      </c>
      <c r="C706" s="8" t="s">
        <v>20</v>
      </c>
      <c r="D706" s="8" t="s">
        <v>48</v>
      </c>
      <c r="E706" s="8" t="s">
        <v>2350</v>
      </c>
      <c r="F706" s="17">
        <v>42139</v>
      </c>
      <c r="G706" s="8" t="s">
        <v>2351</v>
      </c>
      <c r="H706" s="8" t="s">
        <v>762</v>
      </c>
      <c r="I706" s="8" t="s">
        <v>427</v>
      </c>
      <c r="J706" s="16" t="s">
        <v>2352</v>
      </c>
      <c r="K706" s="2" t="s">
        <v>1861</v>
      </c>
      <c r="L706" s="8" t="s">
        <v>586</v>
      </c>
      <c r="M706" s="8" t="s">
        <v>29</v>
      </c>
      <c r="N706" s="8" t="s">
        <v>2353</v>
      </c>
      <c r="O706" s="8" t="s">
        <v>404</v>
      </c>
      <c r="P706" s="8" t="s">
        <v>405</v>
      </c>
      <c r="Q706" s="12" t="str">
        <f>HYPERLINK("http://www.nydailynews.com/new-york/bronx-man-died-custody-drinking-sources-article-1.2224115","http://www.nydailynews.com/new-york/bronx-man-died-custody-drinking-sources-article-1.2224115")</f>
        <v>http://www.nydailynews.com/new-york/bronx-man-died-custody-drinking-sources-article-1.2224115</v>
      </c>
      <c r="R706" s="8" t="s">
        <v>559</v>
      </c>
      <c r="S706" s="7" t="s">
        <v>18</v>
      </c>
      <c r="T706" s="6"/>
      <c r="U706" s="8"/>
    </row>
    <row r="707" spans="1:39" ht="13.5" customHeight="1">
      <c r="A707" s="8" t="s">
        <v>2354</v>
      </c>
      <c r="B707" s="16">
        <v>41</v>
      </c>
      <c r="C707" s="8" t="s">
        <v>20</v>
      </c>
      <c r="D707" s="8" t="s">
        <v>37</v>
      </c>
      <c r="E707" s="8" t="s">
        <v>2355</v>
      </c>
      <c r="F707" s="17">
        <v>42139</v>
      </c>
      <c r="G707" s="8" t="s">
        <v>2356</v>
      </c>
      <c r="H707" s="8" t="s">
        <v>2357</v>
      </c>
      <c r="I707" s="8" t="s">
        <v>44</v>
      </c>
      <c r="J707" s="16" t="s">
        <v>2358</v>
      </c>
      <c r="K707" s="2" t="s">
        <v>2359</v>
      </c>
      <c r="L707" s="8" t="s">
        <v>2360</v>
      </c>
      <c r="M707" s="8" t="s">
        <v>27</v>
      </c>
      <c r="N707" s="8" t="s">
        <v>2361</v>
      </c>
      <c r="O707" s="8" t="s">
        <v>404</v>
      </c>
      <c r="P707" s="8" t="s">
        <v>405</v>
      </c>
      <c r="Q707" s="12" t="str">
        <f>HYPERLINK("http://www.wrex.com/story/29079166/2015/05/15/officer-involved-shooting-in-rockford","http://www.wrex.com/story/29079166/2015/05/15/officer-involved-shooting-in-rockford")</f>
        <v>http://www.wrex.com/story/29079166/2015/05/15/officer-involved-shooting-in-rockford</v>
      </c>
      <c r="R707" s="8" t="s">
        <v>559</v>
      </c>
      <c r="S707" s="7" t="s">
        <v>28</v>
      </c>
      <c r="T707" s="6"/>
      <c r="U707" s="8"/>
    </row>
    <row r="708" spans="1:39" ht="13.5" customHeight="1">
      <c r="A708" s="8" t="s">
        <v>2362</v>
      </c>
      <c r="B708" s="16">
        <v>37</v>
      </c>
      <c r="C708" s="8" t="s">
        <v>20</v>
      </c>
      <c r="D708" s="8" t="s">
        <v>37</v>
      </c>
      <c r="F708" s="17">
        <v>42138</v>
      </c>
      <c r="G708" s="8" t="s">
        <v>2363</v>
      </c>
      <c r="H708" s="8" t="s">
        <v>2364</v>
      </c>
      <c r="I708" s="8" t="s">
        <v>57</v>
      </c>
      <c r="J708" s="16" t="s">
        <v>2365</v>
      </c>
      <c r="K708" s="2" t="s">
        <v>2366</v>
      </c>
      <c r="L708" s="8" t="s">
        <v>2367</v>
      </c>
      <c r="M708" s="8" t="s">
        <v>27</v>
      </c>
      <c r="N708" s="8" t="s">
        <v>2368</v>
      </c>
      <c r="O708" s="8" t="s">
        <v>1018</v>
      </c>
      <c r="P708" s="8" t="s">
        <v>405</v>
      </c>
      <c r="Q708" s="12" t="str">
        <f>HYPERLINK("http://www.mlive.com/news/kalamazoo/index.ssf/2015/05/police_kill_1_man_injure_anoth.html","http://www.mlive.com/news/kalamazoo/index.ssf/2015/05/police_kill_1_man_injure_anoth.html")</f>
        <v>http://www.mlive.com/news/kalamazoo/index.ssf/2015/05/police_kill_1_man_injure_anoth.html</v>
      </c>
      <c r="R708" s="8" t="s">
        <v>100</v>
      </c>
      <c r="S708" s="7" t="s">
        <v>28</v>
      </c>
      <c r="T708" s="6"/>
      <c r="U708" s="8"/>
    </row>
    <row r="709" spans="1:39" ht="13.5" customHeight="1">
      <c r="A709" s="8" t="s">
        <v>21084</v>
      </c>
      <c r="B709" s="16">
        <v>68</v>
      </c>
      <c r="C709" s="8" t="s">
        <v>20</v>
      </c>
      <c r="D709" s="8" t="s">
        <v>37</v>
      </c>
      <c r="F709" s="17">
        <v>42137</v>
      </c>
      <c r="G709" s="8" t="s">
        <v>21085</v>
      </c>
      <c r="H709" s="8" t="s">
        <v>21049</v>
      </c>
      <c r="I709" s="8" t="s">
        <v>370</v>
      </c>
      <c r="J709" s="16">
        <v>27106</v>
      </c>
      <c r="K709" s="2" t="s">
        <v>9466</v>
      </c>
      <c r="L709" s="2" t="s">
        <v>21046</v>
      </c>
      <c r="M709" s="2" t="s">
        <v>383</v>
      </c>
      <c r="N709" s="2" t="s">
        <v>21086</v>
      </c>
      <c r="O709" s="2" t="s">
        <v>1170</v>
      </c>
      <c r="P709" s="8" t="s">
        <v>1171</v>
      </c>
      <c r="Q709" s="12" t="s">
        <v>21087</v>
      </c>
      <c r="R709" s="8" t="s">
        <v>100</v>
      </c>
      <c r="S709" s="8" t="s">
        <v>383</v>
      </c>
      <c r="T709" s="8"/>
      <c r="U709" s="8"/>
      <c r="Y709" s="8"/>
      <c r="Z709" s="8"/>
      <c r="AA709" s="8"/>
      <c r="AB709" s="8"/>
      <c r="AC709" s="8"/>
      <c r="AD709" s="8"/>
      <c r="AE709" s="8"/>
      <c r="AF709" s="8"/>
      <c r="AG709" s="8"/>
      <c r="AH709" s="8"/>
      <c r="AI709" s="8"/>
      <c r="AJ709" s="8"/>
      <c r="AK709" s="8"/>
      <c r="AL709" s="8"/>
      <c r="AM709" s="8"/>
    </row>
    <row r="710" spans="1:39" ht="13.5" customHeight="1">
      <c r="A710" s="8" t="s">
        <v>2369</v>
      </c>
      <c r="B710" s="16">
        <v>37</v>
      </c>
      <c r="C710" s="8" t="s">
        <v>20</v>
      </c>
      <c r="D710" s="8" t="s">
        <v>85</v>
      </c>
      <c r="E710" s="8" t="s">
        <v>2370</v>
      </c>
      <c r="F710" s="17">
        <v>42137</v>
      </c>
      <c r="G710" s="8" t="s">
        <v>2371</v>
      </c>
      <c r="H710" s="8" t="s">
        <v>846</v>
      </c>
      <c r="I710" s="8" t="s">
        <v>306</v>
      </c>
      <c r="J710" s="16" t="s">
        <v>2372</v>
      </c>
      <c r="K710" s="2" t="s">
        <v>846</v>
      </c>
      <c r="L710" s="8" t="s">
        <v>847</v>
      </c>
      <c r="M710" s="8" t="s">
        <v>29</v>
      </c>
      <c r="N710" s="8" t="s">
        <v>2373</v>
      </c>
      <c r="O710" s="8" t="s">
        <v>1018</v>
      </c>
      <c r="P710" s="8" t="s">
        <v>405</v>
      </c>
      <c r="Q710" s="12" t="str">
        <f>HYPERLINK("http://www.spokesman.com/stories/2015/may/13/jail-inmate-dies-shortly-after-arrest/","http://www.spokesman.com/stories/2015/may/13/jail-inmate-dies-shortly-after-arrest/")</f>
        <v>http://www.spokesman.com/stories/2015/may/13/jail-inmate-dies-shortly-after-arrest/</v>
      </c>
      <c r="R710" s="8" t="s">
        <v>2224</v>
      </c>
      <c r="S710" s="7" t="s">
        <v>18</v>
      </c>
      <c r="T710" s="6"/>
      <c r="U710" s="8"/>
    </row>
    <row r="711" spans="1:39" ht="13.5" customHeight="1">
      <c r="A711" s="8" t="s">
        <v>2391</v>
      </c>
      <c r="B711" s="16">
        <v>40</v>
      </c>
      <c r="C711" s="8" t="s">
        <v>20</v>
      </c>
      <c r="D711" s="8" t="s">
        <v>37</v>
      </c>
      <c r="E711" s="8" t="s">
        <v>2392</v>
      </c>
      <c r="F711" s="17">
        <v>42136</v>
      </c>
      <c r="G711" s="8" t="s">
        <v>2393</v>
      </c>
      <c r="H711" s="8" t="s">
        <v>2394</v>
      </c>
      <c r="I711" s="8" t="s">
        <v>45</v>
      </c>
      <c r="J711" s="16" t="s">
        <v>2395</v>
      </c>
      <c r="K711" s="2" t="s">
        <v>1070</v>
      </c>
      <c r="L711" s="8" t="s">
        <v>2396</v>
      </c>
      <c r="M711" s="8" t="s">
        <v>27</v>
      </c>
      <c r="N711" s="8" t="s">
        <v>2397</v>
      </c>
      <c r="O711" s="8" t="s">
        <v>404</v>
      </c>
      <c r="P711" s="8" t="s">
        <v>405</v>
      </c>
      <c r="Q711" s="12" t="str">
        <f>HYPERLINK("http://www.ocregister.com/articles/santa-661469-involved-margarita.html","http://www.ocregister.com/articles/santa-661469-involved-margarita.html")</f>
        <v>http://www.ocregister.com/articles/santa-661469-involved-margarita.html</v>
      </c>
      <c r="S711" s="7" t="s">
        <v>28</v>
      </c>
      <c r="T711" s="6"/>
      <c r="U711" s="8"/>
    </row>
    <row r="712" spans="1:39" ht="13.5" customHeight="1">
      <c r="A712" s="8" t="s">
        <v>2385</v>
      </c>
      <c r="B712" s="16">
        <v>46</v>
      </c>
      <c r="C712" s="8" t="s">
        <v>20</v>
      </c>
      <c r="D712" s="8" t="s">
        <v>950</v>
      </c>
      <c r="E712" s="8" t="s">
        <v>2386</v>
      </c>
      <c r="F712" s="17">
        <v>42136</v>
      </c>
      <c r="G712" s="8" t="s">
        <v>2387</v>
      </c>
      <c r="H712" s="8" t="s">
        <v>2388</v>
      </c>
      <c r="I712" s="8" t="s">
        <v>878</v>
      </c>
      <c r="J712" s="16" t="s">
        <v>2389</v>
      </c>
      <c r="K712" s="2" t="s">
        <v>2388</v>
      </c>
      <c r="L712" s="8" t="s">
        <v>5704</v>
      </c>
      <c r="M712" s="8" t="s">
        <v>27</v>
      </c>
      <c r="N712" s="8" t="s">
        <v>2390</v>
      </c>
      <c r="O712" s="8" t="s">
        <v>404</v>
      </c>
      <c r="P712" s="8" t="s">
        <v>405</v>
      </c>
      <c r="Q712" s="12"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712" s="8" t="s">
        <v>100</v>
      </c>
      <c r="S712" s="7" t="s">
        <v>28</v>
      </c>
      <c r="T712" s="6"/>
      <c r="U712" s="8"/>
    </row>
    <row r="713" spans="1:39" ht="13.5" customHeight="1">
      <c r="A713" s="8" t="s">
        <v>2374</v>
      </c>
      <c r="B713" s="16">
        <v>28</v>
      </c>
      <c r="C713" s="8" t="s">
        <v>20</v>
      </c>
      <c r="D713" s="8" t="s">
        <v>85</v>
      </c>
      <c r="E713" s="8" t="s">
        <v>20910</v>
      </c>
      <c r="F713" s="17">
        <v>42136</v>
      </c>
      <c r="G713" s="8" t="s">
        <v>2375</v>
      </c>
      <c r="H713" s="8" t="s">
        <v>657</v>
      </c>
      <c r="I713" s="8" t="s">
        <v>62</v>
      </c>
      <c r="J713" s="16" t="s">
        <v>2376</v>
      </c>
      <c r="K713" s="2" t="s">
        <v>658</v>
      </c>
      <c r="L713" s="8" t="s">
        <v>659</v>
      </c>
      <c r="M713" s="8" t="s">
        <v>27</v>
      </c>
      <c r="N713" s="8" t="s">
        <v>2378</v>
      </c>
      <c r="O713" s="8" t="s">
        <v>1018</v>
      </c>
      <c r="P713" s="8" t="s">
        <v>405</v>
      </c>
      <c r="Q713" s="12"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713" s="8" t="s">
        <v>100</v>
      </c>
      <c r="S713" s="7" t="s">
        <v>18</v>
      </c>
      <c r="T713" s="6"/>
      <c r="U713" s="8"/>
    </row>
    <row r="714" spans="1:39" ht="13.5" customHeight="1">
      <c r="A714" s="8" t="s">
        <v>2379</v>
      </c>
      <c r="B714" s="16">
        <v>40</v>
      </c>
      <c r="C714" s="8" t="s">
        <v>20</v>
      </c>
      <c r="D714" s="8" t="s">
        <v>85</v>
      </c>
      <c r="F714" s="17">
        <v>42136</v>
      </c>
      <c r="G714" s="8" t="s">
        <v>2380</v>
      </c>
      <c r="H714" s="8" t="s">
        <v>2381</v>
      </c>
      <c r="I714" s="8" t="s">
        <v>52</v>
      </c>
      <c r="J714" s="16" t="s">
        <v>2382</v>
      </c>
      <c r="K714" s="2" t="s">
        <v>1065</v>
      </c>
      <c r="L714" s="8" t="s">
        <v>2383</v>
      </c>
      <c r="M714" s="8" t="s">
        <v>395</v>
      </c>
      <c r="N714" s="8" t="s">
        <v>2384</v>
      </c>
      <c r="O714" s="8" t="s">
        <v>1018</v>
      </c>
      <c r="P714" s="8" t="s">
        <v>405</v>
      </c>
      <c r="Q714" s="12"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714" s="8" t="s">
        <v>972</v>
      </c>
      <c r="S714" s="7" t="s">
        <v>18</v>
      </c>
      <c r="T714" s="6"/>
      <c r="U714" s="8"/>
    </row>
    <row r="715" spans="1:39" ht="13.5" customHeight="1">
      <c r="A715" s="8" t="s">
        <v>2419</v>
      </c>
      <c r="B715" s="16">
        <v>28</v>
      </c>
      <c r="C715" s="8" t="s">
        <v>20</v>
      </c>
      <c r="D715" s="8" t="s">
        <v>37</v>
      </c>
      <c r="E715" s="8" t="s">
        <v>2420</v>
      </c>
      <c r="F715" s="17">
        <v>42135</v>
      </c>
      <c r="G715" s="8" t="s">
        <v>2421</v>
      </c>
      <c r="H715" s="8" t="s">
        <v>2251</v>
      </c>
      <c r="I715" s="8" t="s">
        <v>62</v>
      </c>
      <c r="J715" s="16" t="s">
        <v>2422</v>
      </c>
      <c r="K715" s="2" t="s">
        <v>2423</v>
      </c>
      <c r="L715" s="8" t="s">
        <v>5557</v>
      </c>
      <c r="M715" s="8" t="s">
        <v>27</v>
      </c>
      <c r="N715" s="8" t="s">
        <v>2424</v>
      </c>
      <c r="O715" s="8" t="s">
        <v>404</v>
      </c>
      <c r="P715" s="8" t="s">
        <v>405</v>
      </c>
      <c r="Q715" s="12" t="str">
        <f>HYPERLINK("http://www.news4jax.com/news/st-johns-county-investiges-deputy-involved-shooting/32947972","http://www.news4jax.com/news/st-johns-county-investiges-deputy-involved-shooting/32947972")</f>
        <v>http://www.news4jax.com/news/st-johns-county-investiges-deputy-involved-shooting/32947972</v>
      </c>
      <c r="R715" s="8" t="s">
        <v>559</v>
      </c>
      <c r="S715" s="7" t="s">
        <v>28</v>
      </c>
      <c r="T715" s="6"/>
      <c r="U715" s="8"/>
    </row>
    <row r="716" spans="1:39" ht="13.5" customHeight="1">
      <c r="A716" s="8" t="s">
        <v>2406</v>
      </c>
      <c r="B716" s="16">
        <v>30</v>
      </c>
      <c r="C716" s="8" t="s">
        <v>20</v>
      </c>
      <c r="D716" s="8" t="s">
        <v>85</v>
      </c>
      <c r="E716" s="8" t="s">
        <v>2407</v>
      </c>
      <c r="F716" s="17">
        <v>42135</v>
      </c>
      <c r="G716" s="8" t="s">
        <v>2408</v>
      </c>
      <c r="H716" s="8" t="s">
        <v>934</v>
      </c>
      <c r="I716" s="8" t="s">
        <v>73</v>
      </c>
      <c r="J716" s="16" t="s">
        <v>2409</v>
      </c>
      <c r="K716" s="2" t="s">
        <v>74</v>
      </c>
      <c r="L716" s="8" t="s">
        <v>935</v>
      </c>
      <c r="M716" s="8" t="s">
        <v>27</v>
      </c>
      <c r="N716" s="8" t="s">
        <v>2410</v>
      </c>
      <c r="O716" s="8" t="s">
        <v>404</v>
      </c>
      <c r="P716" s="8" t="s">
        <v>405</v>
      </c>
      <c r="Q716" s="12"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716" s="8" t="s">
        <v>100</v>
      </c>
      <c r="S716" s="7" t="s">
        <v>35</v>
      </c>
      <c r="T716" s="6"/>
      <c r="U716" s="8"/>
    </row>
    <row r="717" spans="1:39" ht="13.5" customHeight="1">
      <c r="A717" s="8" t="s">
        <v>2398</v>
      </c>
      <c r="B717" s="16">
        <v>34</v>
      </c>
      <c r="C717" s="8" t="s">
        <v>20</v>
      </c>
      <c r="D717" s="8" t="s">
        <v>85</v>
      </c>
      <c r="E717" s="8" t="s">
        <v>2399</v>
      </c>
      <c r="F717" s="17">
        <v>42135</v>
      </c>
      <c r="G717" s="8" t="s">
        <v>2400</v>
      </c>
      <c r="H717" s="8" t="s">
        <v>2401</v>
      </c>
      <c r="I717" s="8" t="s">
        <v>52</v>
      </c>
      <c r="J717" s="16" t="s">
        <v>2402</v>
      </c>
      <c r="K717" s="2" t="s">
        <v>2403</v>
      </c>
      <c r="L717" s="8" t="s">
        <v>2404</v>
      </c>
      <c r="M717" s="8" t="s">
        <v>27</v>
      </c>
      <c r="N717" s="8" t="s">
        <v>2405</v>
      </c>
      <c r="O717" s="8" t="s">
        <v>404</v>
      </c>
      <c r="P717" s="8" t="s">
        <v>405</v>
      </c>
      <c r="Q717" s="12"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717" s="8" t="s">
        <v>100</v>
      </c>
      <c r="S717" s="7" t="s">
        <v>28</v>
      </c>
      <c r="T717" s="6"/>
      <c r="U717" s="8"/>
    </row>
    <row r="718" spans="1:39" ht="13.5" customHeight="1">
      <c r="A718" s="8" t="s">
        <v>2425</v>
      </c>
      <c r="B718" s="16">
        <v>55</v>
      </c>
      <c r="C718" s="8" t="s">
        <v>20</v>
      </c>
      <c r="D718" s="8" t="s">
        <v>37</v>
      </c>
      <c r="E718" s="8" t="s">
        <v>2426</v>
      </c>
      <c r="F718" s="17">
        <v>42135</v>
      </c>
      <c r="G718" s="8" t="s">
        <v>2427</v>
      </c>
      <c r="H718" s="8" t="s">
        <v>2428</v>
      </c>
      <c r="I718" s="8" t="s">
        <v>370</v>
      </c>
      <c r="J718" s="16" t="s">
        <v>2429</v>
      </c>
      <c r="K718" s="2" t="s">
        <v>2430</v>
      </c>
      <c r="L718" s="8" t="s">
        <v>2431</v>
      </c>
      <c r="M718" s="8" t="s">
        <v>395</v>
      </c>
      <c r="N718" s="8" t="s">
        <v>2432</v>
      </c>
      <c r="O718" s="8" t="s">
        <v>404</v>
      </c>
      <c r="P718" s="8" t="s">
        <v>405</v>
      </c>
      <c r="Q718" s="12" t="str">
        <f>HYPERLINK("http://www.wral.com/man-dies-while-in-police-custody-in-enfield/14637653/","http://www.wral.com/man-dies-while-in-police-custody-in-enfield/14637653/")</f>
        <v>http://www.wral.com/man-dies-while-in-police-custody-in-enfield/14637653/</v>
      </c>
      <c r="R718" s="8" t="s">
        <v>100</v>
      </c>
      <c r="S718" s="7" t="s">
        <v>18</v>
      </c>
      <c r="T718" s="6"/>
      <c r="U718" s="8"/>
    </row>
    <row r="719" spans="1:39" ht="13.5" customHeight="1">
      <c r="A719" s="8" t="s">
        <v>2411</v>
      </c>
      <c r="B719" s="16">
        <v>35</v>
      </c>
      <c r="C719" s="8" t="s">
        <v>20</v>
      </c>
      <c r="D719" s="8" t="s">
        <v>37</v>
      </c>
      <c r="E719" s="8" t="s">
        <v>2412</v>
      </c>
      <c r="F719" s="17">
        <v>42135</v>
      </c>
      <c r="G719" s="8" t="s">
        <v>2413</v>
      </c>
      <c r="H719" s="8" t="s">
        <v>2414</v>
      </c>
      <c r="I719" s="8" t="s">
        <v>124</v>
      </c>
      <c r="J719" s="16" t="s">
        <v>2415</v>
      </c>
      <c r="K719" s="2" t="s">
        <v>2416</v>
      </c>
      <c r="L719" s="8" t="s">
        <v>2417</v>
      </c>
      <c r="M719" s="8" t="s">
        <v>27</v>
      </c>
      <c r="N719" s="8" t="s">
        <v>2418</v>
      </c>
      <c r="O719" s="8" t="s">
        <v>404</v>
      </c>
      <c r="P719" s="8" t="s">
        <v>405</v>
      </c>
      <c r="Q719" s="12" t="str">
        <f>HYPERLINK("http://www.kpho.com/story/29033947/man-dead-after-officer-involved-shooting-in-kearny","http://www.kpho.com/story/29033947/man-dead-after-officer-involved-shooting-in-kearny")</f>
        <v>http://www.kpho.com/story/29033947/man-dead-after-officer-involved-shooting-in-kearny</v>
      </c>
      <c r="R719" s="8" t="s">
        <v>29</v>
      </c>
      <c r="S719" s="7" t="s">
        <v>28</v>
      </c>
      <c r="T719" s="6"/>
      <c r="U719" s="8"/>
    </row>
    <row r="720" spans="1:39" ht="13.5" customHeight="1">
      <c r="A720" s="8" t="s">
        <v>2433</v>
      </c>
      <c r="B720" s="16">
        <v>47</v>
      </c>
      <c r="C720" s="8" t="s">
        <v>20</v>
      </c>
      <c r="D720" s="8" t="s">
        <v>37</v>
      </c>
      <c r="F720" s="17">
        <v>42135</v>
      </c>
      <c r="G720" s="8" t="s">
        <v>2434</v>
      </c>
      <c r="H720" s="8" t="s">
        <v>890</v>
      </c>
      <c r="I720" s="8" t="s">
        <v>306</v>
      </c>
      <c r="J720" s="16" t="s">
        <v>2435</v>
      </c>
      <c r="K720" s="2" t="s">
        <v>891</v>
      </c>
      <c r="L720" s="8" t="s">
        <v>892</v>
      </c>
      <c r="M720" s="8" t="s">
        <v>27</v>
      </c>
      <c r="N720" s="8" t="s">
        <v>2436</v>
      </c>
      <c r="O720" s="8" t="s">
        <v>404</v>
      </c>
      <c r="P720" s="8" t="s">
        <v>405</v>
      </c>
      <c r="Q720" s="12" t="str">
        <f>HYPERLINK("http://www.kirotv.com/news/news/tacoma-police-shoot-and-kill-armed-man-outside-his/nmDNM/","http://www.kirotv.com/news/news/tacoma-police-shoot-and-kill-armed-man-outside-his/nmDNM/")</f>
        <v>http://www.kirotv.com/news/news/tacoma-police-shoot-and-kill-armed-man-outside-his/nmDNM/</v>
      </c>
      <c r="R720" s="8" t="s">
        <v>2437</v>
      </c>
      <c r="S720" s="7" t="s">
        <v>28</v>
      </c>
      <c r="T720" s="6"/>
      <c r="U720" s="8"/>
    </row>
    <row r="721" spans="1:39" ht="13.5" customHeight="1">
      <c r="A721" s="8" t="s">
        <v>2438</v>
      </c>
      <c r="B721" s="16">
        <v>31</v>
      </c>
      <c r="C721" s="8" t="s">
        <v>20</v>
      </c>
      <c r="D721" s="8" t="s">
        <v>85</v>
      </c>
      <c r="E721" s="8" t="s">
        <v>2439</v>
      </c>
      <c r="F721" s="17">
        <v>42133</v>
      </c>
      <c r="G721" s="8" t="s">
        <v>2440</v>
      </c>
      <c r="H721" s="8" t="s">
        <v>2441</v>
      </c>
      <c r="I721" s="8" t="s">
        <v>135</v>
      </c>
      <c r="J721" s="16" t="s">
        <v>2442</v>
      </c>
      <c r="K721" s="2" t="s">
        <v>2443</v>
      </c>
      <c r="L721" s="8" t="s">
        <v>2444</v>
      </c>
      <c r="M721" s="8" t="s">
        <v>27</v>
      </c>
      <c r="N721" s="8" t="s">
        <v>2445</v>
      </c>
      <c r="O721" s="8" t="s">
        <v>2446</v>
      </c>
      <c r="P721" s="8" t="s">
        <v>405</v>
      </c>
      <c r="Q721" s="12" t="str">
        <f>HYPERLINK("http://www.kare11.com/story/news/2015/05/09/694-shut-down-man-dies-in-officer-involved-shooting/27034515/","http://www.kare11.com/story/news/2015/05/09/694-shut-down-man-dies-in-officer-involved-shooting/27034515/")</f>
        <v>http://www.kare11.com/story/news/2015/05/09/694-shut-down-man-dies-in-officer-involved-shooting/27034515/</v>
      </c>
      <c r="R721" s="8" t="s">
        <v>972</v>
      </c>
      <c r="S721" s="7" t="s">
        <v>383</v>
      </c>
      <c r="T721" s="6"/>
      <c r="U721" s="8"/>
    </row>
    <row r="722" spans="1:39" ht="13.5" customHeight="1">
      <c r="A722" s="8" t="s">
        <v>2453</v>
      </c>
      <c r="B722" s="16">
        <v>58</v>
      </c>
      <c r="C722" s="8" t="s">
        <v>20</v>
      </c>
      <c r="D722" s="8" t="s">
        <v>37</v>
      </c>
      <c r="E722" s="8" t="s">
        <v>2454</v>
      </c>
      <c r="F722" s="17">
        <v>42132</v>
      </c>
      <c r="G722" s="8" t="s">
        <v>2455</v>
      </c>
      <c r="H722" s="8" t="s">
        <v>2456</v>
      </c>
      <c r="I722" s="8" t="s">
        <v>427</v>
      </c>
      <c r="J722" s="16" t="s">
        <v>2457</v>
      </c>
      <c r="K722" s="2" t="s">
        <v>2458</v>
      </c>
      <c r="L722" s="8" t="s">
        <v>2459</v>
      </c>
      <c r="M722" s="8" t="s">
        <v>27</v>
      </c>
      <c r="N722" s="8" t="s">
        <v>2460</v>
      </c>
      <c r="O722" s="8" t="s">
        <v>2461</v>
      </c>
      <c r="P722" s="8" t="s">
        <v>405</v>
      </c>
      <c r="Q722" s="12"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722" s="8" t="s">
        <v>559</v>
      </c>
      <c r="S722" s="7" t="s">
        <v>28</v>
      </c>
      <c r="T722" s="6"/>
      <c r="U722" s="8"/>
    </row>
    <row r="723" spans="1:39" ht="13.5" customHeight="1">
      <c r="A723" s="8" t="s">
        <v>2447</v>
      </c>
      <c r="B723" s="16">
        <v>48</v>
      </c>
      <c r="C723" s="8" t="s">
        <v>20</v>
      </c>
      <c r="D723" s="8" t="s">
        <v>85</v>
      </c>
      <c r="E723" s="8" t="s">
        <v>2448</v>
      </c>
      <c r="F723" s="17">
        <v>42132</v>
      </c>
      <c r="G723" s="8" t="s">
        <v>2449</v>
      </c>
      <c r="H723" s="8" t="s">
        <v>2316</v>
      </c>
      <c r="I723" s="8" t="s">
        <v>25</v>
      </c>
      <c r="J723" s="16" t="s">
        <v>2450</v>
      </c>
      <c r="K723" s="2" t="s">
        <v>1795</v>
      </c>
      <c r="L723" s="8" t="s">
        <v>2451</v>
      </c>
      <c r="M723" s="8" t="s">
        <v>27</v>
      </c>
      <c r="N723" s="8" t="s">
        <v>2452</v>
      </c>
      <c r="O723" s="8" t="s">
        <v>1018</v>
      </c>
      <c r="P723" s="8" t="s">
        <v>405</v>
      </c>
      <c r="Q723" s="12" t="str">
        <f>HYPERLINK("http://www.nola.com/crime/index.ssf/2015/05/officer-involved_shooting_repo.html","http://www.nola.com/crime/index.ssf/2015/05/officer-involved_shooting_repo.html")</f>
        <v>http://www.nola.com/crime/index.ssf/2015/05/officer-involved_shooting_repo.html</v>
      </c>
      <c r="R723" s="8" t="s">
        <v>100</v>
      </c>
      <c r="S723" s="7" t="s">
        <v>28</v>
      </c>
      <c r="T723" s="6"/>
      <c r="U723" s="8"/>
    </row>
    <row r="724" spans="1:39" ht="13.5" customHeight="1">
      <c r="A724" s="8" t="s">
        <v>2480</v>
      </c>
      <c r="B724" s="16">
        <v>18</v>
      </c>
      <c r="C724" s="8" t="s">
        <v>20</v>
      </c>
      <c r="D724" s="8" t="s">
        <v>37</v>
      </c>
      <c r="E724" s="8" t="s">
        <v>2481</v>
      </c>
      <c r="F724" s="17">
        <v>42131</v>
      </c>
      <c r="G724" s="8" t="s">
        <v>2482</v>
      </c>
      <c r="H724" s="8" t="s">
        <v>697</v>
      </c>
      <c r="I724" s="8" t="s">
        <v>370</v>
      </c>
      <c r="J724" s="16">
        <v>27587</v>
      </c>
      <c r="K724" s="2" t="s">
        <v>698</v>
      </c>
      <c r="L724" s="8" t="s">
        <v>699</v>
      </c>
      <c r="M724" s="8" t="s">
        <v>27</v>
      </c>
      <c r="N724" s="8" t="s">
        <v>2483</v>
      </c>
      <c r="O724" s="8" t="s">
        <v>404</v>
      </c>
      <c r="P724" s="8" t="s">
        <v>405</v>
      </c>
      <c r="Q724" s="12" t="str">
        <f>HYPERLINK("http://www.wsoctv.com/news/news/local/police-investigate-officer-involved-shooting-wake-/nmBQL/","http://www.wsoctv.com/news/news/local/police-investigate-officer-involved-shooting-wake-/nmBQL/")</f>
        <v>http://www.wsoctv.com/news/news/local/police-investigate-officer-involved-shooting-wake-/nmBQL/</v>
      </c>
      <c r="S724" s="7" t="s">
        <v>28</v>
      </c>
      <c r="T724" s="6"/>
      <c r="U724" s="8"/>
    </row>
    <row r="725" spans="1:39" ht="13.5" customHeight="1">
      <c r="A725" s="8" t="s">
        <v>2468</v>
      </c>
      <c r="B725" s="16">
        <v>33</v>
      </c>
      <c r="C725" s="8" t="s">
        <v>20</v>
      </c>
      <c r="D725" s="8" t="s">
        <v>85</v>
      </c>
      <c r="E725" s="8" t="s">
        <v>2469</v>
      </c>
      <c r="F725" s="17">
        <v>42131</v>
      </c>
      <c r="G725" s="8" t="s">
        <v>2470</v>
      </c>
      <c r="H725" s="8" t="s">
        <v>1919</v>
      </c>
      <c r="I725" s="8" t="s">
        <v>62</v>
      </c>
      <c r="J725" s="16" t="s">
        <v>2471</v>
      </c>
      <c r="K725" s="2" t="s">
        <v>1919</v>
      </c>
      <c r="L725" s="8" t="s">
        <v>2472</v>
      </c>
      <c r="M725" s="8" t="s">
        <v>29</v>
      </c>
      <c r="N725" s="8" t="s">
        <v>2473</v>
      </c>
      <c r="O725" s="8" t="s">
        <v>404</v>
      </c>
      <c r="P725" s="8" t="s">
        <v>405</v>
      </c>
      <c r="Q725" s="12" t="str">
        <f>HYPERLINK("http://www.heraldtribune.com/article/20150507/ARTICLE/150509754/2416/NEWS","http://www.heraldtribune.com/article/20150507/ARTICLE/150509754/2416/NEWS")</f>
        <v>http://www.heraldtribune.com/article/20150507/ARTICLE/150509754/2416/NEWS</v>
      </c>
      <c r="R725" s="8" t="s">
        <v>972</v>
      </c>
      <c r="S725" s="7" t="s">
        <v>18</v>
      </c>
      <c r="T725" s="6"/>
      <c r="U725" s="8"/>
    </row>
    <row r="726" spans="1:39" ht="13.5" customHeight="1">
      <c r="A726" s="8" t="s">
        <v>2474</v>
      </c>
      <c r="B726" s="16">
        <v>72</v>
      </c>
      <c r="C726" s="8" t="s">
        <v>20</v>
      </c>
      <c r="D726" s="8" t="s">
        <v>30</v>
      </c>
      <c r="F726" s="17">
        <v>42131</v>
      </c>
      <c r="G726" s="8" t="s">
        <v>2475</v>
      </c>
      <c r="H726" s="8" t="s">
        <v>2476</v>
      </c>
      <c r="I726" s="8" t="s">
        <v>175</v>
      </c>
      <c r="J726" s="16" t="s">
        <v>2477</v>
      </c>
      <c r="K726" s="2" t="s">
        <v>1338</v>
      </c>
      <c r="L726" s="8" t="s">
        <v>2478</v>
      </c>
      <c r="M726" s="8" t="s">
        <v>27</v>
      </c>
      <c r="N726" s="8" t="s">
        <v>2479</v>
      </c>
      <c r="O726" s="8" t="s">
        <v>2103</v>
      </c>
      <c r="P726" s="8" t="s">
        <v>405</v>
      </c>
      <c r="Q726" s="12" t="str">
        <f>HYPERLINK("http://www.wsbtv.com/news/news/local/gwinnett-county-police-investigate-officer-involve/nmBY5/","http://www.wsbtv.com/news/news/local/gwinnett-county-police-investigate-officer-involve/nmBY5/")</f>
        <v>http://www.wsbtv.com/news/news/local/gwinnett-county-police-investigate-officer-involve/nmBY5/</v>
      </c>
      <c r="R726" s="8" t="s">
        <v>559</v>
      </c>
      <c r="S726" s="7" t="s">
        <v>28</v>
      </c>
      <c r="T726" s="6"/>
      <c r="U726" s="8"/>
    </row>
    <row r="727" spans="1:39" ht="13.5" customHeight="1">
      <c r="A727" s="8" t="s">
        <v>2484</v>
      </c>
      <c r="B727" s="16">
        <v>35</v>
      </c>
      <c r="C727" s="8" t="s">
        <v>20</v>
      </c>
      <c r="D727" s="8" t="s">
        <v>37</v>
      </c>
      <c r="E727" s="8" t="s">
        <v>2485</v>
      </c>
      <c r="F727" s="17">
        <v>42131</v>
      </c>
      <c r="G727" s="8" t="s">
        <v>2486</v>
      </c>
      <c r="H727" s="8" t="s">
        <v>2487</v>
      </c>
      <c r="I727" s="8" t="s">
        <v>427</v>
      </c>
      <c r="J727" s="16" t="s">
        <v>2488</v>
      </c>
      <c r="K727" s="2" t="s">
        <v>2489</v>
      </c>
      <c r="L727" s="8" t="s">
        <v>2490</v>
      </c>
      <c r="M727" s="8" t="s">
        <v>27</v>
      </c>
      <c r="N727" s="8" t="s">
        <v>2491</v>
      </c>
      <c r="O727" s="8" t="s">
        <v>404</v>
      </c>
      <c r="P727" s="8" t="s">
        <v>405</v>
      </c>
      <c r="Q727" s="12" t="str">
        <f>HYPERLINK("http://www.recordonline.com/article/20150507/NEWS/150509481","http://www.recordonline.com/article/20150507/NEWS/150509481")</f>
        <v>http://www.recordonline.com/article/20150507/NEWS/150509481</v>
      </c>
      <c r="R727" s="8" t="s">
        <v>100</v>
      </c>
      <c r="S727" s="7" t="s">
        <v>28</v>
      </c>
      <c r="T727" s="6"/>
      <c r="U727" s="8"/>
    </row>
    <row r="728" spans="1:39" ht="13.5" customHeight="1">
      <c r="A728" s="8" t="s">
        <v>2462</v>
      </c>
      <c r="B728" s="16">
        <v>21</v>
      </c>
      <c r="C728" s="8" t="s">
        <v>20</v>
      </c>
      <c r="D728" s="8" t="s">
        <v>85</v>
      </c>
      <c r="E728" s="8" t="s">
        <v>2463</v>
      </c>
      <c r="F728" s="17">
        <v>42131</v>
      </c>
      <c r="G728" s="8" t="s">
        <v>2464</v>
      </c>
      <c r="H728" s="8" t="s">
        <v>2465</v>
      </c>
      <c r="I728" s="8" t="s">
        <v>45</v>
      </c>
      <c r="J728" s="16" t="s">
        <v>2466</v>
      </c>
      <c r="K728" s="2" t="s">
        <v>98</v>
      </c>
      <c r="L728" s="8" t="s">
        <v>418</v>
      </c>
      <c r="M728" s="8" t="s">
        <v>27</v>
      </c>
      <c r="N728" s="8" t="s">
        <v>2467</v>
      </c>
      <c r="O728" s="8" t="s">
        <v>1018</v>
      </c>
      <c r="P728" s="8" t="s">
        <v>405</v>
      </c>
      <c r="Q728" s="12" t="str">
        <f>HYPERLINK("http://ktla.com/2015/05/07/apparent-deputy-involved-shooting-prompts-emergency-response-in-cerritos/","http://ktla.com/2015/05/07/apparent-deputy-involved-shooting-prompts-emergency-response-in-cerritos/")</f>
        <v>http://ktla.com/2015/05/07/apparent-deputy-involved-shooting-prompts-emergency-response-in-cerritos/</v>
      </c>
      <c r="R728" s="8" t="s">
        <v>100</v>
      </c>
      <c r="S728" s="7" t="s">
        <v>383</v>
      </c>
      <c r="T728" s="6"/>
      <c r="U728" s="8"/>
    </row>
    <row r="729" spans="1:39" ht="13.5" customHeight="1">
      <c r="A729" s="8" t="s">
        <v>2492</v>
      </c>
      <c r="B729" s="16">
        <v>29</v>
      </c>
      <c r="C729" s="8" t="s">
        <v>20</v>
      </c>
      <c r="D729" s="8" t="s">
        <v>85</v>
      </c>
      <c r="E729" s="8" t="s">
        <v>2493</v>
      </c>
      <c r="F729" s="17">
        <v>42130</v>
      </c>
      <c r="G729" s="8" t="s">
        <v>2494</v>
      </c>
      <c r="H729" s="8" t="s">
        <v>98</v>
      </c>
      <c r="I729" s="8" t="s">
        <v>45</v>
      </c>
      <c r="J729" s="16" t="s">
        <v>2495</v>
      </c>
      <c r="K729" s="2" t="s">
        <v>98</v>
      </c>
      <c r="L729" s="8" t="s">
        <v>99</v>
      </c>
      <c r="M729" s="8" t="s">
        <v>27</v>
      </c>
      <c r="N729" s="8" t="s">
        <v>2496</v>
      </c>
      <c r="O729" s="8" t="s">
        <v>404</v>
      </c>
      <c r="P729" s="8" t="s">
        <v>405</v>
      </c>
      <c r="Q729" s="12" t="str">
        <f>HYPERLINK("http://abc7.com/news/man-shot-to-death-by-lapd-in-venice-after-disturbing-the-peace-call/699856/","http://abc7.com/news/man-shot-to-death-by-lapd-in-venice-after-disturbing-the-peace-call/699856/")</f>
        <v>http://abc7.com/news/man-shot-to-death-by-lapd-in-venice-after-disturbing-the-peace-call/699856/</v>
      </c>
      <c r="R729" s="8" t="s">
        <v>100</v>
      </c>
      <c r="S729" s="7" t="s">
        <v>18</v>
      </c>
      <c r="T729" s="6"/>
      <c r="U729" s="8"/>
    </row>
    <row r="730" spans="1:39" ht="13.5" customHeight="1">
      <c r="A730" s="8" t="s">
        <v>2505</v>
      </c>
      <c r="B730" s="16">
        <v>41</v>
      </c>
      <c r="C730" s="8" t="s">
        <v>20</v>
      </c>
      <c r="D730" s="8" t="s">
        <v>85</v>
      </c>
      <c r="E730" s="8" t="s">
        <v>2498</v>
      </c>
      <c r="F730" s="17">
        <v>42130</v>
      </c>
      <c r="G730" s="8" t="s">
        <v>2499</v>
      </c>
      <c r="H730" s="8" t="s">
        <v>2500</v>
      </c>
      <c r="I730" s="8" t="s">
        <v>81</v>
      </c>
      <c r="J730" s="16" t="s">
        <v>2501</v>
      </c>
      <c r="K730" s="2" t="s">
        <v>2502</v>
      </c>
      <c r="L730" s="8" t="s">
        <v>2503</v>
      </c>
      <c r="M730" s="8" t="s">
        <v>383</v>
      </c>
      <c r="N730" s="8" t="s">
        <v>2504</v>
      </c>
      <c r="O730" s="8" t="s">
        <v>404</v>
      </c>
      <c r="P730" s="8" t="s">
        <v>405</v>
      </c>
      <c r="Q730" s="12" t="str">
        <f>HYPERLINK("http://newyork.cbslocal.com/2015/05/06/nj-turnpike-pedestrians-killed-police-car/","http://newyork.cbslocal.com/2015/05/06/nj-turnpike-pedestrians-killed-police-car/")</f>
        <v>http://newyork.cbslocal.com/2015/05/06/nj-turnpike-pedestrians-killed-police-car/</v>
      </c>
      <c r="S730" s="7" t="s">
        <v>18</v>
      </c>
      <c r="T730" s="6"/>
      <c r="U730" s="8"/>
    </row>
    <row r="731" spans="1:39" ht="13.5" customHeight="1">
      <c r="A731" s="8" t="s">
        <v>2497</v>
      </c>
      <c r="B731" s="16">
        <v>34</v>
      </c>
      <c r="C731" s="8" t="s">
        <v>115</v>
      </c>
      <c r="D731" s="8" t="s">
        <v>85</v>
      </c>
      <c r="E731" s="8" t="s">
        <v>2498</v>
      </c>
      <c r="F731" s="17">
        <v>42130</v>
      </c>
      <c r="G731" s="8" t="s">
        <v>2499</v>
      </c>
      <c r="H731" s="8" t="s">
        <v>2500</v>
      </c>
      <c r="I731" s="8" t="s">
        <v>81</v>
      </c>
      <c r="J731" s="16" t="s">
        <v>2501</v>
      </c>
      <c r="K731" s="2" t="s">
        <v>2502</v>
      </c>
      <c r="L731" s="8" t="s">
        <v>2503</v>
      </c>
      <c r="M731" s="8" t="s">
        <v>383</v>
      </c>
      <c r="N731" s="8" t="s">
        <v>2504</v>
      </c>
      <c r="O731" s="8" t="s">
        <v>404</v>
      </c>
      <c r="P731" s="8" t="s">
        <v>405</v>
      </c>
      <c r="Q731" s="12" t="str">
        <f>HYPERLINK("http://newyork.cbslocal.com/2015/05/06/nj-turnpike-pedestrians-killed-police-car/","http://newyork.cbslocal.com/2015/05/06/nj-turnpike-pedestrians-killed-police-car/")</f>
        <v>http://newyork.cbslocal.com/2015/05/06/nj-turnpike-pedestrians-killed-police-car/</v>
      </c>
      <c r="S731" s="7" t="s">
        <v>18</v>
      </c>
      <c r="T731" s="6"/>
      <c r="U731" s="8"/>
    </row>
    <row r="732" spans="1:39" ht="13.5" customHeight="1">
      <c r="A732" s="8" t="s">
        <v>2518</v>
      </c>
      <c r="B732" s="16">
        <v>46</v>
      </c>
      <c r="C732" s="8" t="s">
        <v>20</v>
      </c>
      <c r="D732" s="8" t="s">
        <v>37</v>
      </c>
      <c r="E732" s="8" t="s">
        <v>2519</v>
      </c>
      <c r="F732" s="17">
        <v>42129</v>
      </c>
      <c r="G732" s="8" t="s">
        <v>2520</v>
      </c>
      <c r="H732" s="8" t="s">
        <v>2521</v>
      </c>
      <c r="I732" s="8" t="s">
        <v>247</v>
      </c>
      <c r="J732" s="16">
        <v>24301</v>
      </c>
      <c r="K732" s="2" t="s">
        <v>2521</v>
      </c>
      <c r="L732" s="8" t="s">
        <v>2522</v>
      </c>
      <c r="M732" s="8" t="s">
        <v>27</v>
      </c>
      <c r="N732" s="8" t="s">
        <v>2523</v>
      </c>
      <c r="O732" s="8" t="s">
        <v>404</v>
      </c>
      <c r="P732" s="8" t="s">
        <v>405</v>
      </c>
      <c r="Q732" s="12" t="str">
        <f>HYPERLINK("http://www.wsls.com/story/28977735/vsp-investigating-officer-involved-shooting-in-pulaski","http://www.wsls.com/story/28977735/vsp-investigating-officer-involved-shooting-in-pulaski")</f>
        <v>http://www.wsls.com/story/28977735/vsp-investigating-officer-involved-shooting-in-pulaski</v>
      </c>
      <c r="R732" s="8" t="s">
        <v>559</v>
      </c>
      <c r="S732" s="7" t="s">
        <v>28</v>
      </c>
      <c r="T732" s="6"/>
      <c r="U732" s="8"/>
    </row>
    <row r="733" spans="1:39" ht="13.5" customHeight="1">
      <c r="A733" s="8" t="s">
        <v>2511</v>
      </c>
      <c r="B733" s="16">
        <v>55</v>
      </c>
      <c r="C733" s="8" t="s">
        <v>20</v>
      </c>
      <c r="D733" s="8" t="s">
        <v>141</v>
      </c>
      <c r="F733" s="17">
        <v>42129</v>
      </c>
      <c r="G733" s="8" t="s">
        <v>2512</v>
      </c>
      <c r="H733" s="8" t="s">
        <v>2513</v>
      </c>
      <c r="I733" s="8" t="s">
        <v>399</v>
      </c>
      <c r="J733" s="16" t="s">
        <v>2514</v>
      </c>
      <c r="K733" s="2" t="s">
        <v>2513</v>
      </c>
      <c r="L733" s="8" t="s">
        <v>2515</v>
      </c>
      <c r="M733" s="8" t="s">
        <v>383</v>
      </c>
      <c r="N733" s="8" t="s">
        <v>2516</v>
      </c>
      <c r="O733" s="8" t="s">
        <v>1804</v>
      </c>
      <c r="P733" s="8" t="s">
        <v>405</v>
      </c>
      <c r="Q733" s="12" t="s">
        <v>2517</v>
      </c>
      <c r="R733" s="8" t="s">
        <v>100</v>
      </c>
      <c r="S733" s="7" t="s">
        <v>18</v>
      </c>
      <c r="T733" s="6"/>
      <c r="U733" s="8"/>
    </row>
    <row r="734" spans="1:39" ht="13.5" customHeight="1">
      <c r="A734" s="8" t="s">
        <v>2506</v>
      </c>
      <c r="B734" s="16">
        <v>32</v>
      </c>
      <c r="C734" s="8" t="s">
        <v>20</v>
      </c>
      <c r="D734" s="8" t="s">
        <v>21</v>
      </c>
      <c r="E734" s="8" t="s">
        <v>2507</v>
      </c>
      <c r="F734" s="17">
        <v>42129</v>
      </c>
      <c r="G734" s="8" t="s">
        <v>2508</v>
      </c>
      <c r="H734" s="8" t="s">
        <v>2509</v>
      </c>
      <c r="I734" s="8" t="s">
        <v>45</v>
      </c>
      <c r="J734" s="16">
        <v>91733</v>
      </c>
      <c r="K734" s="2" t="s">
        <v>98</v>
      </c>
      <c r="L734" s="8" t="s">
        <v>418</v>
      </c>
      <c r="M734" s="8" t="s">
        <v>27</v>
      </c>
      <c r="N734" s="8" t="s">
        <v>2510</v>
      </c>
      <c r="O734" s="8" t="s">
        <v>1018</v>
      </c>
      <c r="P734" s="8" t="s">
        <v>405</v>
      </c>
      <c r="Q734"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S734" s="7" t="s">
        <v>28</v>
      </c>
      <c r="T734" s="6"/>
      <c r="U734" s="8"/>
      <c r="AI734" s="8"/>
      <c r="AJ734" s="8"/>
      <c r="AK734" s="8"/>
      <c r="AL734" s="8"/>
      <c r="AM734" s="8"/>
    </row>
    <row r="735" spans="1:39" ht="13.5" customHeight="1">
      <c r="A735" s="8" t="s">
        <v>2524</v>
      </c>
      <c r="B735" s="16">
        <v>53</v>
      </c>
      <c r="C735" s="8" t="s">
        <v>20</v>
      </c>
      <c r="D735" s="8" t="s">
        <v>37</v>
      </c>
      <c r="E735" s="8" t="s">
        <v>2525</v>
      </c>
      <c r="F735" s="17">
        <v>42128</v>
      </c>
      <c r="G735" s="8" t="s">
        <v>2526</v>
      </c>
      <c r="H735" s="8" t="s">
        <v>2527</v>
      </c>
      <c r="I735" s="8" t="s">
        <v>319</v>
      </c>
      <c r="J735" s="16">
        <v>41727</v>
      </c>
      <c r="K735" s="2" t="s">
        <v>2528</v>
      </c>
      <c r="L735" s="8" t="s">
        <v>3406</v>
      </c>
      <c r="M735" s="8" t="s">
        <v>27</v>
      </c>
      <c r="N735" s="8" t="s">
        <v>2529</v>
      </c>
      <c r="O735" s="8" t="s">
        <v>1018</v>
      </c>
      <c r="P735" s="8" t="s">
        <v>405</v>
      </c>
      <c r="Q735" s="12"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735" s="8" t="s">
        <v>29</v>
      </c>
      <c r="S735" s="7" t="s">
        <v>28</v>
      </c>
      <c r="T735" s="6"/>
      <c r="U735" s="8"/>
    </row>
    <row r="736" spans="1:39" ht="13.5" customHeight="1">
      <c r="A736" s="8" t="s">
        <v>20876</v>
      </c>
      <c r="B736" s="16">
        <v>27</v>
      </c>
      <c r="C736" s="8" t="s">
        <v>20</v>
      </c>
      <c r="D736" s="8" t="s">
        <v>85</v>
      </c>
      <c r="E736" s="8" t="s">
        <v>20877</v>
      </c>
      <c r="F736" s="17">
        <v>42128</v>
      </c>
      <c r="G736" s="8" t="s">
        <v>20878</v>
      </c>
      <c r="H736" s="8" t="s">
        <v>437</v>
      </c>
      <c r="I736" s="8" t="s">
        <v>675</v>
      </c>
      <c r="J736" s="3" t="s">
        <v>20879</v>
      </c>
      <c r="K736" s="3" t="s">
        <v>10182</v>
      </c>
      <c r="L736" s="3" t="s">
        <v>6299</v>
      </c>
      <c r="M736" s="3" t="s">
        <v>383</v>
      </c>
      <c r="N736" s="3" t="s">
        <v>20880</v>
      </c>
      <c r="O736" s="3" t="s">
        <v>29</v>
      </c>
      <c r="P736" s="8" t="s">
        <v>405</v>
      </c>
      <c r="Q736" s="20" t="s">
        <v>20881</v>
      </c>
      <c r="R736" s="3" t="s">
        <v>100</v>
      </c>
      <c r="S736" s="3" t="s">
        <v>383</v>
      </c>
      <c r="T736" s="3"/>
      <c r="U736" s="3"/>
      <c r="V736" s="24"/>
      <c r="W736" s="24"/>
      <c r="X736" s="24"/>
      <c r="Y736" s="24"/>
      <c r="Z736" s="24"/>
      <c r="AA736" s="24"/>
      <c r="AB736" s="24"/>
      <c r="AC736" s="24"/>
      <c r="AD736" s="24"/>
      <c r="AE736" s="24"/>
      <c r="AF736" s="24"/>
      <c r="AG736" s="24"/>
      <c r="AH736" s="24"/>
      <c r="AI736" s="24"/>
      <c r="AJ736" s="24"/>
      <c r="AK736" s="24"/>
      <c r="AL736" s="24"/>
      <c r="AM736" s="24"/>
    </row>
    <row r="737" spans="1:39" ht="13.5" customHeight="1">
      <c r="A737" s="8" t="s">
        <v>2530</v>
      </c>
      <c r="B737" s="16">
        <v>36</v>
      </c>
      <c r="C737" s="8" t="s">
        <v>20</v>
      </c>
      <c r="D737" s="8" t="s">
        <v>37</v>
      </c>
      <c r="E737" s="8" t="s">
        <v>2531</v>
      </c>
      <c r="F737" s="17">
        <v>42128</v>
      </c>
      <c r="G737" s="8" t="s">
        <v>2532</v>
      </c>
      <c r="H737" s="8" t="s">
        <v>2533</v>
      </c>
      <c r="I737" s="8" t="s">
        <v>306</v>
      </c>
      <c r="J737" s="16">
        <v>99336</v>
      </c>
      <c r="K737" s="2" t="s">
        <v>2534</v>
      </c>
      <c r="L737" s="8" t="s">
        <v>2535</v>
      </c>
      <c r="M737" s="8" t="s">
        <v>27</v>
      </c>
      <c r="N737" s="8" t="s">
        <v>2536</v>
      </c>
      <c r="O737" s="8" t="s">
        <v>404</v>
      </c>
      <c r="P737" s="8" t="s">
        <v>405</v>
      </c>
      <c r="Q737" s="12" t="str">
        <f>HYPERLINK("http://www.keprtv.com/SWAT-on-scene-of-standoff-in-Kennewick-302418671.html","http://www.keprtv.com/SWAT-on-scene-of-standoff-in-Kennewick-302418671.html")</f>
        <v>http://www.keprtv.com/SWAT-on-scene-of-standoff-in-Kennewick-302418671.html</v>
      </c>
      <c r="S737" s="7" t="s">
        <v>28</v>
      </c>
      <c r="T737" s="6"/>
      <c r="U737" s="8"/>
    </row>
    <row r="738" spans="1:39" ht="13.5" customHeight="1">
      <c r="A738" s="8" t="s">
        <v>21088</v>
      </c>
      <c r="B738" s="16">
        <v>44</v>
      </c>
      <c r="C738" s="8" t="s">
        <v>20</v>
      </c>
      <c r="D738" s="8" t="s">
        <v>85</v>
      </c>
      <c r="F738" s="17">
        <v>42127</v>
      </c>
      <c r="G738" s="8" t="s">
        <v>21089</v>
      </c>
      <c r="H738" s="8" t="s">
        <v>33</v>
      </c>
      <c r="I738" s="8" t="s">
        <v>675</v>
      </c>
      <c r="J738" s="16">
        <v>38703</v>
      </c>
      <c r="K738" s="2" t="s">
        <v>119</v>
      </c>
      <c r="L738" s="2" t="s">
        <v>835</v>
      </c>
      <c r="M738" s="2" t="s">
        <v>27</v>
      </c>
      <c r="N738" s="2" t="s">
        <v>21090</v>
      </c>
      <c r="O738" s="2" t="s">
        <v>1170</v>
      </c>
      <c r="P738" s="2" t="s">
        <v>1171</v>
      </c>
      <c r="Q738" s="12" t="s">
        <v>21091</v>
      </c>
      <c r="R738" s="2" t="s">
        <v>100</v>
      </c>
      <c r="S738" s="7" t="s">
        <v>18</v>
      </c>
      <c r="T738" s="6"/>
      <c r="U738" s="8"/>
    </row>
    <row r="739" spans="1:39" ht="13.5" customHeight="1">
      <c r="A739" s="8" t="s">
        <v>2545</v>
      </c>
      <c r="B739" s="16">
        <v>44</v>
      </c>
      <c r="C739" s="8" t="s">
        <v>20</v>
      </c>
      <c r="D739" s="8" t="s">
        <v>37</v>
      </c>
      <c r="E739" s="8" t="s">
        <v>2546</v>
      </c>
      <c r="F739" s="17">
        <v>42127</v>
      </c>
      <c r="G739" s="8" t="s">
        <v>2547</v>
      </c>
      <c r="H739" s="8" t="s">
        <v>930</v>
      </c>
      <c r="I739" s="8" t="s">
        <v>198</v>
      </c>
      <c r="J739" s="16">
        <v>87105</v>
      </c>
      <c r="K739" s="2" t="s">
        <v>471</v>
      </c>
      <c r="L739" s="8" t="s">
        <v>8243</v>
      </c>
      <c r="M739" s="8" t="s">
        <v>27</v>
      </c>
      <c r="N739" s="8" t="s">
        <v>2548</v>
      </c>
      <c r="O739" s="8" t="s">
        <v>1018</v>
      </c>
      <c r="P739" s="8" t="s">
        <v>405</v>
      </c>
      <c r="Q739" s="12" t="str">
        <f>HYPERLINK("http://krqe.com/2015/05/03/suspect-from-deputy-involved-shooting-dies/","http://krqe.com/2015/05/03/suspect-from-deputy-involved-shooting-dies/")</f>
        <v>http://krqe.com/2015/05/03/suspect-from-deputy-involved-shooting-dies/</v>
      </c>
      <c r="R739" s="8" t="s">
        <v>100</v>
      </c>
      <c r="S739" s="7" t="s">
        <v>35</v>
      </c>
      <c r="T739" s="6"/>
      <c r="U739" s="8"/>
    </row>
    <row r="740" spans="1:39" ht="13.5" customHeight="1">
      <c r="A740" s="8" t="s">
        <v>2543</v>
      </c>
      <c r="B740" s="16">
        <v>30</v>
      </c>
      <c r="C740" s="8" t="s">
        <v>20</v>
      </c>
      <c r="D740" s="8" t="s">
        <v>85</v>
      </c>
      <c r="E740" s="8" t="s">
        <v>2544</v>
      </c>
      <c r="F740" s="17">
        <v>42127</v>
      </c>
      <c r="G740" s="8" t="s">
        <v>2539</v>
      </c>
      <c r="H740" s="8" t="s">
        <v>2540</v>
      </c>
      <c r="I740" s="8" t="s">
        <v>73</v>
      </c>
      <c r="J740" s="16">
        <v>75040</v>
      </c>
      <c r="K740" s="2" t="s">
        <v>288</v>
      </c>
      <c r="L740" s="8" t="s">
        <v>2541</v>
      </c>
      <c r="M740" s="8" t="s">
        <v>27</v>
      </c>
      <c r="N740" s="8" t="s">
        <v>2542</v>
      </c>
      <c r="O740" s="8" t="s">
        <v>1018</v>
      </c>
      <c r="P740" s="8" t="s">
        <v>405</v>
      </c>
      <c r="Q740" s="12" t="str">
        <f>HYPERLINK("http://www.wfaa.com/story/news/local/2015/05/03/garland-curtis-culwell-center-swat/26848435/","http://www.wfaa.com/story/news/local/2015/05/03/garland-curtis-culwell-center-swat/26848435/")</f>
        <v>http://www.wfaa.com/story/news/local/2015/05/03/garland-curtis-culwell-center-swat/26848435/</v>
      </c>
      <c r="R740" s="8" t="s">
        <v>100</v>
      </c>
      <c r="S740" s="7" t="s">
        <v>28</v>
      </c>
      <c r="T740" s="6"/>
      <c r="U740" s="8"/>
    </row>
    <row r="741" spans="1:39" ht="13.5" customHeight="1">
      <c r="A741" s="8" t="s">
        <v>2549</v>
      </c>
      <c r="B741" s="16">
        <v>36</v>
      </c>
      <c r="C741" s="8" t="s">
        <v>20</v>
      </c>
      <c r="D741" s="8" t="s">
        <v>37</v>
      </c>
      <c r="E741" s="8" t="s">
        <v>2550</v>
      </c>
      <c r="F741" s="17">
        <v>42127</v>
      </c>
      <c r="G741" s="8" t="s">
        <v>2551</v>
      </c>
      <c r="H741" s="8" t="s">
        <v>2552</v>
      </c>
      <c r="I741" s="8" t="s">
        <v>243</v>
      </c>
      <c r="J741" s="16">
        <v>84066</v>
      </c>
      <c r="K741" s="2" t="s">
        <v>2553</v>
      </c>
      <c r="L741" s="8" t="s">
        <v>2554</v>
      </c>
      <c r="M741" s="8" t="s">
        <v>27</v>
      </c>
      <c r="N741" s="8" t="s">
        <v>2555</v>
      </c>
      <c r="O741" s="8" t="s">
        <v>1018</v>
      </c>
      <c r="P741" s="8" t="s">
        <v>405</v>
      </c>
      <c r="Q741" s="12"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741" s="8" t="s">
        <v>100</v>
      </c>
      <c r="S741" s="7" t="s">
        <v>28</v>
      </c>
      <c r="T741" s="6"/>
      <c r="U741" s="8"/>
    </row>
    <row r="742" spans="1:39" ht="13.5" customHeight="1">
      <c r="A742" s="8" t="s">
        <v>2537</v>
      </c>
      <c r="B742" s="16">
        <v>34</v>
      </c>
      <c r="C742" s="8" t="s">
        <v>20</v>
      </c>
      <c r="D742" s="8" t="s">
        <v>21</v>
      </c>
      <c r="E742" s="8" t="s">
        <v>2538</v>
      </c>
      <c r="F742" s="17">
        <v>42127</v>
      </c>
      <c r="G742" s="8" t="s">
        <v>2539</v>
      </c>
      <c r="H742" s="8" t="s">
        <v>2540</v>
      </c>
      <c r="I742" s="8" t="s">
        <v>73</v>
      </c>
      <c r="J742" s="16">
        <v>75040</v>
      </c>
      <c r="K742" s="2" t="s">
        <v>288</v>
      </c>
      <c r="L742" s="8" t="s">
        <v>2541</v>
      </c>
      <c r="M742" s="8" t="s">
        <v>27</v>
      </c>
      <c r="N742" s="8" t="s">
        <v>2542</v>
      </c>
      <c r="O742" s="8" t="s">
        <v>1018</v>
      </c>
      <c r="P742" s="8" t="s">
        <v>405</v>
      </c>
      <c r="Q742" s="12" t="str">
        <f>HYPERLINK("http://facebook.com/KilledByPolice/posts/1034785363216267","facebook.com/KilledByPolice/posts/1034785363216267")</f>
        <v>facebook.com/KilledByPolice/posts/1034785363216267</v>
      </c>
      <c r="R742" s="8" t="s">
        <v>100</v>
      </c>
      <c r="S742" s="7" t="s">
        <v>28</v>
      </c>
      <c r="T742" s="6"/>
      <c r="U742" s="8"/>
      <c r="AI742" s="8"/>
      <c r="AJ742" s="8"/>
      <c r="AK742" s="8"/>
      <c r="AL742" s="8"/>
      <c r="AM742" s="8"/>
    </row>
    <row r="743" spans="1:39" ht="13.5" customHeight="1">
      <c r="A743" s="8" t="s">
        <v>2556</v>
      </c>
      <c r="B743" s="16">
        <v>52</v>
      </c>
      <c r="C743" s="8" t="s">
        <v>20</v>
      </c>
      <c r="D743" s="8" t="s">
        <v>37</v>
      </c>
      <c r="F743" s="17">
        <v>42126</v>
      </c>
      <c r="G743" s="8" t="s">
        <v>2557</v>
      </c>
      <c r="H743" s="8" t="s">
        <v>2558</v>
      </c>
      <c r="I743" s="8" t="s">
        <v>228</v>
      </c>
      <c r="J743" s="16" t="s">
        <v>2559</v>
      </c>
      <c r="K743" s="2" t="s">
        <v>2560</v>
      </c>
      <c r="L743" s="8" t="s">
        <v>2561</v>
      </c>
      <c r="M743" s="8" t="s">
        <v>27</v>
      </c>
      <c r="N743" s="8" t="s">
        <v>2562</v>
      </c>
      <c r="O743" s="8" t="s">
        <v>404</v>
      </c>
      <c r="P743" s="8" t="s">
        <v>405</v>
      </c>
      <c r="Q743" s="12" t="str">
        <f>HYPERLINK("http://www.wboc.com/story/28959278/police-investigating-officer-involved-shooting","http://www.wboc.com/story/28959278/police-investigating-officer-involved-shooting")</f>
        <v>http://www.wboc.com/story/28959278/police-investigating-officer-involved-shooting</v>
      </c>
      <c r="R743" s="8" t="s">
        <v>29</v>
      </c>
      <c r="S743" s="7" t="s">
        <v>28</v>
      </c>
      <c r="T743" s="6"/>
      <c r="U743" s="8"/>
    </row>
    <row r="744" spans="1:39" ht="13.5" customHeight="1">
      <c r="A744" s="8" t="s">
        <v>2563</v>
      </c>
      <c r="B744" s="16">
        <v>25</v>
      </c>
      <c r="C744" s="8" t="s">
        <v>115</v>
      </c>
      <c r="D744" s="8" t="s">
        <v>85</v>
      </c>
      <c r="E744" s="8" t="str">
        <f>HYPERLINK("http://mugshots.com/search.html?q=alexia%20christian&amp;c=119250","http://mugshots.com/search.html?q=alexia%20christian&amp;c=119250")</f>
        <v>http://mugshots.com/search.html?q=alexia%20christian&amp;c=119250</v>
      </c>
      <c r="F744" s="17">
        <v>42124</v>
      </c>
      <c r="G744" s="8" t="s">
        <v>2564</v>
      </c>
      <c r="H744" s="8" t="s">
        <v>1933</v>
      </c>
      <c r="I744" s="8" t="s">
        <v>175</v>
      </c>
      <c r="J744" s="16" t="s">
        <v>2565</v>
      </c>
      <c r="K744" s="2" t="s">
        <v>1572</v>
      </c>
      <c r="L744" s="8" t="s">
        <v>2566</v>
      </c>
      <c r="M744" s="8" t="s">
        <v>27</v>
      </c>
      <c r="N744" s="8" t="s">
        <v>2567</v>
      </c>
      <c r="O744" s="8" t="s">
        <v>404</v>
      </c>
      <c r="P744" s="8" t="s">
        <v>405</v>
      </c>
      <c r="Q744" s="12" t="str">
        <f>HYPERLINK("http://www.ajc.com/news/news/shots-fired-in-downtown-atlanta/nk6jp/","http://www.ajc.com/news/news/shots-fired-in-downtown-atlanta/nk6jp/")</f>
        <v>http://www.ajc.com/news/news/shots-fired-in-downtown-atlanta/nk6jp/</v>
      </c>
      <c r="S744" s="7" t="s">
        <v>28</v>
      </c>
      <c r="T744" s="6"/>
      <c r="U744" s="8"/>
      <c r="Y744" s="8"/>
      <c r="Z744" s="8"/>
      <c r="AA744" s="8"/>
      <c r="AB744" s="8"/>
      <c r="AC744" s="8"/>
      <c r="AD744" s="8"/>
      <c r="AE744" s="8"/>
      <c r="AF744" s="8"/>
      <c r="AG744" s="8"/>
      <c r="AH744" s="8"/>
    </row>
    <row r="745" spans="1:39" ht="13.5" customHeight="1">
      <c r="A745" s="8" t="s">
        <v>2568</v>
      </c>
      <c r="B745" s="16">
        <v>53</v>
      </c>
      <c r="C745" s="8" t="s">
        <v>20</v>
      </c>
      <c r="D745" s="8" t="s">
        <v>37</v>
      </c>
      <c r="E745" s="8" t="str">
        <f>HYPERLINK("http://www.wsmv.com/story/28940658/police-investigating-shooting-in-south-nashville","http://www.wsmv.com/story/28940658/police-investigating-shooting-in-south-nashville")</f>
        <v>http://www.wsmv.com/story/28940658/police-investigating-shooting-in-south-nashville</v>
      </c>
      <c r="F745" s="17">
        <v>42124</v>
      </c>
      <c r="G745" s="8" t="s">
        <v>2569</v>
      </c>
      <c r="H745" s="8" t="s">
        <v>2045</v>
      </c>
      <c r="I745" s="8" t="s">
        <v>323</v>
      </c>
      <c r="J745" s="16">
        <v>37220</v>
      </c>
      <c r="K745" s="2" t="s">
        <v>887</v>
      </c>
      <c r="L745" s="8" t="s">
        <v>888</v>
      </c>
      <c r="M745" s="8" t="s">
        <v>27</v>
      </c>
      <c r="N745" s="8" t="s">
        <v>2570</v>
      </c>
      <c r="O745" s="8" t="s">
        <v>1018</v>
      </c>
      <c r="P745" s="8" t="s">
        <v>405</v>
      </c>
      <c r="Q745" s="12" t="str">
        <f>HYPERLINK("http://www.wsmv.com/story/28940658/police-investigating-shooting-in-south-nashville","http://www.wsmv.com/story/28940658/police-investigating-shooting-in-south-nashville")</f>
        <v>http://www.wsmv.com/story/28940658/police-investigating-shooting-in-south-nashville</v>
      </c>
      <c r="R745" s="8" t="s">
        <v>559</v>
      </c>
      <c r="S745" s="7" t="s">
        <v>28</v>
      </c>
      <c r="T745" s="6"/>
      <c r="U745" s="8"/>
    </row>
    <row r="746" spans="1:39" ht="13.5" customHeight="1">
      <c r="A746" s="8" t="s">
        <v>2590</v>
      </c>
      <c r="B746" s="16">
        <v>26</v>
      </c>
      <c r="C746" s="8" t="s">
        <v>20</v>
      </c>
      <c r="D746" s="8" t="s">
        <v>141</v>
      </c>
      <c r="F746" s="17">
        <v>42123</v>
      </c>
      <c r="G746" s="8" t="s">
        <v>2591</v>
      </c>
      <c r="H746" s="8" t="s">
        <v>2592</v>
      </c>
      <c r="I746" s="8" t="s">
        <v>399</v>
      </c>
      <c r="J746" s="16">
        <v>73018</v>
      </c>
      <c r="K746" s="2" t="s">
        <v>2593</v>
      </c>
      <c r="L746" s="8" t="s">
        <v>2594</v>
      </c>
      <c r="M746" s="8" t="s">
        <v>27</v>
      </c>
      <c r="N746" s="8" t="s">
        <v>2595</v>
      </c>
      <c r="O746" s="8" t="s">
        <v>1018</v>
      </c>
      <c r="P746" s="8" t="s">
        <v>405</v>
      </c>
      <c r="Q746" s="12" t="str">
        <f>HYPERLINK("http://kfor.com/2015/04/29/oklahoma-police-officer-involved-in-fatal-shooting/","http://kfor.com/2015/04/29/oklahoma-police-officer-involved-in-fatal-shooting/")</f>
        <v>http://kfor.com/2015/04/29/oklahoma-police-officer-involved-in-fatal-shooting/</v>
      </c>
      <c r="R746" s="8" t="s">
        <v>100</v>
      </c>
      <c r="S746" s="7" t="s">
        <v>28</v>
      </c>
      <c r="T746" s="6"/>
      <c r="U746" s="8"/>
    </row>
    <row r="747" spans="1:39" ht="13.5" customHeight="1">
      <c r="A747" s="8" t="s">
        <v>2586</v>
      </c>
      <c r="B747" s="16">
        <v>22</v>
      </c>
      <c r="C747" s="8" t="s">
        <v>20</v>
      </c>
      <c r="D747" s="8" t="s">
        <v>48</v>
      </c>
      <c r="E747" s="8" t="s">
        <v>2587</v>
      </c>
      <c r="F747" s="17">
        <v>42123</v>
      </c>
      <c r="G747" s="8" t="s">
        <v>2588</v>
      </c>
      <c r="H747" s="8" t="s">
        <v>865</v>
      </c>
      <c r="I747" s="8" t="s">
        <v>73</v>
      </c>
      <c r="J747" s="16">
        <v>79907</v>
      </c>
      <c r="K747" s="2" t="s">
        <v>865</v>
      </c>
      <c r="L747" s="8" t="s">
        <v>866</v>
      </c>
      <c r="M747" s="8" t="s">
        <v>27</v>
      </c>
      <c r="N747" s="8" t="s">
        <v>2589</v>
      </c>
      <c r="O747" s="8" t="s">
        <v>404</v>
      </c>
      <c r="P747" s="8" t="s">
        <v>405</v>
      </c>
      <c r="Q747" s="12" t="str">
        <f>HYPERLINK("http://www.elpasotimes.com/news/ci_28023272/el-paso-police-officer-shot-and-killed-burglary","http://www.elpasotimes.com/news/ci_28023272/el-paso-police-officer-shot-and-killed-burglary")</f>
        <v>http://www.elpasotimes.com/news/ci_28023272/el-paso-police-officer-shot-and-killed-burglary</v>
      </c>
      <c r="R747" s="8" t="s">
        <v>100</v>
      </c>
      <c r="S747" s="7" t="s">
        <v>28</v>
      </c>
      <c r="T747" s="6"/>
      <c r="U747" s="8"/>
    </row>
    <row r="748" spans="1:39" ht="13.5" customHeight="1">
      <c r="A748" s="8" t="s">
        <v>2571</v>
      </c>
      <c r="B748" s="16">
        <v>42</v>
      </c>
      <c r="C748" s="8" t="s">
        <v>20</v>
      </c>
      <c r="D748" s="8" t="s">
        <v>21</v>
      </c>
      <c r="E748" s="8" t="s">
        <v>2572</v>
      </c>
      <c r="F748" s="17">
        <v>42123</v>
      </c>
      <c r="G748" s="8" t="s">
        <v>2573</v>
      </c>
      <c r="H748" s="8" t="s">
        <v>158</v>
      </c>
      <c r="I748" s="8" t="s">
        <v>45</v>
      </c>
      <c r="J748" s="16">
        <v>92110</v>
      </c>
      <c r="K748" s="2" t="s">
        <v>158</v>
      </c>
      <c r="L748" s="8" t="s">
        <v>159</v>
      </c>
      <c r="M748" s="8" t="s">
        <v>27</v>
      </c>
      <c r="N748" s="8" t="s">
        <v>2574</v>
      </c>
      <c r="O748" s="8" t="s">
        <v>2575</v>
      </c>
      <c r="P748" s="8" t="s">
        <v>405</v>
      </c>
      <c r="Q748"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748" s="8" t="s">
        <v>29</v>
      </c>
      <c r="S748" s="7" t="s">
        <v>28</v>
      </c>
      <c r="T748" s="6"/>
      <c r="U748" s="8"/>
      <c r="AI748" s="8"/>
      <c r="AJ748" s="8"/>
      <c r="AK748" s="8"/>
      <c r="AL748" s="8"/>
      <c r="AM748" s="8"/>
    </row>
    <row r="749" spans="1:39" ht="13.5" customHeight="1">
      <c r="A749" s="8" t="s">
        <v>2576</v>
      </c>
      <c r="B749" s="16">
        <v>53</v>
      </c>
      <c r="C749" s="8" t="s">
        <v>20</v>
      </c>
      <c r="D749" s="8" t="s">
        <v>85</v>
      </c>
      <c r="E749" s="8" t="str">
        <f>HYPERLINK("http://wtvr.com/2015/04/30/greensville-county-sheriff-shooting/","http://wtvr.com/2015/04/30/greensville-county-sheriff-shooting/")</f>
        <v>http://wtvr.com/2015/04/30/greensville-county-sheriff-shooting/</v>
      </c>
      <c r="F749" s="17">
        <v>42123</v>
      </c>
      <c r="G749" s="8" t="s">
        <v>2577</v>
      </c>
      <c r="H749" s="8" t="s">
        <v>2578</v>
      </c>
      <c r="I749" s="8" t="s">
        <v>247</v>
      </c>
      <c r="J749" s="16">
        <v>23847</v>
      </c>
      <c r="K749" s="2" t="s">
        <v>2579</v>
      </c>
      <c r="L749" s="8" t="s">
        <v>2580</v>
      </c>
      <c r="M749" s="8" t="s">
        <v>27</v>
      </c>
      <c r="N749" s="8" t="s">
        <v>2581</v>
      </c>
      <c r="O749" s="8" t="s">
        <v>1018</v>
      </c>
      <c r="P749" s="8" t="s">
        <v>405</v>
      </c>
      <c r="Q749" s="12"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749" s="8" t="s">
        <v>559</v>
      </c>
      <c r="S749" s="7" t="s">
        <v>28</v>
      </c>
      <c r="T749" s="6"/>
      <c r="U749" s="8"/>
      <c r="Y749" s="8"/>
      <c r="Z749" s="8"/>
      <c r="AA749" s="8"/>
      <c r="AB749" s="8"/>
      <c r="AC749" s="8"/>
      <c r="AD749" s="8"/>
      <c r="AE749" s="8"/>
      <c r="AF749" s="8"/>
      <c r="AG749" s="8"/>
      <c r="AH749" s="8"/>
    </row>
    <row r="750" spans="1:39" ht="13.5" customHeight="1">
      <c r="A750" s="8" t="s">
        <v>2582</v>
      </c>
      <c r="B750" s="16">
        <v>33</v>
      </c>
      <c r="C750" s="8" t="s">
        <v>20</v>
      </c>
      <c r="D750" s="8" t="s">
        <v>48</v>
      </c>
      <c r="E750" s="8" t="s">
        <v>2583</v>
      </c>
      <c r="F750" s="17">
        <v>42123</v>
      </c>
      <c r="G750" s="8" t="s">
        <v>2584</v>
      </c>
      <c r="H750" s="8" t="s">
        <v>1442</v>
      </c>
      <c r="I750" s="8" t="s">
        <v>124</v>
      </c>
      <c r="J750" s="16">
        <v>85204</v>
      </c>
      <c r="K750" s="2" t="s">
        <v>639</v>
      </c>
      <c r="L750" s="8" t="s">
        <v>1443</v>
      </c>
      <c r="M750" s="8" t="s">
        <v>27</v>
      </c>
      <c r="N750" s="8" t="s">
        <v>2585</v>
      </c>
      <c r="O750" s="8" t="s">
        <v>1018</v>
      </c>
      <c r="P750" s="8" t="s">
        <v>405</v>
      </c>
      <c r="Q750" s="12"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750" s="8" t="s">
        <v>100</v>
      </c>
      <c r="S750" s="7" t="s">
        <v>28</v>
      </c>
      <c r="T750" s="6"/>
      <c r="U750" s="8"/>
    </row>
    <row r="751" spans="1:39" ht="13.5" customHeight="1">
      <c r="A751" s="8" t="s">
        <v>2596</v>
      </c>
      <c r="B751" s="16">
        <v>27</v>
      </c>
      <c r="C751" s="8" t="s">
        <v>20</v>
      </c>
      <c r="D751" s="8" t="s">
        <v>48</v>
      </c>
      <c r="F751" s="17">
        <v>42123</v>
      </c>
      <c r="G751" s="8" t="s">
        <v>2597</v>
      </c>
      <c r="H751" s="8" t="s">
        <v>2598</v>
      </c>
      <c r="I751" s="8" t="s">
        <v>45</v>
      </c>
      <c r="J751" s="16" t="s">
        <v>2599</v>
      </c>
      <c r="K751" s="2" t="s">
        <v>1658</v>
      </c>
      <c r="L751" s="8" t="s">
        <v>2600</v>
      </c>
      <c r="M751" s="8" t="s">
        <v>27</v>
      </c>
      <c r="N751" s="8" t="s">
        <v>2601</v>
      </c>
      <c r="O751" s="8" t="s">
        <v>1018</v>
      </c>
      <c r="P751" s="8" t="s">
        <v>405</v>
      </c>
      <c r="Q751" s="12" t="str">
        <f>HYPERLINK("http://www.sacbee.com/news/local/crime/article19860156.html","http://www.sacbee.com/news/local/crime/article19860156.html")</f>
        <v>http://www.sacbee.com/news/local/crime/article19860156.html</v>
      </c>
      <c r="R751" s="8" t="s">
        <v>100</v>
      </c>
      <c r="S751" s="7" t="s">
        <v>28</v>
      </c>
      <c r="T751" s="6"/>
      <c r="U751" s="8"/>
    </row>
    <row r="752" spans="1:39" ht="13.5" customHeight="1">
      <c r="A752" s="8" t="s">
        <v>2612</v>
      </c>
      <c r="B752" s="16">
        <v>58</v>
      </c>
      <c r="C752" s="8" t="s">
        <v>20</v>
      </c>
      <c r="D752" s="8" t="s">
        <v>37</v>
      </c>
      <c r="E752" s="8"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752" s="17">
        <v>42122</v>
      </c>
      <c r="G752" s="8" t="s">
        <v>2613</v>
      </c>
      <c r="H752" s="8" t="s">
        <v>2614</v>
      </c>
      <c r="I752" s="8" t="s">
        <v>81</v>
      </c>
      <c r="J752" s="16">
        <v>44907</v>
      </c>
      <c r="K752" s="2" t="s">
        <v>2615</v>
      </c>
      <c r="L752" s="8" t="s">
        <v>2616</v>
      </c>
      <c r="M752" s="8" t="s">
        <v>27</v>
      </c>
      <c r="N752" s="8" t="s">
        <v>2617</v>
      </c>
      <c r="O752" s="8" t="s">
        <v>1018</v>
      </c>
      <c r="P752" s="8" t="s">
        <v>405</v>
      </c>
      <c r="Q752" s="12"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752" s="8" t="s">
        <v>100</v>
      </c>
      <c r="S752" s="7" t="s">
        <v>28</v>
      </c>
      <c r="T752" s="6"/>
      <c r="U752" s="8"/>
    </row>
    <row r="753" spans="1:39" ht="13.5" customHeight="1">
      <c r="A753" s="8" t="s">
        <v>2602</v>
      </c>
      <c r="B753" s="16">
        <v>22</v>
      </c>
      <c r="C753" s="8" t="s">
        <v>20</v>
      </c>
      <c r="D753" s="8" t="s">
        <v>85</v>
      </c>
      <c r="E753" s="8" t="s">
        <v>2603</v>
      </c>
      <c r="F753" s="17">
        <v>42122</v>
      </c>
      <c r="G753" s="8" t="s">
        <v>2604</v>
      </c>
      <c r="H753" s="8" t="s">
        <v>1048</v>
      </c>
      <c r="I753" s="8" t="s">
        <v>25</v>
      </c>
      <c r="J753" s="16">
        <v>70126</v>
      </c>
      <c r="K753" s="2" t="s">
        <v>2605</v>
      </c>
      <c r="L753" s="8" t="s">
        <v>1050</v>
      </c>
      <c r="M753" s="8" t="s">
        <v>27</v>
      </c>
      <c r="N753" s="8" t="s">
        <v>2606</v>
      </c>
      <c r="O753" s="8" t="s">
        <v>1018</v>
      </c>
      <c r="P753" s="8" t="s">
        <v>405</v>
      </c>
      <c r="Q753" s="12" t="str">
        <f>HYPERLINK("http://www.wwltv.com/story/news/crime/2015/04/28/nopd-on-scene-of-officer-needing-assistance/26555847/","http://www.wwltv.com/story/news/crime/2015/04/28/nopd-on-scene-of-officer-needing-assistance/26555847/")</f>
        <v>http://www.wwltv.com/story/news/crime/2015/04/28/nopd-on-scene-of-officer-needing-assistance/26555847/</v>
      </c>
      <c r="R753" s="8" t="s">
        <v>100</v>
      </c>
      <c r="S753" s="7" t="s">
        <v>28</v>
      </c>
      <c r="T753" s="6"/>
      <c r="U753" s="8"/>
    </row>
    <row r="754" spans="1:39" ht="13.5" customHeight="1">
      <c r="A754" s="8" t="s">
        <v>2607</v>
      </c>
      <c r="B754" s="16">
        <v>27</v>
      </c>
      <c r="C754" s="8" t="s">
        <v>20</v>
      </c>
      <c r="D754" s="8" t="s">
        <v>37</v>
      </c>
      <c r="E754" s="8" t="str">
        <f>HYPERLINK("http://www.kfvs12.com/story/28915534/1-dead-after-standoff-in-marion","http://www.kfvs12.com/story/28915534/1-dead-after-standoff-in-marion")</f>
        <v>http://www.kfvs12.com/story/28915534/1-dead-after-standoff-in-marion</v>
      </c>
      <c r="F754" s="17">
        <v>42122</v>
      </c>
      <c r="G754" s="8" t="s">
        <v>2608</v>
      </c>
      <c r="H754" s="8" t="s">
        <v>424</v>
      </c>
      <c r="I754" s="8" t="s">
        <v>44</v>
      </c>
      <c r="J754" s="16">
        <v>62959</v>
      </c>
      <c r="K754" s="2" t="s">
        <v>2609</v>
      </c>
      <c r="L754" s="8" t="s">
        <v>2610</v>
      </c>
      <c r="M754" s="8" t="s">
        <v>27</v>
      </c>
      <c r="N754" s="8" t="s">
        <v>2611</v>
      </c>
      <c r="O754" s="8" t="s">
        <v>1018</v>
      </c>
      <c r="P754" s="8" t="s">
        <v>405</v>
      </c>
      <c r="Q754" s="12" t="str">
        <f>HYPERLINK("http://www.kfvs12.com/story/28915534/1-dead-after-standoff-in-marion","http://www.kfvs12.com/story/28915534/1-dead-after-standoff-in-marion")</f>
        <v>http://www.kfvs12.com/story/28915534/1-dead-after-standoff-in-marion</v>
      </c>
      <c r="R754" s="8" t="s">
        <v>100</v>
      </c>
      <c r="S754" s="7" t="s">
        <v>28</v>
      </c>
      <c r="T754" s="6"/>
      <c r="U754" s="8"/>
    </row>
    <row r="755" spans="1:39" ht="13.5" customHeight="1">
      <c r="A755" s="8" t="s">
        <v>20882</v>
      </c>
      <c r="B755" s="16">
        <v>30</v>
      </c>
      <c r="C755" s="8" t="s">
        <v>20</v>
      </c>
      <c r="D755" s="8" t="s">
        <v>85</v>
      </c>
      <c r="E755" s="8" t="s">
        <v>20883</v>
      </c>
      <c r="F755" s="17">
        <v>42122</v>
      </c>
      <c r="G755" s="8" t="s">
        <v>20884</v>
      </c>
      <c r="H755" s="8" t="s">
        <v>4078</v>
      </c>
      <c r="I755" s="8" t="s">
        <v>175</v>
      </c>
      <c r="J755" s="3" t="s">
        <v>4079</v>
      </c>
      <c r="K755" s="3" t="s">
        <v>4080</v>
      </c>
      <c r="L755" s="3" t="s">
        <v>20885</v>
      </c>
      <c r="M755" s="3" t="s">
        <v>383</v>
      </c>
      <c r="N755" s="3" t="s">
        <v>20886</v>
      </c>
      <c r="O755" s="3" t="s">
        <v>2958</v>
      </c>
      <c r="P755" s="8" t="s">
        <v>405</v>
      </c>
      <c r="Q755" s="34" t="s">
        <v>20887</v>
      </c>
      <c r="R755" s="3" t="s">
        <v>100</v>
      </c>
      <c r="S755" s="3" t="s">
        <v>18</v>
      </c>
      <c r="T755" s="3"/>
      <c r="U755" s="3"/>
      <c r="V755" s="24"/>
      <c r="W755" s="24"/>
      <c r="X755" s="24"/>
      <c r="Y755" s="24"/>
      <c r="Z755" s="24"/>
      <c r="AA755" s="24"/>
      <c r="AB755" s="24"/>
      <c r="AC755" s="24"/>
      <c r="AD755" s="24"/>
      <c r="AE755" s="24"/>
      <c r="AF755" s="24"/>
      <c r="AG755" s="24"/>
      <c r="AH755" s="24"/>
      <c r="AI755" s="24"/>
      <c r="AJ755" s="24"/>
      <c r="AK755" s="24"/>
      <c r="AL755" s="24"/>
      <c r="AM755" s="24"/>
    </row>
    <row r="756" spans="1:39" ht="13.5" customHeight="1">
      <c r="A756" s="8" t="s">
        <v>2618</v>
      </c>
      <c r="B756" s="16">
        <v>20</v>
      </c>
      <c r="C756" s="8" t="s">
        <v>20</v>
      </c>
      <c r="D756" s="8" t="s">
        <v>85</v>
      </c>
      <c r="F756" s="17">
        <v>42121</v>
      </c>
      <c r="G756" s="8" t="s">
        <v>2619</v>
      </c>
      <c r="H756" s="8" t="s">
        <v>448</v>
      </c>
      <c r="I756" s="8" t="s">
        <v>57</v>
      </c>
      <c r="J756" s="16">
        <v>48228</v>
      </c>
      <c r="K756" s="2" t="s">
        <v>1139</v>
      </c>
      <c r="L756" s="8" t="s">
        <v>2620</v>
      </c>
      <c r="M756" s="8" t="s">
        <v>27</v>
      </c>
      <c r="N756" s="8" t="s">
        <v>2621</v>
      </c>
      <c r="O756" s="8" t="s">
        <v>1018</v>
      </c>
      <c r="P756" s="8" t="s">
        <v>405</v>
      </c>
      <c r="Q756" s="12" t="str">
        <f>HYPERLINK("http://america.aljazeera.com/articles/2015/4/29/terrance-kellom-shot-dead-in-detroit-by-ice-agent.html","http://america.aljazeera.com/articles/2015/4/29/terrance-kellom-shot-dead-in-detroit-by-ice-agent.html")</f>
        <v>http://america.aljazeera.com/articles/2015/4/29/terrance-kellom-shot-dead-in-detroit-by-ice-agent.html</v>
      </c>
      <c r="R756" s="8" t="s">
        <v>100</v>
      </c>
      <c r="S756" s="7" t="s">
        <v>18</v>
      </c>
      <c r="T756" s="6"/>
      <c r="U756" s="8"/>
    </row>
    <row r="757" spans="1:39" ht="13.5" customHeight="1">
      <c r="A757" s="8" t="s">
        <v>2628</v>
      </c>
      <c r="B757" s="16">
        <v>76</v>
      </c>
      <c r="C757" s="8" t="s">
        <v>20</v>
      </c>
      <c r="D757" s="8" t="s">
        <v>37</v>
      </c>
      <c r="F757" s="17">
        <v>42120</v>
      </c>
      <c r="G757" s="8" t="s">
        <v>2629</v>
      </c>
      <c r="H757" s="8" t="s">
        <v>2630</v>
      </c>
      <c r="I757" s="8" t="s">
        <v>45</v>
      </c>
      <c r="J757" s="16" t="s">
        <v>2631</v>
      </c>
      <c r="K757" s="2" t="s">
        <v>1729</v>
      </c>
      <c r="L757" s="8" t="s">
        <v>2632</v>
      </c>
      <c r="M757" s="8" t="s">
        <v>27</v>
      </c>
      <c r="N757" s="8" t="s">
        <v>2633</v>
      </c>
      <c r="O757" s="8" t="s">
        <v>404</v>
      </c>
      <c r="P757" s="8" t="s">
        <v>405</v>
      </c>
      <c r="Q757" s="12" t="s">
        <v>2634</v>
      </c>
      <c r="S757" s="7" t="s">
        <v>28</v>
      </c>
      <c r="T757" s="6"/>
      <c r="U757" s="8"/>
    </row>
    <row r="758" spans="1:39" ht="13.5" customHeight="1">
      <c r="A758" s="8" t="s">
        <v>2635</v>
      </c>
      <c r="B758" s="16">
        <v>29</v>
      </c>
      <c r="C758" s="8" t="s">
        <v>20</v>
      </c>
      <c r="D758" s="8" t="s">
        <v>37</v>
      </c>
      <c r="E758" s="8"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758" s="17">
        <v>42120</v>
      </c>
      <c r="H758" s="8" t="s">
        <v>2636</v>
      </c>
      <c r="I758" s="8" t="s">
        <v>399</v>
      </c>
      <c r="J758" s="16">
        <v>74931</v>
      </c>
      <c r="K758" s="2" t="s">
        <v>2637</v>
      </c>
      <c r="L758" s="8" t="s">
        <v>2638</v>
      </c>
      <c r="M758" s="8" t="s">
        <v>27</v>
      </c>
      <c r="N758" s="8" t="s">
        <v>2639</v>
      </c>
      <c r="O758" s="8" t="s">
        <v>2640</v>
      </c>
      <c r="P758" s="8" t="s">
        <v>405</v>
      </c>
      <c r="Q758" s="12" t="s">
        <v>2641</v>
      </c>
      <c r="S758" s="7" t="s">
        <v>18</v>
      </c>
      <c r="T758" s="6"/>
      <c r="U758" s="8"/>
    </row>
    <row r="759" spans="1:39" ht="13.5" customHeight="1">
      <c r="A759" s="8" t="s">
        <v>2642</v>
      </c>
      <c r="B759" s="16">
        <v>25</v>
      </c>
      <c r="C759" s="8" t="s">
        <v>20</v>
      </c>
      <c r="D759" s="8" t="s">
        <v>37</v>
      </c>
      <c r="E759" s="8" t="str">
        <f>HYPERLINK("https://www.victoriaadvocate.com/news/2015/apr/27/parents-of-veteran-fatally-shot-by-police-seek-ans/","https://www.victoriaadvocate.com/news/2015/apr/27/parents-of-veteran-fatally-shot-by-police-seek-ans/")</f>
        <v>https://www.victoriaadvocate.com/news/2015/apr/27/parents-of-veteran-fatally-shot-by-police-seek-ans/</v>
      </c>
      <c r="F759" s="17">
        <v>42120</v>
      </c>
      <c r="G759" s="8" t="s">
        <v>2643</v>
      </c>
      <c r="H759" s="8" t="s">
        <v>2644</v>
      </c>
      <c r="I759" s="8" t="s">
        <v>73</v>
      </c>
      <c r="J759" s="16">
        <v>77904</v>
      </c>
      <c r="K759" s="2" t="s">
        <v>2644</v>
      </c>
      <c r="L759" s="8" t="s">
        <v>2645</v>
      </c>
      <c r="M759" s="8" t="s">
        <v>27</v>
      </c>
      <c r="N759" s="8" t="s">
        <v>2646</v>
      </c>
      <c r="O759" s="8" t="s">
        <v>1018</v>
      </c>
      <c r="P759" s="8" t="s">
        <v>405</v>
      </c>
      <c r="Q759" s="12" t="str">
        <f>HYPERLINK("https://www.victoriaadvocate.com/news/2015/apr/27/parents-of-veteran-fatally-shot-by-police-seek-ans/","https://www.victoriaadvocate.com/news/2015/apr/27/parents-of-veteran-fatally-shot-by-police-seek-ans/")</f>
        <v>https://www.victoriaadvocate.com/news/2015/apr/27/parents-of-veteran-fatally-shot-by-police-seek-ans/</v>
      </c>
      <c r="R759" s="8" t="s">
        <v>100</v>
      </c>
      <c r="S759" s="7" t="s">
        <v>28</v>
      </c>
      <c r="T759" s="6"/>
      <c r="U759" s="8"/>
    </row>
    <row r="760" spans="1:39" ht="13.5" customHeight="1">
      <c r="A760" s="8" t="s">
        <v>2622</v>
      </c>
      <c r="B760" s="16">
        <v>45</v>
      </c>
      <c r="C760" s="8" t="s">
        <v>20</v>
      </c>
      <c r="D760" s="8" t="s">
        <v>37</v>
      </c>
      <c r="E760" s="8" t="s">
        <v>2623</v>
      </c>
      <c r="F760" s="17">
        <v>42120</v>
      </c>
      <c r="G760" s="8" t="s">
        <v>2624</v>
      </c>
      <c r="H760" s="8" t="s">
        <v>2625</v>
      </c>
      <c r="I760" s="8" t="s">
        <v>45</v>
      </c>
      <c r="J760" s="16">
        <v>92708</v>
      </c>
      <c r="K760" s="2" t="s">
        <v>1070</v>
      </c>
      <c r="L760" s="8" t="s">
        <v>2626</v>
      </c>
      <c r="M760" s="8" t="s">
        <v>27</v>
      </c>
      <c r="N760" s="8" t="s">
        <v>2627</v>
      </c>
      <c r="O760" s="8" t="s">
        <v>1018</v>
      </c>
      <c r="P760" s="8" t="s">
        <v>405</v>
      </c>
      <c r="Q760" s="12" t="str">
        <f>HYPERLINK("http://abc7.com/news/burglary-suspect-killed-in-officer-involved-shooting-in-fountain-valley/682399/","http://abc7.com/news/burglary-suspect-killed-in-officer-involved-shooting-in-fountain-valley/682399/")</f>
        <v>http://abc7.com/news/burglary-suspect-killed-in-officer-involved-shooting-in-fountain-valley/682399/</v>
      </c>
      <c r="R760" s="8" t="s">
        <v>100</v>
      </c>
      <c r="S760" s="7" t="s">
        <v>28</v>
      </c>
      <c r="T760" s="6"/>
      <c r="U760" s="8"/>
    </row>
    <row r="761" spans="1:39" ht="13.5" customHeight="1">
      <c r="A761" s="8" t="s">
        <v>2651</v>
      </c>
      <c r="B761" s="16">
        <v>58</v>
      </c>
      <c r="C761" s="8" t="s">
        <v>20</v>
      </c>
      <c r="D761" s="8" t="s">
        <v>37</v>
      </c>
      <c r="E761" s="8" t="s">
        <v>2652</v>
      </c>
      <c r="F761" s="17">
        <v>42119</v>
      </c>
      <c r="G761" s="8" t="s">
        <v>2653</v>
      </c>
      <c r="H761" s="8" t="s">
        <v>2654</v>
      </c>
      <c r="I761" s="8" t="s">
        <v>62</v>
      </c>
      <c r="J761" s="16">
        <v>34711</v>
      </c>
      <c r="K761" s="2" t="s">
        <v>1269</v>
      </c>
      <c r="L761" s="8" t="s">
        <v>1270</v>
      </c>
      <c r="M761" s="8" t="s">
        <v>27</v>
      </c>
      <c r="N761" s="8" t="s">
        <v>2655</v>
      </c>
      <c r="O761" s="8" t="s">
        <v>1018</v>
      </c>
      <c r="P761" s="8" t="s">
        <v>405</v>
      </c>
      <c r="Q761" s="12" t="str">
        <f>HYPERLINK("http://www.wftv.com/news/news/local/1-fatally-shot-lake-county-deputy-involved-shootin/nk3ng/","http://www.wftv.com/news/news/local/1-fatally-shot-lake-county-deputy-involved-shootin/nk3ng/")</f>
        <v>http://www.wftv.com/news/news/local/1-fatally-shot-lake-county-deputy-involved-shootin/nk3ng/</v>
      </c>
      <c r="R761" s="8" t="s">
        <v>29</v>
      </c>
      <c r="S761" s="7" t="s">
        <v>28</v>
      </c>
      <c r="T761" s="6"/>
      <c r="U761" s="8"/>
    </row>
    <row r="762" spans="1:39" ht="13.5" customHeight="1">
      <c r="A762" s="8" t="s">
        <v>2647</v>
      </c>
      <c r="B762" s="16">
        <v>22</v>
      </c>
      <c r="C762" s="8" t="s">
        <v>20</v>
      </c>
      <c r="D762" s="8" t="s">
        <v>85</v>
      </c>
      <c r="E762" s="8"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762" s="17">
        <v>42119</v>
      </c>
      <c r="G762" s="8" t="s">
        <v>2648</v>
      </c>
      <c r="H762" s="8" t="s">
        <v>762</v>
      </c>
      <c r="I762" s="8" t="s">
        <v>427</v>
      </c>
      <c r="J762" s="16" t="s">
        <v>2649</v>
      </c>
      <c r="K762" s="2" t="s">
        <v>762</v>
      </c>
      <c r="L762" s="8" t="s">
        <v>586</v>
      </c>
      <c r="M762" s="8" t="s">
        <v>27</v>
      </c>
      <c r="N762" s="8" t="s">
        <v>2650</v>
      </c>
      <c r="O762" s="8" t="s">
        <v>1018</v>
      </c>
      <c r="P762" s="8" t="s">
        <v>405</v>
      </c>
      <c r="Q762" s="12" t="str">
        <f>HYPERLINK("http://www.nydailynews.com/new-york/cops-shoot-man-east-village-altercation-police-article-1.2198797","http://www.nydailynews.com/new-york/cops-shoot-man-east-village-altercation-police-article-1.2198797")</f>
        <v>http://www.nydailynews.com/new-york/cops-shoot-man-east-village-altercation-police-article-1.2198797</v>
      </c>
      <c r="R762" s="8" t="s">
        <v>559</v>
      </c>
      <c r="S762" s="7" t="s">
        <v>18</v>
      </c>
      <c r="T762" s="6"/>
      <c r="U762" s="8"/>
    </row>
    <row r="763" spans="1:39" ht="13.5" customHeight="1">
      <c r="A763" s="8" t="s">
        <v>2672</v>
      </c>
      <c r="B763" s="16">
        <v>63</v>
      </c>
      <c r="C763" s="8" t="s">
        <v>20</v>
      </c>
      <c r="D763" s="8" t="s">
        <v>30</v>
      </c>
      <c r="F763" s="17">
        <v>42118</v>
      </c>
      <c r="G763" s="8" t="s">
        <v>2673</v>
      </c>
      <c r="H763" s="8" t="s">
        <v>216</v>
      </c>
      <c r="I763" s="8" t="s">
        <v>69</v>
      </c>
      <c r="J763" s="16">
        <v>74354</v>
      </c>
      <c r="K763" s="2" t="s">
        <v>2674</v>
      </c>
      <c r="L763" s="8" t="s">
        <v>2062</v>
      </c>
      <c r="M763" s="8" t="s">
        <v>27</v>
      </c>
      <c r="N763" s="8" t="s">
        <v>2675</v>
      </c>
      <c r="O763" s="8" t="s">
        <v>2640</v>
      </c>
      <c r="P763" s="8" t="s">
        <v>405</v>
      </c>
      <c r="Q763" s="12" t="str">
        <f>HYPERLINK("http://www.miamiok.com/news/article_7116fd15-d23e-59c9-aa7e-043ec0f3871f.html","http://www.miamiok.com/news/article_7116fd15-d23e-59c9-aa7e-043ec0f3871f.html")</f>
        <v>http://www.miamiok.com/news/article_7116fd15-d23e-59c9-aa7e-043ec0f3871f.html</v>
      </c>
      <c r="R763" s="8" t="s">
        <v>29</v>
      </c>
      <c r="S763" s="7" t="s">
        <v>28</v>
      </c>
      <c r="T763" s="6"/>
      <c r="U763" s="8"/>
    </row>
    <row r="764" spans="1:39" ht="13.5" customHeight="1">
      <c r="A764" s="8" t="s">
        <v>2663</v>
      </c>
      <c r="B764" s="16">
        <v>28</v>
      </c>
      <c r="C764" s="8" t="s">
        <v>20</v>
      </c>
      <c r="D764" s="8" t="s">
        <v>85</v>
      </c>
      <c r="F764" s="17">
        <v>42118</v>
      </c>
      <c r="G764" s="8" t="s">
        <v>2664</v>
      </c>
      <c r="H764" s="8" t="s">
        <v>2665</v>
      </c>
      <c r="I764" s="8" t="s">
        <v>370</v>
      </c>
      <c r="J764" s="16" t="s">
        <v>2666</v>
      </c>
      <c r="K764" s="2" t="s">
        <v>2667</v>
      </c>
      <c r="L764" s="8" t="s">
        <v>2668</v>
      </c>
      <c r="M764" s="8" t="s">
        <v>383</v>
      </c>
      <c r="N764" s="8" t="s">
        <v>2669</v>
      </c>
      <c r="O764" s="8" t="s">
        <v>1018</v>
      </c>
      <c r="P764" s="8" t="s">
        <v>405</v>
      </c>
      <c r="Q764" s="12" t="s">
        <v>2670</v>
      </c>
      <c r="R764" s="8" t="s">
        <v>100</v>
      </c>
      <c r="S764" s="8" t="s">
        <v>383</v>
      </c>
      <c r="T764" s="6"/>
      <c r="U764" s="8"/>
    </row>
    <row r="765" spans="1:39" ht="13.5" customHeight="1">
      <c r="A765" s="8" t="s">
        <v>2671</v>
      </c>
      <c r="B765" s="16">
        <v>29</v>
      </c>
      <c r="C765" s="8" t="s">
        <v>115</v>
      </c>
      <c r="D765" s="8" t="s">
        <v>85</v>
      </c>
      <c r="F765" s="17">
        <v>42118</v>
      </c>
      <c r="G765" s="8" t="s">
        <v>2664</v>
      </c>
      <c r="H765" s="8" t="s">
        <v>2665</v>
      </c>
      <c r="I765" s="8" t="s">
        <v>370</v>
      </c>
      <c r="J765" s="16" t="s">
        <v>2666</v>
      </c>
      <c r="K765" s="2" t="s">
        <v>2667</v>
      </c>
      <c r="L765" s="8" t="s">
        <v>2668</v>
      </c>
      <c r="M765" s="8" t="s">
        <v>383</v>
      </c>
      <c r="N765" s="8" t="s">
        <v>2669</v>
      </c>
      <c r="O765" s="8" t="s">
        <v>1018</v>
      </c>
      <c r="P765" s="8" t="s">
        <v>405</v>
      </c>
      <c r="Q765" s="12" t="s">
        <v>2670</v>
      </c>
      <c r="R765" s="8" t="s">
        <v>100</v>
      </c>
      <c r="S765" s="8" t="s">
        <v>383</v>
      </c>
      <c r="T765" s="6"/>
      <c r="U765" s="8"/>
    </row>
    <row r="766" spans="1:39" ht="13.5" customHeight="1">
      <c r="A766" s="8" t="s">
        <v>2676</v>
      </c>
      <c r="B766" s="16">
        <v>49</v>
      </c>
      <c r="C766" s="8" t="s">
        <v>20</v>
      </c>
      <c r="D766" s="8" t="s">
        <v>37</v>
      </c>
      <c r="E766" s="8"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766" s="17">
        <v>42118</v>
      </c>
      <c r="G766" s="8" t="s">
        <v>2677</v>
      </c>
      <c r="H766" s="8" t="s">
        <v>2678</v>
      </c>
      <c r="I766" s="8" t="s">
        <v>118</v>
      </c>
      <c r="J766" s="16">
        <v>97302</v>
      </c>
      <c r="K766" s="2" t="s">
        <v>424</v>
      </c>
      <c r="L766" s="8" t="s">
        <v>2679</v>
      </c>
      <c r="M766" s="8" t="s">
        <v>27</v>
      </c>
      <c r="N766" s="8" t="s">
        <v>2680</v>
      </c>
      <c r="O766" s="8" t="s">
        <v>1018</v>
      </c>
      <c r="P766" s="8" t="s">
        <v>405</v>
      </c>
      <c r="Q766" s="12"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766" s="8" t="s">
        <v>100</v>
      </c>
      <c r="S766" s="7" t="s">
        <v>28</v>
      </c>
      <c r="T766" s="6"/>
      <c r="U766" s="8"/>
    </row>
    <row r="767" spans="1:39" ht="13.5" customHeight="1">
      <c r="A767" s="8" t="s">
        <v>2656</v>
      </c>
      <c r="B767" s="16">
        <v>20</v>
      </c>
      <c r="C767" s="8" t="s">
        <v>20</v>
      </c>
      <c r="D767" s="8" t="s">
        <v>85</v>
      </c>
      <c r="E767" s="8" t="s">
        <v>2657</v>
      </c>
      <c r="F767" s="17">
        <v>42118</v>
      </c>
      <c r="G767" s="8" t="s">
        <v>2658</v>
      </c>
      <c r="H767" s="8" t="s">
        <v>2659</v>
      </c>
      <c r="I767" s="8" t="s">
        <v>212</v>
      </c>
      <c r="J767" s="16">
        <v>81082</v>
      </c>
      <c r="K767" s="2" t="s">
        <v>2660</v>
      </c>
      <c r="L767" s="8" t="s">
        <v>2661</v>
      </c>
      <c r="M767" s="8" t="s">
        <v>27</v>
      </c>
      <c r="N767" s="8" t="s">
        <v>2662</v>
      </c>
      <c r="O767" s="8" t="s">
        <v>1018</v>
      </c>
      <c r="P767" s="8" t="s">
        <v>405</v>
      </c>
      <c r="Q767" s="12" t="str">
        <f>HYPERLINK("http://www.kktv.com/home/headlines/Deadly-Officer-Involved-Shooting-in-Trinidad-301252451.html","http://www.kktv.com/home/headlines/Deadly-Officer-Involved-Shooting-in-Trinidad-301252451.html")</f>
        <v>http://www.kktv.com/home/headlines/Deadly-Officer-Involved-Shooting-in-Trinidad-301252451.html</v>
      </c>
      <c r="R767" s="8" t="s">
        <v>100</v>
      </c>
      <c r="S767" s="7" t="s">
        <v>28</v>
      </c>
      <c r="T767" s="6"/>
      <c r="U767" s="8"/>
    </row>
    <row r="768" spans="1:39" ht="13.5" customHeight="1">
      <c r="A768" s="8" t="s">
        <v>2689</v>
      </c>
      <c r="B768" s="16">
        <v>26</v>
      </c>
      <c r="C768" s="8" t="s">
        <v>20</v>
      </c>
      <c r="D768" s="8" t="s">
        <v>48</v>
      </c>
      <c r="F768" s="17">
        <v>42117</v>
      </c>
      <c r="G768" s="8" t="s">
        <v>2690</v>
      </c>
      <c r="H768" s="8" t="s">
        <v>2691</v>
      </c>
      <c r="I768" s="8" t="s">
        <v>45</v>
      </c>
      <c r="J768" s="16">
        <v>91342</v>
      </c>
      <c r="K768" s="2" t="s">
        <v>98</v>
      </c>
      <c r="L768" s="8" t="s">
        <v>99</v>
      </c>
      <c r="M768" s="8" t="s">
        <v>27</v>
      </c>
      <c r="N768" s="8" t="s">
        <v>2692</v>
      </c>
      <c r="O768" s="8" t="s">
        <v>1018</v>
      </c>
      <c r="P768" s="8" t="s">
        <v>405</v>
      </c>
      <c r="Q768" s="12" t="str">
        <f>HYPERLINK("http://www.latimes.com/local/lanow/la-me-ln-lapd-shoots-sylmar-gunman-20150423-story.html","http://www.latimes.com/local/lanow/la-me-ln-lapd-shoots-sylmar-gunman-20150423-story.html")</f>
        <v>http://www.latimes.com/local/lanow/la-me-ln-lapd-shoots-sylmar-gunman-20150423-story.html</v>
      </c>
      <c r="R768" s="8" t="s">
        <v>559</v>
      </c>
      <c r="S768" s="7" t="s">
        <v>28</v>
      </c>
      <c r="T768" s="6"/>
      <c r="U768" s="8"/>
    </row>
    <row r="769" spans="1:39" ht="13.5" customHeight="1">
      <c r="A769" s="8" t="s">
        <v>2704</v>
      </c>
      <c r="B769" s="16">
        <v>33</v>
      </c>
      <c r="C769" s="8" t="s">
        <v>20</v>
      </c>
      <c r="D769" s="8" t="s">
        <v>37</v>
      </c>
      <c r="E769" s="8" t="s">
        <v>2705</v>
      </c>
      <c r="F769" s="17">
        <v>42117</v>
      </c>
      <c r="G769" s="8" t="s">
        <v>2706</v>
      </c>
      <c r="H769" s="8" t="s">
        <v>2707</v>
      </c>
      <c r="I769" s="8" t="s">
        <v>69</v>
      </c>
      <c r="J769" s="16">
        <v>43050</v>
      </c>
      <c r="K769" s="2" t="s">
        <v>2708</v>
      </c>
      <c r="L769" s="8" t="s">
        <v>2709</v>
      </c>
      <c r="M769" s="8" t="s">
        <v>2312</v>
      </c>
      <c r="N769" s="8" t="s">
        <v>2710</v>
      </c>
      <c r="O769" s="8" t="s">
        <v>2640</v>
      </c>
      <c r="P769" s="8" t="s">
        <v>405</v>
      </c>
      <c r="Q769" s="12" t="str">
        <f>HYPERLINK("http://www.dispatch.com/content/stories/local/2015/04/27/Knox_County_jail_death.html","http://www.dispatch.com/content/stories/local/2015/04/27/Knox_County_jail_death.html")</f>
        <v>http://www.dispatch.com/content/stories/local/2015/04/27/Knox_County_jail_death.html</v>
      </c>
      <c r="R769" s="8" t="s">
        <v>559</v>
      </c>
      <c r="S769" s="7" t="s">
        <v>18</v>
      </c>
      <c r="T769" s="6"/>
      <c r="U769" s="8"/>
    </row>
    <row r="770" spans="1:39" ht="13.5" customHeight="1">
      <c r="A770" s="8" t="s">
        <v>2685</v>
      </c>
      <c r="B770" s="16">
        <v>19</v>
      </c>
      <c r="C770" s="8" t="s">
        <v>20</v>
      </c>
      <c r="D770" s="8" t="s">
        <v>48</v>
      </c>
      <c r="E770" s="8" t="s">
        <v>2686</v>
      </c>
      <c r="F770" s="17">
        <v>42117</v>
      </c>
      <c r="G770" s="8" t="s">
        <v>2687</v>
      </c>
      <c r="H770" s="8" t="s">
        <v>493</v>
      </c>
      <c r="I770" s="8" t="s">
        <v>45</v>
      </c>
      <c r="J770" s="16">
        <v>90813</v>
      </c>
      <c r="K770" s="2" t="s">
        <v>98</v>
      </c>
      <c r="L770" s="8" t="s">
        <v>494</v>
      </c>
      <c r="M770" s="8" t="s">
        <v>27</v>
      </c>
      <c r="N770" s="8" t="s">
        <v>2688</v>
      </c>
      <c r="O770" s="8" t="s">
        <v>1018</v>
      </c>
      <c r="P770" s="8" t="s">
        <v>405</v>
      </c>
      <c r="Q770" s="12"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770" s="8" t="s">
        <v>100</v>
      </c>
      <c r="S770" s="7" t="s">
        <v>18</v>
      </c>
      <c r="T770" s="6"/>
      <c r="U770" s="8"/>
    </row>
    <row r="771" spans="1:39" ht="13.5" customHeight="1">
      <c r="A771" s="8" t="s">
        <v>2699</v>
      </c>
      <c r="B771" s="16">
        <v>30</v>
      </c>
      <c r="C771" s="8" t="s">
        <v>20</v>
      </c>
      <c r="D771" s="8" t="s">
        <v>37</v>
      </c>
      <c r="E771" s="8"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771" s="17">
        <v>42117</v>
      </c>
      <c r="G771" s="8" t="s">
        <v>2700</v>
      </c>
      <c r="H771" s="8" t="s">
        <v>762</v>
      </c>
      <c r="I771" s="8" t="s">
        <v>427</v>
      </c>
      <c r="J771" s="16" t="s">
        <v>2701</v>
      </c>
      <c r="K771" s="2" t="s">
        <v>2702</v>
      </c>
      <c r="L771" s="8" t="s">
        <v>586</v>
      </c>
      <c r="M771" s="8" t="s">
        <v>27</v>
      </c>
      <c r="N771" s="8" t="s">
        <v>2703</v>
      </c>
      <c r="O771" s="8" t="s">
        <v>1018</v>
      </c>
      <c r="P771" s="8" t="s">
        <v>405</v>
      </c>
      <c r="Q771" s="12"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771" s="8" t="s">
        <v>972</v>
      </c>
      <c r="S771" s="7" t="s">
        <v>28</v>
      </c>
      <c r="T771" s="6"/>
      <c r="U771" s="8"/>
    </row>
    <row r="772" spans="1:39" ht="13.5" customHeight="1">
      <c r="A772" s="8" t="s">
        <v>2711</v>
      </c>
      <c r="B772" s="16">
        <v>51</v>
      </c>
      <c r="C772" s="8" t="s">
        <v>20</v>
      </c>
      <c r="D772" s="8" t="s">
        <v>37</v>
      </c>
      <c r="E772" s="8" t="str">
        <f>HYPERLINK("http://www.newson6.com/story/28881786/choctaw-county-law-enforcement-officers-shot-serving-warrant","http://www.newson6.com/story/28881786/choctaw-county-law-enforcement-officers-shot-serving-warrant")</f>
        <v>http://www.newson6.com/story/28881786/choctaw-county-law-enforcement-officers-shot-serving-warrant</v>
      </c>
      <c r="F772" s="17">
        <v>42117</v>
      </c>
      <c r="G772" s="8" t="s">
        <v>2712</v>
      </c>
      <c r="H772" s="8" t="s">
        <v>2713</v>
      </c>
      <c r="I772" s="8" t="s">
        <v>399</v>
      </c>
      <c r="J772" s="16" t="s">
        <v>2714</v>
      </c>
      <c r="K772" s="2" t="s">
        <v>1156</v>
      </c>
      <c r="L772" s="8" t="s">
        <v>2715</v>
      </c>
      <c r="M772" s="8" t="s">
        <v>27</v>
      </c>
      <c r="N772" s="8" t="s">
        <v>2716</v>
      </c>
      <c r="O772" s="8" t="s">
        <v>1018</v>
      </c>
      <c r="P772" s="8" t="s">
        <v>405</v>
      </c>
      <c r="Q772" s="12" t="str">
        <f>HYPERLINK("http://www.newson6.com/story/28881786/choctaw-county-law-enforcement-officers-shot-serving-warrant","http://www.newson6.com/story/28881786/choctaw-county-law-enforcement-officers-shot-serving-warrant")</f>
        <v>http://www.newson6.com/story/28881786/choctaw-county-law-enforcement-officers-shot-serving-warrant</v>
      </c>
      <c r="R772" s="8" t="s">
        <v>100</v>
      </c>
      <c r="S772" s="7" t="s">
        <v>28</v>
      </c>
      <c r="T772" s="6"/>
      <c r="U772" s="8"/>
    </row>
    <row r="773" spans="1:39" ht="13.5" customHeight="1">
      <c r="A773" s="8" t="s">
        <v>2693</v>
      </c>
      <c r="B773" s="16">
        <v>46</v>
      </c>
      <c r="C773" s="8" t="s">
        <v>115</v>
      </c>
      <c r="D773" s="8" t="s">
        <v>30</v>
      </c>
      <c r="F773" s="17">
        <v>42117</v>
      </c>
      <c r="G773" s="8" t="s">
        <v>2694</v>
      </c>
      <c r="H773" s="8" t="s">
        <v>2695</v>
      </c>
      <c r="I773" s="8" t="s">
        <v>45</v>
      </c>
      <c r="J773" s="16">
        <v>95472</v>
      </c>
      <c r="K773" s="2" t="s">
        <v>2696</v>
      </c>
      <c r="L773" s="8" t="s">
        <v>2697</v>
      </c>
      <c r="M773" s="8" t="s">
        <v>27</v>
      </c>
      <c r="N773" s="8" t="s">
        <v>2698</v>
      </c>
      <c r="O773" s="8" t="s">
        <v>1018</v>
      </c>
      <c r="P773" s="8" t="s">
        <v>405</v>
      </c>
      <c r="Q773" s="12" t="str">
        <f>HYPERLINK("http://sanfrancisco.cbslocal.com/2015/04/24/woman-shot-deputies-sonoma-county-chase-dies/","http://sanfrancisco.cbslocal.com/2015/04/24/woman-shot-deputies-sonoma-county-chase-dies/")</f>
        <v>http://sanfrancisco.cbslocal.com/2015/04/24/woman-shot-deputies-sonoma-county-chase-dies/</v>
      </c>
      <c r="R773" s="8" t="s">
        <v>100</v>
      </c>
      <c r="S773" s="7" t="s">
        <v>28</v>
      </c>
      <c r="T773" s="6"/>
      <c r="U773" s="8"/>
    </row>
    <row r="774" spans="1:39" ht="13.5" customHeight="1">
      <c r="A774" s="8" t="s">
        <v>2681</v>
      </c>
      <c r="B774" s="16">
        <v>48</v>
      </c>
      <c r="C774" s="8" t="s">
        <v>20</v>
      </c>
      <c r="D774" s="8" t="s">
        <v>85</v>
      </c>
      <c r="E774" s="8" t="s">
        <v>2682</v>
      </c>
      <c r="F774" s="17">
        <v>42117</v>
      </c>
      <c r="G774" s="8" t="s">
        <v>2683</v>
      </c>
      <c r="H774" s="8" t="s">
        <v>731</v>
      </c>
      <c r="I774" s="8" t="s">
        <v>73</v>
      </c>
      <c r="J774" s="16">
        <v>77033</v>
      </c>
      <c r="K774" s="2" t="s">
        <v>562</v>
      </c>
      <c r="L774" s="8" t="s">
        <v>732</v>
      </c>
      <c r="M774" s="8" t="s">
        <v>383</v>
      </c>
      <c r="N774" s="8" t="s">
        <v>2684</v>
      </c>
      <c r="O774" s="8" t="s">
        <v>1018</v>
      </c>
      <c r="P774" s="8" t="s">
        <v>405</v>
      </c>
      <c r="Q774" s="12" t="str">
        <f>HYPERLINK("http://abc13.com/news/hpd-officer-hits-kills-bicyclist-in-southeast-houston/677753/","http://abc13.com/news/hpd-officer-hits-kills-bicyclist-in-southeast-houston/677753/")</f>
        <v>http://abc13.com/news/hpd-officer-hits-kills-bicyclist-in-southeast-houston/677753/</v>
      </c>
      <c r="R774" s="8" t="s">
        <v>100</v>
      </c>
      <c r="S774" s="7" t="s">
        <v>18</v>
      </c>
      <c r="T774" s="6"/>
      <c r="U774" s="8"/>
    </row>
    <row r="775" spans="1:39" ht="13.5" customHeight="1">
      <c r="A775" s="8" t="s">
        <v>2722</v>
      </c>
      <c r="B775" s="16">
        <v>18</v>
      </c>
      <c r="C775" s="8" t="s">
        <v>20</v>
      </c>
      <c r="D775" s="8" t="s">
        <v>85</v>
      </c>
      <c r="E775" s="8" t="s">
        <v>2723</v>
      </c>
      <c r="F775" s="17">
        <v>42116</v>
      </c>
      <c r="G775" s="8" t="s">
        <v>2724</v>
      </c>
      <c r="H775" s="8" t="s">
        <v>2725</v>
      </c>
      <c r="I775" s="8" t="s">
        <v>247</v>
      </c>
      <c r="J775" s="16" t="s">
        <v>2726</v>
      </c>
      <c r="K775" s="2" t="s">
        <v>2727</v>
      </c>
      <c r="L775" s="8" t="s">
        <v>2728</v>
      </c>
      <c r="M775" s="8" t="s">
        <v>27</v>
      </c>
      <c r="N775" s="8" t="s">
        <v>2729</v>
      </c>
      <c r="O775" s="8" t="s">
        <v>1018</v>
      </c>
      <c r="P775" s="8" t="s">
        <v>1171</v>
      </c>
      <c r="Q775" s="12" t="s">
        <v>2730</v>
      </c>
      <c r="R775" s="8" t="s">
        <v>100</v>
      </c>
      <c r="S775" s="7" t="s">
        <v>18</v>
      </c>
      <c r="T775" s="6"/>
      <c r="U775" s="8"/>
    </row>
    <row r="776" spans="1:39" ht="13.5" customHeight="1">
      <c r="A776" s="8" t="s">
        <v>2735</v>
      </c>
      <c r="B776" s="16">
        <v>51</v>
      </c>
      <c r="C776" s="8" t="s">
        <v>20</v>
      </c>
      <c r="D776" s="8" t="s">
        <v>48</v>
      </c>
      <c r="E776" s="8" t="s">
        <v>2736</v>
      </c>
      <c r="F776" s="17">
        <v>42116</v>
      </c>
      <c r="G776" s="8" t="s">
        <v>2737</v>
      </c>
      <c r="H776" s="8" t="s">
        <v>2738</v>
      </c>
      <c r="I776" s="8" t="s">
        <v>124</v>
      </c>
      <c r="J776" s="16" t="s">
        <v>2739</v>
      </c>
      <c r="K776" s="2" t="s">
        <v>125</v>
      </c>
      <c r="L776" s="8" t="s">
        <v>2740</v>
      </c>
      <c r="M776" s="8" t="s">
        <v>27</v>
      </c>
      <c r="N776" s="8" t="s">
        <v>2741</v>
      </c>
      <c r="O776" s="8" t="s">
        <v>1018</v>
      </c>
      <c r="P776" s="8" t="s">
        <v>405</v>
      </c>
      <c r="Q776" s="12" t="s">
        <v>2742</v>
      </c>
      <c r="R776" s="8" t="s">
        <v>559</v>
      </c>
      <c r="S776" s="7" t="s">
        <v>28</v>
      </c>
      <c r="T776" s="6"/>
      <c r="U776" s="8"/>
    </row>
    <row r="777" spans="1:39" ht="13.5" customHeight="1">
      <c r="A777" s="8" t="s">
        <v>2731</v>
      </c>
      <c r="B777" s="16">
        <v>27</v>
      </c>
      <c r="C777" s="8" t="s">
        <v>20</v>
      </c>
      <c r="D777" s="8" t="s">
        <v>48</v>
      </c>
      <c r="F777" s="17">
        <v>42116</v>
      </c>
      <c r="G777" s="8" t="s">
        <v>2732</v>
      </c>
      <c r="H777" s="8" t="s">
        <v>1982</v>
      </c>
      <c r="I777" s="8" t="s">
        <v>45</v>
      </c>
      <c r="J777" s="16" t="s">
        <v>2733</v>
      </c>
      <c r="K777" s="2" t="s">
        <v>313</v>
      </c>
      <c r="L777" s="8" t="s">
        <v>741</v>
      </c>
      <c r="M777" s="8" t="s">
        <v>27</v>
      </c>
      <c r="N777" s="8" t="s">
        <v>2734</v>
      </c>
      <c r="O777" s="8" t="s">
        <v>1018</v>
      </c>
      <c r="P777" s="8" t="s">
        <v>405</v>
      </c>
      <c r="Q777" s="12" t="str">
        <f>HYPERLINK("http://www.bakersfieldnow.com/news/local/Man-shot-in-Delano-300955291.html","http://www.bakersfieldnow.com/news/local/Man-shot-in-Delano-300955291.html")</f>
        <v>http://www.bakersfieldnow.com/news/local/Man-shot-in-Delano-300955291.html</v>
      </c>
      <c r="R777" s="8" t="s">
        <v>972</v>
      </c>
      <c r="S777" s="7" t="s">
        <v>18</v>
      </c>
      <c r="T777" s="6"/>
      <c r="U777" s="8"/>
    </row>
    <row r="778" spans="1:39" ht="13.5" customHeight="1">
      <c r="A778" s="8" t="s">
        <v>2749</v>
      </c>
      <c r="B778" s="16">
        <v>59</v>
      </c>
      <c r="C778" s="8" t="s">
        <v>20</v>
      </c>
      <c r="D778" s="8" t="s">
        <v>30</v>
      </c>
      <c r="F778" s="17">
        <v>42116</v>
      </c>
      <c r="G778" s="8" t="s">
        <v>2750</v>
      </c>
      <c r="H778" s="8" t="s">
        <v>51</v>
      </c>
      <c r="I778" s="8" t="s">
        <v>32</v>
      </c>
      <c r="J778" s="16" t="s">
        <v>2751</v>
      </c>
      <c r="K778" s="2" t="s">
        <v>1015</v>
      </c>
      <c r="L778" s="8" t="s">
        <v>2752</v>
      </c>
      <c r="M778" s="8" t="s">
        <v>27</v>
      </c>
      <c r="N778" s="8" t="s">
        <v>2753</v>
      </c>
      <c r="O778" s="8" t="s">
        <v>404</v>
      </c>
      <c r="P778" s="8" t="s">
        <v>405</v>
      </c>
      <c r="Q778" s="12" t="s">
        <v>2754</v>
      </c>
      <c r="R778" s="8" t="s">
        <v>100</v>
      </c>
      <c r="S778" s="7" t="s">
        <v>28</v>
      </c>
      <c r="T778" s="6"/>
      <c r="U778" s="8"/>
    </row>
    <row r="779" spans="1:39" ht="13.5" customHeight="1">
      <c r="A779" s="8" t="s">
        <v>2717</v>
      </c>
      <c r="B779" s="16">
        <v>39</v>
      </c>
      <c r="C779" s="8" t="s">
        <v>20</v>
      </c>
      <c r="D779" s="8" t="s">
        <v>21</v>
      </c>
      <c r="F779" s="17">
        <v>42116</v>
      </c>
      <c r="G779" s="8" t="s">
        <v>2718</v>
      </c>
      <c r="H779" s="8" t="s">
        <v>1004</v>
      </c>
      <c r="I779" s="8" t="s">
        <v>212</v>
      </c>
      <c r="J779" s="16">
        <v>80303</v>
      </c>
      <c r="K779" s="2" t="s">
        <v>1004</v>
      </c>
      <c r="L779" s="8" t="s">
        <v>2719</v>
      </c>
      <c r="M779" s="8" t="s">
        <v>27</v>
      </c>
      <c r="N779" s="8" t="s">
        <v>2720</v>
      </c>
      <c r="O779" s="8" t="s">
        <v>554</v>
      </c>
      <c r="P779" s="8" t="s">
        <v>405</v>
      </c>
      <c r="Q779" s="12" t="s">
        <v>2721</v>
      </c>
      <c r="R779" s="8" t="s">
        <v>100</v>
      </c>
      <c r="S779" s="7" t="s">
        <v>28</v>
      </c>
      <c r="T779" s="6"/>
      <c r="U779" s="8"/>
      <c r="AI779" s="8"/>
      <c r="AJ779" s="8"/>
      <c r="AK779" s="8"/>
      <c r="AL779" s="8"/>
      <c r="AM779" s="8"/>
    </row>
    <row r="780" spans="1:39" ht="13.5" customHeight="1">
      <c r="A780" s="8" t="s">
        <v>2743</v>
      </c>
      <c r="B780" s="16">
        <v>31</v>
      </c>
      <c r="C780" s="8" t="s">
        <v>20</v>
      </c>
      <c r="D780" s="8" t="s">
        <v>48</v>
      </c>
      <c r="E780" s="8" t="s">
        <v>2744</v>
      </c>
      <c r="F780" s="17">
        <v>42116</v>
      </c>
      <c r="G780" s="8" t="s">
        <v>2745</v>
      </c>
      <c r="H780" s="8" t="s">
        <v>934</v>
      </c>
      <c r="I780" s="8" t="s">
        <v>73</v>
      </c>
      <c r="J780" s="16" t="s">
        <v>2746</v>
      </c>
      <c r="K780" s="2" t="s">
        <v>74</v>
      </c>
      <c r="L780" s="8" t="s">
        <v>935</v>
      </c>
      <c r="M780" s="8" t="s">
        <v>27</v>
      </c>
      <c r="N780" s="8" t="s">
        <v>2747</v>
      </c>
      <c r="O780" s="8" t="s">
        <v>1018</v>
      </c>
      <c r="P780" s="8" t="s">
        <v>405</v>
      </c>
      <c r="Q780" s="12" t="s">
        <v>2748</v>
      </c>
      <c r="R780" s="8" t="s">
        <v>100</v>
      </c>
      <c r="S780" s="7" t="s">
        <v>28</v>
      </c>
      <c r="T780" s="6"/>
      <c r="U780" s="8"/>
    </row>
    <row r="781" spans="1:39" ht="13.5" customHeight="1">
      <c r="A781" s="8" t="s">
        <v>2768</v>
      </c>
      <c r="B781" s="16">
        <v>37</v>
      </c>
      <c r="C781" s="8" t="s">
        <v>20</v>
      </c>
      <c r="D781" s="8" t="s">
        <v>141</v>
      </c>
      <c r="E781" s="8" t="s">
        <v>2769</v>
      </c>
      <c r="F781" s="17">
        <v>42115</v>
      </c>
      <c r="G781" s="8" t="s">
        <v>2770</v>
      </c>
      <c r="H781" s="8" t="s">
        <v>1447</v>
      </c>
      <c r="I781" s="8" t="s">
        <v>306</v>
      </c>
      <c r="J781" s="16" t="s">
        <v>2771</v>
      </c>
      <c r="K781" s="2" t="s">
        <v>891</v>
      </c>
      <c r="L781" s="8" t="s">
        <v>2772</v>
      </c>
      <c r="M781" s="8" t="s">
        <v>27</v>
      </c>
      <c r="N781" s="8" t="s">
        <v>2773</v>
      </c>
      <c r="O781" s="8" t="s">
        <v>404</v>
      </c>
      <c r="P781" s="8" t="s">
        <v>405</v>
      </c>
      <c r="Q781" s="12" t="s">
        <v>2774</v>
      </c>
      <c r="R781" s="8" t="s">
        <v>29</v>
      </c>
      <c r="S781" s="7" t="s">
        <v>18</v>
      </c>
      <c r="T781" s="6"/>
      <c r="U781" s="8"/>
    </row>
    <row r="782" spans="1:39" ht="13.5" customHeight="1">
      <c r="A782" s="8" t="s">
        <v>2759</v>
      </c>
      <c r="B782" s="16">
        <v>35</v>
      </c>
      <c r="C782" s="8" t="s">
        <v>20</v>
      </c>
      <c r="D782" s="8" t="s">
        <v>85</v>
      </c>
      <c r="E782" s="8" t="s">
        <v>2760</v>
      </c>
      <c r="F782" s="17">
        <v>42115</v>
      </c>
      <c r="G782" s="8" t="s">
        <v>2761</v>
      </c>
      <c r="H782" s="8" t="s">
        <v>676</v>
      </c>
      <c r="I782" s="8" t="s">
        <v>81</v>
      </c>
      <c r="J782" s="16" t="s">
        <v>2762</v>
      </c>
      <c r="K782" s="2" t="s">
        <v>676</v>
      </c>
      <c r="L782" s="8" t="s">
        <v>2503</v>
      </c>
      <c r="M782" s="8" t="s">
        <v>27</v>
      </c>
      <c r="N782" s="8" t="s">
        <v>2763</v>
      </c>
      <c r="O782" s="8" t="s">
        <v>1018</v>
      </c>
      <c r="P782" s="8" t="s">
        <v>405</v>
      </c>
      <c r="Q782" s="12"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782" s="8" t="s">
        <v>100</v>
      </c>
      <c r="S782" s="7" t="s">
        <v>35</v>
      </c>
      <c r="T782" s="6"/>
      <c r="U782" s="8"/>
    </row>
    <row r="783" spans="1:39" ht="13.5" customHeight="1">
      <c r="A783" s="8" t="s">
        <v>2764</v>
      </c>
      <c r="B783" s="16">
        <v>35</v>
      </c>
      <c r="C783" s="8" t="s">
        <v>20</v>
      </c>
      <c r="D783" s="8" t="s">
        <v>48</v>
      </c>
      <c r="F783" s="17">
        <v>42115</v>
      </c>
      <c r="G783" s="8" t="s">
        <v>2765</v>
      </c>
      <c r="H783" s="8" t="s">
        <v>98</v>
      </c>
      <c r="I783" s="8" t="s">
        <v>45</v>
      </c>
      <c r="J783" s="16" t="s">
        <v>2766</v>
      </c>
      <c r="K783" s="2" t="s">
        <v>98</v>
      </c>
      <c r="L783" s="8" t="s">
        <v>99</v>
      </c>
      <c r="M783" s="8" t="s">
        <v>27</v>
      </c>
      <c r="N783" s="8" t="s">
        <v>2767</v>
      </c>
      <c r="O783" s="8" t="s">
        <v>1018</v>
      </c>
      <c r="P783" s="8" t="s">
        <v>405</v>
      </c>
      <c r="Q783" s="12" t="str">
        <f>HYPERLINK("http://www.latimes.com/local/lanow/la-me-ln-lapd-lincoln-heights-shooting-20150422-story.html","http://www.latimes.com/local/lanow/la-me-ln-lapd-lincoln-heights-shooting-20150422-story.html")</f>
        <v>http://www.latimes.com/local/lanow/la-me-ln-lapd-lincoln-heights-shooting-20150422-story.html</v>
      </c>
      <c r="R783" s="8" t="s">
        <v>559</v>
      </c>
      <c r="S783" s="7" t="s">
        <v>28</v>
      </c>
      <c r="T783" s="6"/>
      <c r="U783" s="8"/>
    </row>
    <row r="784" spans="1:39" ht="13.5" customHeight="1">
      <c r="A784" s="8" t="s">
        <v>2755</v>
      </c>
      <c r="B784" s="16">
        <v>30</v>
      </c>
      <c r="C784" s="8" t="s">
        <v>20</v>
      </c>
      <c r="D784" s="8" t="s">
        <v>85</v>
      </c>
      <c r="E784" s="8" t="str">
        <f>HYPERLINK("http://www.midhudsonnews.com/News/2015/April/24/Fishkill_inmate_Harrell-24Apr15.htm","http://www.midhudsonnews.com/News/2015/April/24/Fishkill_inmate_Harrell-24Apr15.htm")</f>
        <v>http://www.midhudsonnews.com/News/2015/April/24/Fishkill_inmate_Harrell-24Apr15.htm</v>
      </c>
      <c r="F784" s="17">
        <v>42115</v>
      </c>
      <c r="G784" s="8" t="s">
        <v>2756</v>
      </c>
      <c r="H784" s="8" t="s">
        <v>2487</v>
      </c>
      <c r="I784" s="8" t="s">
        <v>427</v>
      </c>
      <c r="J784" s="16">
        <v>12508</v>
      </c>
      <c r="K784" s="2" t="s">
        <v>2489</v>
      </c>
      <c r="L784" s="8" t="s">
        <v>2757</v>
      </c>
      <c r="M784" s="8" t="s">
        <v>2312</v>
      </c>
      <c r="P784" s="8" t="s">
        <v>405</v>
      </c>
      <c r="Q784" s="12" t="s">
        <v>2758</v>
      </c>
      <c r="S784" s="7" t="s">
        <v>18</v>
      </c>
      <c r="T784" s="6"/>
      <c r="U784" s="8"/>
    </row>
    <row r="785" spans="1:46" ht="13.5" customHeight="1">
      <c r="A785" s="8" t="s">
        <v>2775</v>
      </c>
      <c r="B785" s="16">
        <v>40</v>
      </c>
      <c r="C785" s="8" t="s">
        <v>20</v>
      </c>
      <c r="D785" s="8" t="s">
        <v>37</v>
      </c>
      <c r="E785" s="8" t="s">
        <v>2776</v>
      </c>
      <c r="F785" s="17">
        <v>42115</v>
      </c>
      <c r="G785" s="8" t="s">
        <v>2777</v>
      </c>
      <c r="H785" s="8" t="s">
        <v>2778</v>
      </c>
      <c r="I785" s="8" t="s">
        <v>675</v>
      </c>
      <c r="J785" s="16" t="s">
        <v>2779</v>
      </c>
      <c r="K785" s="2" t="s">
        <v>2780</v>
      </c>
      <c r="L785" s="8" t="s">
        <v>2781</v>
      </c>
      <c r="M785" s="8" t="s">
        <v>395</v>
      </c>
      <c r="N785" s="8" t="s">
        <v>2782</v>
      </c>
      <c r="O785" s="8" t="s">
        <v>1018</v>
      </c>
      <c r="P785" s="8" t="s">
        <v>405</v>
      </c>
      <c r="Q785" s="12" t="str">
        <f>HYPERLINK("http://www.wtok.com/news/headlines/Lauderdale-County-Man-Dies-after-Arrest-300851931.html","http://www.wtok.com/news/headlines/Lauderdale-County-Man-Dies-after-Arrest-300851931.html")</f>
        <v>http://www.wtok.com/news/headlines/Lauderdale-County-Man-Dies-after-Arrest-300851931.html</v>
      </c>
      <c r="R785" s="8" t="s">
        <v>972</v>
      </c>
      <c r="S785" s="7" t="s">
        <v>18</v>
      </c>
      <c r="T785" s="6"/>
      <c r="U785" s="8"/>
    </row>
    <row r="786" spans="1:46" ht="13.5" customHeight="1">
      <c r="A786" s="8" t="s">
        <v>2788</v>
      </c>
      <c r="B786" s="16">
        <v>44</v>
      </c>
      <c r="C786" s="8" t="s">
        <v>20</v>
      </c>
      <c r="D786" s="8" t="s">
        <v>37</v>
      </c>
      <c r="E786" s="8" t="s">
        <v>2789</v>
      </c>
      <c r="F786" s="17">
        <v>42114</v>
      </c>
      <c r="G786" s="8" t="s">
        <v>2790</v>
      </c>
      <c r="H786" s="8" t="s">
        <v>2791</v>
      </c>
      <c r="I786" s="8" t="s">
        <v>467</v>
      </c>
      <c r="J786" s="16" t="s">
        <v>2792</v>
      </c>
      <c r="K786" s="2" t="s">
        <v>1246</v>
      </c>
      <c r="L786" s="8" t="s">
        <v>2793</v>
      </c>
      <c r="M786" s="8" t="s">
        <v>27</v>
      </c>
      <c r="N786" s="8" t="s">
        <v>2794</v>
      </c>
      <c r="O786" s="8" t="s">
        <v>1018</v>
      </c>
      <c r="P786" s="8" t="s">
        <v>405</v>
      </c>
      <c r="Q786" s="12"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786" s="8" t="s">
        <v>100</v>
      </c>
      <c r="S786" s="7" t="s">
        <v>28</v>
      </c>
      <c r="T786" s="6"/>
      <c r="U786" s="8"/>
    </row>
    <row r="787" spans="1:46" ht="13.5" customHeight="1">
      <c r="A787" s="8" t="s">
        <v>2783</v>
      </c>
      <c r="B787" s="16">
        <v>24</v>
      </c>
      <c r="C787" s="8" t="s">
        <v>20</v>
      </c>
      <c r="D787" s="8" t="s">
        <v>48</v>
      </c>
      <c r="E787" s="8" t="s">
        <v>2784</v>
      </c>
      <c r="F787" s="17">
        <v>42114</v>
      </c>
      <c r="H787" s="8" t="s">
        <v>2785</v>
      </c>
      <c r="I787" s="8" t="s">
        <v>73</v>
      </c>
      <c r="J787" s="16">
        <v>78574</v>
      </c>
      <c r="K787" s="2" t="s">
        <v>1408</v>
      </c>
      <c r="L787" s="8" t="s">
        <v>1409</v>
      </c>
      <c r="M787" s="8" t="s">
        <v>27</v>
      </c>
      <c r="N787" s="8" t="s">
        <v>2786</v>
      </c>
      <c r="O787" s="8" t="s">
        <v>1018</v>
      </c>
      <c r="P787" s="8" t="s">
        <v>405</v>
      </c>
      <c r="Q787" s="12" t="s">
        <v>2787</v>
      </c>
      <c r="R787" s="8" t="s">
        <v>100</v>
      </c>
      <c r="S787" s="7" t="s">
        <v>28</v>
      </c>
      <c r="T787" s="6"/>
      <c r="U787" s="8"/>
    </row>
    <row r="788" spans="1:46" ht="13.5" customHeight="1">
      <c r="A788" s="8" t="s">
        <v>2795</v>
      </c>
      <c r="B788" s="16">
        <v>25</v>
      </c>
      <c r="C788" s="8" t="s">
        <v>20</v>
      </c>
      <c r="D788" s="8" t="s">
        <v>85</v>
      </c>
      <c r="E788" s="8" t="s">
        <v>2796</v>
      </c>
      <c r="F788" s="17">
        <v>42113</v>
      </c>
      <c r="G788" s="8" t="s">
        <v>2797</v>
      </c>
      <c r="H788" s="8" t="s">
        <v>1608</v>
      </c>
      <c r="I788" s="8" t="s">
        <v>52</v>
      </c>
      <c r="J788" s="16" t="s">
        <v>2798</v>
      </c>
      <c r="K788" s="2" t="s">
        <v>4755</v>
      </c>
      <c r="L788" s="8" t="s">
        <v>2799</v>
      </c>
      <c r="M788" s="8" t="s">
        <v>2312</v>
      </c>
      <c r="N788" s="8" t="s">
        <v>21083</v>
      </c>
      <c r="O788" s="8" t="s">
        <v>404</v>
      </c>
      <c r="P788" s="8" t="s">
        <v>1171</v>
      </c>
      <c r="Q788" s="12" t="s">
        <v>2800</v>
      </c>
      <c r="R788" s="8" t="s">
        <v>100</v>
      </c>
      <c r="S788" s="7" t="s">
        <v>18</v>
      </c>
      <c r="T788" s="6"/>
      <c r="U788" s="8"/>
    </row>
    <row r="789" spans="1:46" ht="13.5" customHeight="1">
      <c r="A789" s="8" t="s">
        <v>2807</v>
      </c>
      <c r="B789" s="16">
        <v>40</v>
      </c>
      <c r="C789" s="8" t="s">
        <v>20</v>
      </c>
      <c r="D789" s="8" t="s">
        <v>30</v>
      </c>
      <c r="F789" s="17">
        <v>42113</v>
      </c>
      <c r="G789" s="8" t="s">
        <v>2808</v>
      </c>
      <c r="H789" s="8" t="s">
        <v>2809</v>
      </c>
      <c r="I789" s="8" t="s">
        <v>319</v>
      </c>
      <c r="J789" s="16" t="s">
        <v>2810</v>
      </c>
      <c r="K789" s="2" t="s">
        <v>2811</v>
      </c>
      <c r="L789" s="8" t="s">
        <v>2812</v>
      </c>
      <c r="M789" s="8" t="s">
        <v>27</v>
      </c>
      <c r="N789" s="8" t="s">
        <v>2813</v>
      </c>
      <c r="O789" s="8" t="s">
        <v>1018</v>
      </c>
      <c r="P789" s="8" t="s">
        <v>405</v>
      </c>
      <c r="Q789" s="12" t="str">
        <f>HYPERLINK("http://www.kentucky.com/2015/04/19/3809168/wilmore-man-killed-by-police-had.html","http://www.kentucky.com/2015/04/19/3809168/wilmore-man-killed-by-police-had.html")</f>
        <v>http://www.kentucky.com/2015/04/19/3809168/wilmore-man-killed-by-police-had.html</v>
      </c>
      <c r="R789" s="8" t="s">
        <v>29</v>
      </c>
      <c r="S789" s="7" t="s">
        <v>28</v>
      </c>
      <c r="T789" s="6"/>
      <c r="U789" s="8"/>
      <c r="V789" s="8"/>
      <c r="W789" s="8"/>
      <c r="X789" s="8"/>
    </row>
    <row r="790" spans="1:46" ht="13.5" customHeight="1">
      <c r="A790" s="8" t="s">
        <v>2801</v>
      </c>
      <c r="B790" s="16">
        <v>33</v>
      </c>
      <c r="C790" s="8" t="s">
        <v>20</v>
      </c>
      <c r="D790" s="8" t="s">
        <v>85</v>
      </c>
      <c r="E790" s="8" t="s">
        <v>2802</v>
      </c>
      <c r="F790" s="17">
        <v>42113</v>
      </c>
      <c r="G790" s="8" t="s">
        <v>2803</v>
      </c>
      <c r="H790" s="8" t="s">
        <v>579</v>
      </c>
      <c r="I790" s="8" t="s">
        <v>73</v>
      </c>
      <c r="J790" s="16" t="s">
        <v>2804</v>
      </c>
      <c r="K790" s="2" t="s">
        <v>580</v>
      </c>
      <c r="L790" s="8" t="s">
        <v>581</v>
      </c>
      <c r="M790" s="8" t="s">
        <v>395</v>
      </c>
      <c r="N790" s="8" t="s">
        <v>2805</v>
      </c>
      <c r="O790" s="8" t="s">
        <v>404</v>
      </c>
      <c r="P790" s="8" t="s">
        <v>405</v>
      </c>
      <c r="Q790" s="12" t="s">
        <v>2806</v>
      </c>
      <c r="R790" s="8" t="s">
        <v>972</v>
      </c>
      <c r="S790" s="7" t="s">
        <v>18</v>
      </c>
      <c r="T790" s="6"/>
      <c r="U790" s="8"/>
    </row>
    <row r="791" spans="1:46" ht="13.5" customHeight="1">
      <c r="A791" s="8" t="s">
        <v>2814</v>
      </c>
      <c r="B791" s="16">
        <v>38</v>
      </c>
      <c r="C791" s="8" t="s">
        <v>20</v>
      </c>
      <c r="D791" s="8" t="s">
        <v>37</v>
      </c>
      <c r="E791" s="8" t="s">
        <v>2815</v>
      </c>
      <c r="F791" s="17">
        <v>42113</v>
      </c>
      <c r="G791" s="8" t="s">
        <v>2816</v>
      </c>
      <c r="H791" s="8" t="s">
        <v>2817</v>
      </c>
      <c r="I791" s="8" t="s">
        <v>367</v>
      </c>
      <c r="J791" s="16" t="s">
        <v>2818</v>
      </c>
      <c r="K791" s="2" t="s">
        <v>2819</v>
      </c>
      <c r="L791" s="8" t="s">
        <v>2820</v>
      </c>
      <c r="M791" s="8" t="s">
        <v>27</v>
      </c>
      <c r="N791" s="8" t="s">
        <v>2821</v>
      </c>
      <c r="O791" s="8" t="s">
        <v>1018</v>
      </c>
      <c r="P791" s="8" t="s">
        <v>405</v>
      </c>
      <c r="Q791" s="12" t="s">
        <v>2822</v>
      </c>
      <c r="R791" s="8" t="s">
        <v>100</v>
      </c>
      <c r="S791" s="7" t="s">
        <v>28</v>
      </c>
      <c r="T791" s="6"/>
      <c r="U791" s="8"/>
    </row>
    <row r="792" spans="1:46" ht="13.5" customHeight="1">
      <c r="A792" s="8" t="s">
        <v>20926</v>
      </c>
      <c r="B792" s="16">
        <v>40</v>
      </c>
      <c r="C792" s="8" t="s">
        <v>20</v>
      </c>
      <c r="D792" s="8" t="s">
        <v>85</v>
      </c>
      <c r="E792" s="8" t="s">
        <v>20927</v>
      </c>
      <c r="F792" s="17">
        <v>42112</v>
      </c>
      <c r="G792" s="8" t="s">
        <v>20928</v>
      </c>
      <c r="H792" s="8" t="s">
        <v>51</v>
      </c>
      <c r="I792" s="8" t="s">
        <v>323</v>
      </c>
      <c r="J792" s="39" t="s">
        <v>1855</v>
      </c>
      <c r="K792" s="39" t="s">
        <v>1856</v>
      </c>
      <c r="L792" s="39" t="s">
        <v>1857</v>
      </c>
      <c r="M792" s="39" t="s">
        <v>2312</v>
      </c>
      <c r="N792" s="39" t="s">
        <v>20930</v>
      </c>
      <c r="O792" s="39" t="s">
        <v>1018</v>
      </c>
      <c r="P792" s="1" t="s">
        <v>405</v>
      </c>
      <c r="Q792" s="40" t="s">
        <v>20929</v>
      </c>
      <c r="R792" s="39" t="s">
        <v>972</v>
      </c>
      <c r="S792" s="39" t="s">
        <v>35</v>
      </c>
      <c r="T792" s="39"/>
      <c r="U792" s="39"/>
      <c r="V792" s="39"/>
      <c r="W792" s="39"/>
      <c r="X792" s="39"/>
      <c r="Y792" s="39"/>
      <c r="Z792" s="39"/>
      <c r="AA792" s="39"/>
      <c r="AB792" s="39"/>
      <c r="AC792" s="23"/>
      <c r="AD792" s="23"/>
      <c r="AE792" s="23"/>
      <c r="AF792" s="23"/>
      <c r="AG792" s="23"/>
      <c r="AH792" s="23"/>
      <c r="AI792" s="23"/>
      <c r="AJ792" s="23"/>
      <c r="AK792" s="23"/>
      <c r="AL792" s="23"/>
      <c r="AM792" s="23"/>
      <c r="AN792" s="23"/>
      <c r="AO792" s="23"/>
      <c r="AP792" s="23"/>
      <c r="AQ792" s="23"/>
      <c r="AR792" s="23"/>
      <c r="AS792" s="23"/>
      <c r="AT792" s="23"/>
    </row>
    <row r="793" spans="1:46" ht="13.5" customHeight="1">
      <c r="A793" s="8" t="s">
        <v>2830</v>
      </c>
      <c r="B793" s="16">
        <v>43</v>
      </c>
      <c r="C793" s="8" t="s">
        <v>20</v>
      </c>
      <c r="D793" s="8" t="s">
        <v>48</v>
      </c>
      <c r="E793" s="8" t="s">
        <v>2831</v>
      </c>
      <c r="F793" s="17">
        <v>42112</v>
      </c>
      <c r="G793" s="8" t="s">
        <v>2832</v>
      </c>
      <c r="H793" s="8" t="s">
        <v>638</v>
      </c>
      <c r="I793" s="8" t="s">
        <v>124</v>
      </c>
      <c r="J793" s="16" t="s">
        <v>2833</v>
      </c>
      <c r="K793" s="2" t="s">
        <v>639</v>
      </c>
      <c r="L793" s="8" t="s">
        <v>640</v>
      </c>
      <c r="M793" s="8" t="s">
        <v>27</v>
      </c>
      <c r="N793" s="8" t="s">
        <v>2834</v>
      </c>
      <c r="O793" s="8" t="s">
        <v>1018</v>
      </c>
      <c r="P793" s="8" t="s">
        <v>405</v>
      </c>
      <c r="Q793" s="12"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793" s="8" t="s">
        <v>559</v>
      </c>
      <c r="S793" s="7" t="s">
        <v>28</v>
      </c>
      <c r="T793" s="6"/>
      <c r="U793" s="8"/>
    </row>
    <row r="794" spans="1:46" ht="13.5" customHeight="1">
      <c r="A794" s="8" t="s">
        <v>2835</v>
      </c>
      <c r="B794" s="16">
        <v>45</v>
      </c>
      <c r="C794" s="8" t="s">
        <v>20</v>
      </c>
      <c r="D794" s="8" t="s">
        <v>37</v>
      </c>
      <c r="E794" s="8" t="s">
        <v>2836</v>
      </c>
      <c r="F794" s="17">
        <v>42112</v>
      </c>
      <c r="G794" s="8" t="s">
        <v>2837</v>
      </c>
      <c r="H794" s="8" t="s">
        <v>2838</v>
      </c>
      <c r="I794" s="8" t="s">
        <v>62</v>
      </c>
      <c r="J794" s="16" t="s">
        <v>2839</v>
      </c>
      <c r="K794" s="2" t="s">
        <v>2840</v>
      </c>
      <c r="L794" s="8" t="s">
        <v>2841</v>
      </c>
      <c r="M794" s="8" t="s">
        <v>27</v>
      </c>
      <c r="N794" s="8" t="s">
        <v>2842</v>
      </c>
      <c r="O794" s="8" t="s">
        <v>1018</v>
      </c>
      <c r="P794" s="8" t="s">
        <v>405</v>
      </c>
      <c r="Q794" s="12" t="s">
        <v>2843</v>
      </c>
      <c r="R794" s="8" t="s">
        <v>100</v>
      </c>
      <c r="S794" s="7" t="s">
        <v>28</v>
      </c>
      <c r="T794" s="6"/>
      <c r="U794" s="8"/>
    </row>
    <row r="795" spans="1:46" ht="13.5" customHeight="1">
      <c r="A795" s="8" t="s">
        <v>2823</v>
      </c>
      <c r="B795" s="16">
        <v>23</v>
      </c>
      <c r="C795" s="8" t="s">
        <v>20</v>
      </c>
      <c r="D795" s="8" t="s">
        <v>85</v>
      </c>
      <c r="E795" s="8" t="s">
        <v>2824</v>
      </c>
      <c r="F795" s="17">
        <v>42112</v>
      </c>
      <c r="G795" s="8" t="s">
        <v>2825</v>
      </c>
      <c r="H795" s="8" t="s">
        <v>2826</v>
      </c>
      <c r="I795" s="8" t="s">
        <v>435</v>
      </c>
      <c r="J795" s="16" t="s">
        <v>2827</v>
      </c>
      <c r="K795" s="2" t="s">
        <v>717</v>
      </c>
      <c r="L795" s="8" t="s">
        <v>7242</v>
      </c>
      <c r="M795" s="8" t="s">
        <v>27</v>
      </c>
      <c r="N795" s="8" t="s">
        <v>2828</v>
      </c>
      <c r="O795" s="8" t="s">
        <v>1018</v>
      </c>
      <c r="P795" s="8" t="s">
        <v>405</v>
      </c>
      <c r="Q795" s="12" t="s">
        <v>2829</v>
      </c>
      <c r="R795" s="8" t="s">
        <v>559</v>
      </c>
      <c r="S795" s="7" t="s">
        <v>28</v>
      </c>
      <c r="T795" s="6"/>
      <c r="U795" s="8"/>
    </row>
    <row r="796" spans="1:46" ht="13.5" customHeight="1">
      <c r="A796" s="8" t="s">
        <v>2848</v>
      </c>
      <c r="B796" s="16">
        <v>31</v>
      </c>
      <c r="C796" s="8" t="s">
        <v>20</v>
      </c>
      <c r="D796" s="8" t="s">
        <v>85</v>
      </c>
      <c r="F796" s="17">
        <v>42111</v>
      </c>
      <c r="G796" s="8" t="s">
        <v>2849</v>
      </c>
      <c r="H796" s="8" t="s">
        <v>2850</v>
      </c>
      <c r="I796" s="8" t="s">
        <v>52</v>
      </c>
      <c r="J796" s="16" t="s">
        <v>2851</v>
      </c>
      <c r="K796" s="2" t="s">
        <v>119</v>
      </c>
      <c r="L796" s="8" t="s">
        <v>2852</v>
      </c>
      <c r="M796" s="8" t="s">
        <v>395</v>
      </c>
      <c r="N796" s="8" t="s">
        <v>2853</v>
      </c>
      <c r="O796" s="8" t="s">
        <v>404</v>
      </c>
      <c r="P796" s="8" t="s">
        <v>405</v>
      </c>
      <c r="Q796" s="12" t="s">
        <v>2854</v>
      </c>
      <c r="R796" s="8" t="s">
        <v>972</v>
      </c>
      <c r="S796" s="7" t="s">
        <v>18</v>
      </c>
      <c r="T796" s="6"/>
      <c r="U796" s="8"/>
    </row>
    <row r="797" spans="1:46" ht="13.5" customHeight="1">
      <c r="A797" s="8" t="s">
        <v>2855</v>
      </c>
      <c r="B797" s="16">
        <v>29</v>
      </c>
      <c r="C797" s="8" t="s">
        <v>20</v>
      </c>
      <c r="D797" s="8" t="s">
        <v>48</v>
      </c>
      <c r="E797" s="8" t="s">
        <v>2856</v>
      </c>
      <c r="F797" s="17">
        <v>42111</v>
      </c>
      <c r="G797" s="8" t="s">
        <v>2857</v>
      </c>
      <c r="H797" s="8" t="s">
        <v>790</v>
      </c>
      <c r="I797" s="8" t="s">
        <v>45</v>
      </c>
      <c r="J797" s="16" t="s">
        <v>2858</v>
      </c>
      <c r="K797" s="2" t="s">
        <v>791</v>
      </c>
      <c r="L797" s="8" t="s">
        <v>2859</v>
      </c>
      <c r="M797" s="8" t="s">
        <v>27</v>
      </c>
      <c r="N797" s="8" t="s">
        <v>2860</v>
      </c>
      <c r="O797" s="8" t="s">
        <v>1018</v>
      </c>
      <c r="P797" s="8" t="s">
        <v>405</v>
      </c>
      <c r="Q797" s="12" t="str">
        <f>HYPERLINK("http://www.pe.com/articles/car-765208-officers-sheriff.html","http://www.pe.com/articles/car-765208-officers-sheriff.html")</f>
        <v>http://www.pe.com/articles/car-765208-officers-sheriff.html</v>
      </c>
      <c r="R797" s="8" t="s">
        <v>100</v>
      </c>
      <c r="S797" s="7" t="s">
        <v>28</v>
      </c>
      <c r="T797" s="6"/>
      <c r="U797" s="8"/>
    </row>
    <row r="798" spans="1:46" ht="13.5" customHeight="1">
      <c r="A798" s="8" t="s">
        <v>2844</v>
      </c>
      <c r="B798" s="16">
        <v>18</v>
      </c>
      <c r="C798" s="8" t="s">
        <v>20</v>
      </c>
      <c r="D798" s="8" t="s">
        <v>85</v>
      </c>
      <c r="E798" s="8" t="s">
        <v>2845</v>
      </c>
      <c r="F798" s="17">
        <v>42111</v>
      </c>
      <c r="G798" s="8" t="s">
        <v>2846</v>
      </c>
      <c r="H798" s="8" t="s">
        <v>87</v>
      </c>
      <c r="I798" s="8" t="s">
        <v>44</v>
      </c>
      <c r="J798" s="16" t="s">
        <v>1693</v>
      </c>
      <c r="K798" s="2" t="s">
        <v>88</v>
      </c>
      <c r="L798" s="8" t="s">
        <v>89</v>
      </c>
      <c r="M798" s="8" t="s">
        <v>27</v>
      </c>
      <c r="N798" s="8" t="s">
        <v>2847</v>
      </c>
      <c r="O798" s="8" t="s">
        <v>1018</v>
      </c>
      <c r="P798" s="8" t="s">
        <v>405</v>
      </c>
      <c r="Q798" s="12"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798" s="8" t="s">
        <v>100</v>
      </c>
      <c r="S798" s="7" t="s">
        <v>28</v>
      </c>
      <c r="T798" s="6"/>
      <c r="U798" s="8"/>
    </row>
    <row r="799" spans="1:46" ht="13.5" customHeight="1">
      <c r="A799" s="8" t="s">
        <v>2872</v>
      </c>
      <c r="B799" s="16">
        <v>39</v>
      </c>
      <c r="C799" s="8" t="s">
        <v>20</v>
      </c>
      <c r="D799" s="8" t="s">
        <v>37</v>
      </c>
      <c r="E799" s="8" t="s">
        <v>2873</v>
      </c>
      <c r="F799" s="17">
        <v>42110</v>
      </c>
      <c r="G799" s="8" t="s">
        <v>2874</v>
      </c>
      <c r="H799" s="8" t="s">
        <v>2875</v>
      </c>
      <c r="I799" s="8" t="s">
        <v>57</v>
      </c>
      <c r="J799" s="16" t="s">
        <v>2876</v>
      </c>
      <c r="K799" s="2" t="s">
        <v>1139</v>
      </c>
      <c r="L799" s="8" t="s">
        <v>2877</v>
      </c>
      <c r="M799" s="8" t="s">
        <v>395</v>
      </c>
      <c r="N799" s="8" t="s">
        <v>2878</v>
      </c>
      <c r="O799" s="8" t="s">
        <v>554</v>
      </c>
      <c r="P799" s="8" t="s">
        <v>405</v>
      </c>
      <c r="Q799" s="12"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799" s="8" t="s">
        <v>100</v>
      </c>
      <c r="S799" s="7" t="s">
        <v>18</v>
      </c>
      <c r="T799" s="6"/>
      <c r="U799" s="8"/>
    </row>
    <row r="800" spans="1:46" ht="13.5" customHeight="1">
      <c r="A800" s="8" t="s">
        <v>2861</v>
      </c>
      <c r="C800" s="8" t="s">
        <v>20</v>
      </c>
      <c r="D800" s="8" t="s">
        <v>85</v>
      </c>
      <c r="F800" s="17">
        <v>42110</v>
      </c>
      <c r="I800" s="8" t="s">
        <v>52</v>
      </c>
      <c r="J800" s="16" t="s">
        <v>2862</v>
      </c>
      <c r="K800" s="2" t="s">
        <v>2863</v>
      </c>
      <c r="N800" s="8" t="s">
        <v>2864</v>
      </c>
      <c r="O800" s="8" t="s">
        <v>1018</v>
      </c>
      <c r="P800" s="8" t="s">
        <v>405</v>
      </c>
      <c r="Q800" s="12" t="s">
        <v>2865</v>
      </c>
      <c r="S800" s="8"/>
      <c r="T800" s="6"/>
      <c r="U800" s="8"/>
    </row>
    <row r="801" spans="1:34" ht="13.5" customHeight="1">
      <c r="A801" s="8" t="s">
        <v>2879</v>
      </c>
      <c r="B801" s="16">
        <v>51</v>
      </c>
      <c r="C801" s="8" t="s">
        <v>20</v>
      </c>
      <c r="D801" s="8" t="s">
        <v>37</v>
      </c>
      <c r="E801" s="8" t="s">
        <v>2880</v>
      </c>
      <c r="F801" s="17">
        <v>42110</v>
      </c>
      <c r="G801" s="8" t="s">
        <v>2881</v>
      </c>
      <c r="H801" s="8" t="s">
        <v>51</v>
      </c>
      <c r="I801" s="8" t="s">
        <v>435</v>
      </c>
      <c r="J801" s="16" t="s">
        <v>2882</v>
      </c>
      <c r="K801" s="2" t="s">
        <v>2883</v>
      </c>
      <c r="L801" s="8" t="s">
        <v>2884</v>
      </c>
      <c r="M801" s="8" t="s">
        <v>27</v>
      </c>
      <c r="N801" s="8" t="s">
        <v>2885</v>
      </c>
      <c r="O801" s="8" t="s">
        <v>404</v>
      </c>
      <c r="P801" s="8" t="s">
        <v>405</v>
      </c>
      <c r="Q801" s="12" t="str">
        <f>HYPERLINK("http://www.abc17news.com/news/suspect-shot-and-killed-by-police/32394506","http://www.abc17news.com/news/suspect-shot-and-killed-by-police/32394506")</f>
        <v>http://www.abc17news.com/news/suspect-shot-and-killed-by-police/32394506</v>
      </c>
      <c r="R801" s="8" t="s">
        <v>100</v>
      </c>
      <c r="S801" s="7" t="s">
        <v>28</v>
      </c>
      <c r="T801" s="6"/>
      <c r="U801" s="8"/>
    </row>
    <row r="802" spans="1:34" ht="13.5" customHeight="1">
      <c r="A802" s="8" t="s">
        <v>2866</v>
      </c>
      <c r="B802" s="16">
        <v>47</v>
      </c>
      <c r="C802" s="8" t="s">
        <v>20</v>
      </c>
      <c r="D802" s="8" t="s">
        <v>48</v>
      </c>
      <c r="F802" s="17">
        <v>42110</v>
      </c>
      <c r="G802" s="8" t="s">
        <v>2867</v>
      </c>
      <c r="H802" s="8" t="s">
        <v>2868</v>
      </c>
      <c r="I802" s="8" t="s">
        <v>45</v>
      </c>
      <c r="J802" s="16" t="s">
        <v>2869</v>
      </c>
      <c r="K802" s="2" t="s">
        <v>687</v>
      </c>
      <c r="L802" s="8" t="s">
        <v>2870</v>
      </c>
      <c r="M802" s="8" t="s">
        <v>27</v>
      </c>
      <c r="N802" s="8" t="s">
        <v>2871</v>
      </c>
      <c r="O802" s="8" t="s">
        <v>1018</v>
      </c>
      <c r="P802" s="8" t="s">
        <v>405</v>
      </c>
      <c r="Q802" s="12"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802" s="8" t="s">
        <v>100</v>
      </c>
      <c r="S802" s="7" t="s">
        <v>28</v>
      </c>
      <c r="T802" s="6"/>
      <c r="U802" s="8"/>
    </row>
    <row r="803" spans="1:34" ht="13.5" customHeight="1">
      <c r="A803" s="8" t="s">
        <v>2908</v>
      </c>
      <c r="B803" s="16">
        <v>31</v>
      </c>
      <c r="C803" s="8" t="s">
        <v>20</v>
      </c>
      <c r="D803" s="8" t="s">
        <v>37</v>
      </c>
      <c r="E803" s="8" t="s">
        <v>2909</v>
      </c>
      <c r="F803" s="17">
        <v>42109</v>
      </c>
      <c r="G803" s="8" t="s">
        <v>2910</v>
      </c>
      <c r="H803" s="8" t="s">
        <v>2911</v>
      </c>
      <c r="I803" s="8" t="s">
        <v>986</v>
      </c>
      <c r="J803" s="16">
        <v>72401</v>
      </c>
      <c r="K803" s="2" t="s">
        <v>2912</v>
      </c>
      <c r="L803" s="8" t="s">
        <v>2913</v>
      </c>
      <c r="M803" s="8" t="s">
        <v>27</v>
      </c>
      <c r="N803" s="8" t="s">
        <v>2914</v>
      </c>
      <c r="O803" s="8" t="s">
        <v>1018</v>
      </c>
      <c r="P803" s="8" t="s">
        <v>405</v>
      </c>
      <c r="Q803" s="12" t="str">
        <f>HYPERLINK("http://wreg.com/2015/04/15/man-wielding-machete-is-shot-and-killed-by-jonesboro-patrolman/","http://wreg.com/2015/04/15/man-wielding-machete-is-shot-and-killed-by-jonesboro-patrolman/")</f>
        <v>http://wreg.com/2015/04/15/man-wielding-machete-is-shot-and-killed-by-jonesboro-patrolman/</v>
      </c>
      <c r="R803" s="8" t="s">
        <v>29</v>
      </c>
      <c r="S803" s="7" t="s">
        <v>28</v>
      </c>
      <c r="T803" s="6"/>
      <c r="U803" s="8"/>
    </row>
    <row r="804" spans="1:34" ht="13.5" customHeight="1">
      <c r="A804" s="8" t="s">
        <v>2891</v>
      </c>
      <c r="B804" s="16">
        <v>41</v>
      </c>
      <c r="C804" s="8" t="s">
        <v>20</v>
      </c>
      <c r="D804" s="8" t="s">
        <v>85</v>
      </c>
      <c r="E804" s="8" t="str">
        <f>HYPERLINK("http://www.brownrobinson.com/obituary/4199/Donte_Noble","http://www.brownrobinson.com/obituary/4199/Donte_Noble")</f>
        <v>http://www.brownrobinson.com/obituary/4199/Donte_Noble</v>
      </c>
      <c r="F804" s="17">
        <v>42109</v>
      </c>
      <c r="G804" s="8" t="s">
        <v>2892</v>
      </c>
      <c r="H804" s="8" t="s">
        <v>2893</v>
      </c>
      <c r="I804" s="8" t="s">
        <v>32</v>
      </c>
      <c r="J804" s="16" t="s">
        <v>2894</v>
      </c>
      <c r="K804" s="2" t="s">
        <v>2893</v>
      </c>
      <c r="L804" s="8" t="s">
        <v>2895</v>
      </c>
      <c r="M804" s="8" t="s">
        <v>27</v>
      </c>
      <c r="N804" s="8" t="s">
        <v>2896</v>
      </c>
      <c r="O804" s="8" t="s">
        <v>1018</v>
      </c>
      <c r="P804" s="8" t="s">
        <v>405</v>
      </c>
      <c r="Q804" s="12" t="str">
        <f>HYPERLINK("http://www.wyff4.com/news/police-find-man-stabbing-wife-shoot-kill-him/32384112","http://www.wyff4.com/news/police-find-man-stabbing-wife-shoot-kill-him/32384112")</f>
        <v>http://www.wyff4.com/news/police-find-man-stabbing-wife-shoot-kill-him/32384112</v>
      </c>
      <c r="R804" s="8" t="s">
        <v>100</v>
      </c>
      <c r="S804" s="7" t="s">
        <v>28</v>
      </c>
      <c r="T804" s="6"/>
      <c r="U804" s="8"/>
    </row>
    <row r="805" spans="1:34" ht="13.5" customHeight="1">
      <c r="A805" s="8" t="s">
        <v>2902</v>
      </c>
      <c r="B805" s="16">
        <v>52</v>
      </c>
      <c r="C805" s="8" t="s">
        <v>20</v>
      </c>
      <c r="D805" s="8" t="s">
        <v>48</v>
      </c>
      <c r="E805" s="8" t="s">
        <v>2903</v>
      </c>
      <c r="F805" s="17">
        <v>42109</v>
      </c>
      <c r="G805" s="8" t="s">
        <v>2904</v>
      </c>
      <c r="H805" s="8" t="s">
        <v>2905</v>
      </c>
      <c r="I805" s="8" t="s">
        <v>45</v>
      </c>
      <c r="J805" s="16" t="s">
        <v>2906</v>
      </c>
      <c r="K805" s="2" t="s">
        <v>313</v>
      </c>
      <c r="L805" s="8" t="s">
        <v>314</v>
      </c>
      <c r="M805" s="8" t="s">
        <v>27</v>
      </c>
      <c r="N805" s="8" t="s">
        <v>2907</v>
      </c>
      <c r="O805" s="8" t="s">
        <v>1018</v>
      </c>
      <c r="P805" s="8" t="s">
        <v>405</v>
      </c>
      <c r="Q805" s="12"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805" s="8" t="s">
        <v>100</v>
      </c>
      <c r="S805" s="7" t="s">
        <v>18</v>
      </c>
      <c r="T805" s="6"/>
      <c r="U805" s="8"/>
    </row>
    <row r="806" spans="1:34" ht="13.5" customHeight="1">
      <c r="A806" s="8" t="s">
        <v>2897</v>
      </c>
      <c r="B806" s="16">
        <v>41</v>
      </c>
      <c r="C806" s="8" t="s">
        <v>20</v>
      </c>
      <c r="D806" s="8" t="s">
        <v>85</v>
      </c>
      <c r="E806" s="8" t="s">
        <v>2898</v>
      </c>
      <c r="F806" s="17">
        <v>42109</v>
      </c>
      <c r="G806" s="8" t="s">
        <v>2899</v>
      </c>
      <c r="H806" s="8" t="s">
        <v>731</v>
      </c>
      <c r="I806" s="8" t="s">
        <v>73</v>
      </c>
      <c r="J806" s="16" t="s">
        <v>2900</v>
      </c>
      <c r="K806" s="2" t="s">
        <v>562</v>
      </c>
      <c r="L806" s="8" t="s">
        <v>563</v>
      </c>
      <c r="M806" s="8" t="s">
        <v>27</v>
      </c>
      <c r="N806" s="8" t="s">
        <v>2901</v>
      </c>
      <c r="O806" s="8" t="s">
        <v>1018</v>
      </c>
      <c r="P806" s="8" t="s">
        <v>405</v>
      </c>
      <c r="Q806" s="12" t="str">
        <f>HYPERLINK("http://abc13.com/news/suspect-shot-by-officers-at-end-of-police-chase/661643/?hc_location=ufi","Raw video: http://abc13.com/news/suspect-shot-by-officers-at-end-of-police-chase/661643/?hc_location=ufi")</f>
        <v>Raw video: http://abc13.com/news/suspect-shot-by-officers-at-end-of-police-chase/661643/?hc_location=ufi</v>
      </c>
      <c r="R806" s="8" t="s">
        <v>100</v>
      </c>
      <c r="S806" s="7" t="s">
        <v>18</v>
      </c>
      <c r="T806" s="6"/>
      <c r="U806" s="8"/>
    </row>
    <row r="807" spans="1:34" ht="13.5" customHeight="1">
      <c r="A807" s="8" t="s">
        <v>2915</v>
      </c>
      <c r="B807" s="16">
        <v>28</v>
      </c>
      <c r="C807" s="8" t="s">
        <v>20</v>
      </c>
      <c r="D807" s="8" t="s">
        <v>37</v>
      </c>
      <c r="E807" s="8" t="s">
        <v>2916</v>
      </c>
      <c r="F807" s="17">
        <v>42109</v>
      </c>
      <c r="G807" s="8" t="s">
        <v>2917</v>
      </c>
      <c r="H807" s="8" t="s">
        <v>2918</v>
      </c>
      <c r="I807" s="8" t="s">
        <v>45</v>
      </c>
      <c r="J807" s="16" t="s">
        <v>2919</v>
      </c>
      <c r="K807" s="2" t="s">
        <v>313</v>
      </c>
      <c r="L807" s="8" t="s">
        <v>2920</v>
      </c>
      <c r="M807" s="8" t="s">
        <v>2312</v>
      </c>
      <c r="N807" s="8" t="s">
        <v>2921</v>
      </c>
      <c r="O807" s="8" t="s">
        <v>404</v>
      </c>
      <c r="P807" s="8" t="s">
        <v>405</v>
      </c>
      <c r="Q807" s="12" t="str">
        <f>HYPERLINK("http://www.nbclosangeles.com/news/local/Highland-In-Custody-Death-Investigation-300128821.html","http://www.nbclosangeles.com/news/local/Highland-In-Custody-Death-Investigation-300128821.html")</f>
        <v>http://www.nbclosangeles.com/news/local/Highland-In-Custody-Death-Investigation-300128821.html</v>
      </c>
      <c r="R807" s="8" t="s">
        <v>972</v>
      </c>
      <c r="S807" s="7" t="s">
        <v>18</v>
      </c>
      <c r="T807" s="6"/>
      <c r="U807" s="8"/>
    </row>
    <row r="808" spans="1:34" ht="13.5" customHeight="1">
      <c r="A808" s="8" t="s">
        <v>2928</v>
      </c>
      <c r="B808" s="16">
        <v>36</v>
      </c>
      <c r="C808" s="8" t="s">
        <v>20</v>
      </c>
      <c r="D808" s="8" t="s">
        <v>37</v>
      </c>
      <c r="E808" s="8" t="s">
        <v>2929</v>
      </c>
      <c r="F808" s="17">
        <v>42109</v>
      </c>
      <c r="G808" s="8" t="s">
        <v>2930</v>
      </c>
      <c r="H808" s="8" t="s">
        <v>2931</v>
      </c>
      <c r="I808" s="8" t="s">
        <v>81</v>
      </c>
      <c r="J808" s="16" t="s">
        <v>2932</v>
      </c>
      <c r="K808" s="2" t="s">
        <v>2933</v>
      </c>
      <c r="L808" s="8" t="s">
        <v>2934</v>
      </c>
      <c r="M808" s="8" t="s">
        <v>27</v>
      </c>
      <c r="N808" s="8" t="s">
        <v>2935</v>
      </c>
      <c r="O808" s="8" t="s">
        <v>2936</v>
      </c>
      <c r="P808" s="8" t="s">
        <v>405</v>
      </c>
      <c r="Q808" s="12"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808" s="8" t="s">
        <v>100</v>
      </c>
      <c r="S808" s="7" t="s">
        <v>28</v>
      </c>
      <c r="T808" s="6"/>
      <c r="U808" s="8"/>
    </row>
    <row r="809" spans="1:34" ht="13.5" customHeight="1">
      <c r="A809" s="8" t="s">
        <v>2922</v>
      </c>
      <c r="B809" s="16">
        <v>72</v>
      </c>
      <c r="C809" s="8" t="s">
        <v>20</v>
      </c>
      <c r="D809" s="8" t="s">
        <v>37</v>
      </c>
      <c r="E809" s="8" t="s">
        <v>2923</v>
      </c>
      <c r="F809" s="17">
        <v>42109</v>
      </c>
      <c r="G809" s="8" t="s">
        <v>2924</v>
      </c>
      <c r="H809" s="8" t="s">
        <v>758</v>
      </c>
      <c r="I809" s="8" t="s">
        <v>212</v>
      </c>
      <c r="J809" s="16" t="s">
        <v>2925</v>
      </c>
      <c r="K809" s="2" t="s">
        <v>1152</v>
      </c>
      <c r="L809" s="8" t="s">
        <v>2926</v>
      </c>
      <c r="M809" s="8" t="s">
        <v>27</v>
      </c>
      <c r="N809" s="8" t="s">
        <v>2927</v>
      </c>
      <c r="O809" s="8" t="s">
        <v>1018</v>
      </c>
      <c r="P809" s="8" t="s">
        <v>405</v>
      </c>
      <c r="Q809" s="12"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809" s="8" t="s">
        <v>559</v>
      </c>
      <c r="S809" s="7" t="s">
        <v>28</v>
      </c>
      <c r="T809" s="6"/>
      <c r="U809" s="8"/>
    </row>
    <row r="810" spans="1:34" ht="13.5" customHeight="1">
      <c r="A810" s="8" t="s">
        <v>2886</v>
      </c>
      <c r="B810" s="16">
        <v>22</v>
      </c>
      <c r="C810" s="8" t="s">
        <v>20</v>
      </c>
      <c r="D810" s="8" t="s">
        <v>85</v>
      </c>
      <c r="E810" s="8" t="s">
        <v>2887</v>
      </c>
      <c r="F810" s="17">
        <v>42109</v>
      </c>
      <c r="G810" s="8" t="s">
        <v>2888</v>
      </c>
      <c r="H810" s="8" t="s">
        <v>216</v>
      </c>
      <c r="I810" s="8" t="s">
        <v>62</v>
      </c>
      <c r="J810" s="16" t="s">
        <v>2889</v>
      </c>
      <c r="K810" s="2" t="s">
        <v>163</v>
      </c>
      <c r="L810" s="8" t="s">
        <v>164</v>
      </c>
      <c r="M810" s="8" t="s">
        <v>27</v>
      </c>
      <c r="N810" s="8" t="s">
        <v>2890</v>
      </c>
      <c r="O810" s="8" t="s">
        <v>1018</v>
      </c>
      <c r="P810" s="8" t="s">
        <v>405</v>
      </c>
      <c r="Q810" s="12"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810" s="8" t="s">
        <v>100</v>
      </c>
      <c r="S810" s="7" t="s">
        <v>28</v>
      </c>
      <c r="T810" s="6"/>
      <c r="U810" s="8"/>
    </row>
    <row r="811" spans="1:34" ht="13.5" customHeight="1">
      <c r="A811" s="8" t="s">
        <v>2943</v>
      </c>
      <c r="B811" s="16">
        <v>26</v>
      </c>
      <c r="C811" s="8" t="s">
        <v>20</v>
      </c>
      <c r="D811" s="8" t="s">
        <v>85</v>
      </c>
      <c r="E811" s="8" t="s">
        <v>2944</v>
      </c>
      <c r="F811" s="17">
        <v>42108</v>
      </c>
      <c r="G811" s="8" t="s">
        <v>2945</v>
      </c>
      <c r="H811" s="8" t="s">
        <v>288</v>
      </c>
      <c r="I811" s="8" t="s">
        <v>73</v>
      </c>
      <c r="J811" s="16">
        <v>75232</v>
      </c>
      <c r="K811" s="2" t="s">
        <v>288</v>
      </c>
      <c r="L811" s="8" t="s">
        <v>2946</v>
      </c>
      <c r="M811" s="8" t="s">
        <v>27</v>
      </c>
      <c r="N811" s="8" t="s">
        <v>2947</v>
      </c>
      <c r="O811" s="8" t="s">
        <v>1018</v>
      </c>
      <c r="P811" s="8" t="s">
        <v>405</v>
      </c>
      <c r="Q811" s="12" t="str">
        <f>HYPERLINK("http://www.oregonlive.com/portland/index.ssf/2015/04/se_portland_double_murder_susp.html","http://www.oregonlive.com/portland/index.ssf/2015/04/se_portland_double_murder_susp.html")</f>
        <v>http://www.oregonlive.com/portland/index.ssf/2015/04/se_portland_double_murder_susp.html</v>
      </c>
      <c r="R811" s="8" t="s">
        <v>100</v>
      </c>
      <c r="S811" s="7" t="s">
        <v>28</v>
      </c>
      <c r="T811" s="6"/>
      <c r="U811" s="8"/>
    </row>
    <row r="812" spans="1:34" ht="13.5" customHeight="1">
      <c r="A812" s="8" t="s">
        <v>2937</v>
      </c>
      <c r="B812" s="16">
        <v>52</v>
      </c>
      <c r="C812" s="8" t="s">
        <v>20</v>
      </c>
      <c r="D812" s="8" t="s">
        <v>85</v>
      </c>
      <c r="E812" s="8" t="s">
        <v>2938</v>
      </c>
      <c r="F812" s="17">
        <v>42108</v>
      </c>
      <c r="G812" s="8" t="s">
        <v>2939</v>
      </c>
      <c r="H812" s="8" t="s">
        <v>2940</v>
      </c>
      <c r="I812" s="8" t="s">
        <v>427</v>
      </c>
      <c r="J812" s="16" t="s">
        <v>2941</v>
      </c>
      <c r="K812" s="2" t="s">
        <v>2942</v>
      </c>
      <c r="L812" s="8" t="s">
        <v>2757</v>
      </c>
      <c r="M812" s="8" t="s">
        <v>29</v>
      </c>
      <c r="P812" s="8" t="s">
        <v>405</v>
      </c>
      <c r="Q812" s="12" t="str">
        <f>HYPERLINK("http://www.recordonline.com/article/20150428/OPINION/150429329/101136/OPINION","http://www.recordonline.com/article/20150428/OPINION/150429329/101136/OPINION")</f>
        <v>http://www.recordonline.com/article/20150428/OPINION/150429329/101136/OPINION</v>
      </c>
      <c r="S812" s="7" t="s">
        <v>28</v>
      </c>
      <c r="T812" s="6"/>
      <c r="U812" s="8"/>
    </row>
    <row r="813" spans="1:34" ht="13.5" customHeight="1">
      <c r="A813" s="8" t="s">
        <v>2954</v>
      </c>
      <c r="B813" s="16">
        <v>24</v>
      </c>
      <c r="C813" s="8" t="s">
        <v>20</v>
      </c>
      <c r="D813" s="8" t="s">
        <v>48</v>
      </c>
      <c r="F813" s="17">
        <v>42107</v>
      </c>
      <c r="G813" s="8" t="s">
        <v>2955</v>
      </c>
      <c r="H813" s="8" t="s">
        <v>731</v>
      </c>
      <c r="I813" s="8" t="s">
        <v>73</v>
      </c>
      <c r="J813" s="16" t="s">
        <v>2956</v>
      </c>
      <c r="K813" s="2" t="s">
        <v>562</v>
      </c>
      <c r="L813" s="8" t="s">
        <v>732</v>
      </c>
      <c r="M813" s="8" t="s">
        <v>27</v>
      </c>
      <c r="N813" s="8" t="s">
        <v>2957</v>
      </c>
      <c r="O813" s="8" t="s">
        <v>2958</v>
      </c>
      <c r="P813" s="8" t="s">
        <v>405</v>
      </c>
      <c r="Q813" s="12" t="s">
        <v>2959</v>
      </c>
      <c r="R813" s="8" t="s">
        <v>100</v>
      </c>
      <c r="S813" s="7" t="s">
        <v>28</v>
      </c>
      <c r="T813" s="6"/>
      <c r="U813" s="8"/>
    </row>
    <row r="814" spans="1:34" ht="13.5" customHeight="1">
      <c r="A814" s="8" t="s">
        <v>2948</v>
      </c>
      <c r="B814" s="16">
        <v>27</v>
      </c>
      <c r="C814" s="8" t="s">
        <v>20</v>
      </c>
      <c r="D814" s="8" t="s">
        <v>48</v>
      </c>
      <c r="E814" s="8" t="str">
        <f>HYPERLINK("http://fox2now.com/2015/04/14/man-identified-in-alton-officer-involved-shooting/","http://fox2now.com/2015/04/14/man-identified-in-alton-officer-involved-shooting/")</f>
        <v>http://fox2now.com/2015/04/14/man-identified-in-alton-officer-involved-shooting/</v>
      </c>
      <c r="F814" s="17">
        <v>42107</v>
      </c>
      <c r="G814" s="8" t="s">
        <v>2949</v>
      </c>
      <c r="H814" s="8" t="s">
        <v>2950</v>
      </c>
      <c r="I814" s="8" t="s">
        <v>44</v>
      </c>
      <c r="J814" s="16" t="s">
        <v>2951</v>
      </c>
      <c r="K814" s="2" t="s">
        <v>717</v>
      </c>
      <c r="L814" s="8" t="s">
        <v>2952</v>
      </c>
      <c r="M814" s="8" t="s">
        <v>27</v>
      </c>
      <c r="N814" s="8" t="s">
        <v>2953</v>
      </c>
      <c r="O814" s="8" t="s">
        <v>1018</v>
      </c>
      <c r="P814" s="8" t="s">
        <v>405</v>
      </c>
      <c r="Q814" s="12" t="str">
        <f>HYPERLINK("http://fox2now.com/2015/04/14/man-identified-in-alton-officer-involved-shooting/","http://fox2now.com/2015/04/14/man-identified-in-alton-officer-involved-shooting/")</f>
        <v>http://fox2now.com/2015/04/14/man-identified-in-alton-officer-involved-shooting/</v>
      </c>
      <c r="R814" s="8" t="s">
        <v>100</v>
      </c>
      <c r="S814" s="7" t="s">
        <v>28</v>
      </c>
      <c r="T814" s="6"/>
      <c r="U814" s="8"/>
      <c r="Y814" s="8"/>
      <c r="Z814" s="8"/>
      <c r="AA814" s="8"/>
      <c r="AB814" s="8"/>
      <c r="AC814" s="8"/>
      <c r="AD814" s="8"/>
      <c r="AE814" s="8"/>
      <c r="AF814" s="8"/>
      <c r="AG814" s="8"/>
      <c r="AH814" s="8"/>
    </row>
    <row r="815" spans="1:34" ht="13.5" customHeight="1">
      <c r="A815" s="8" t="s">
        <v>2960</v>
      </c>
      <c r="B815" s="16">
        <v>32</v>
      </c>
      <c r="C815" s="8" t="s">
        <v>20</v>
      </c>
      <c r="D815" s="8" t="s">
        <v>37</v>
      </c>
      <c r="E815" s="8" t="s">
        <v>2961</v>
      </c>
      <c r="F815" s="17">
        <v>42107</v>
      </c>
      <c r="G815" s="8" t="s">
        <v>2962</v>
      </c>
      <c r="H815" s="8" t="s">
        <v>2963</v>
      </c>
      <c r="I815" s="8" t="s">
        <v>370</v>
      </c>
      <c r="J815" s="16" t="s">
        <v>2964</v>
      </c>
      <c r="K815" s="2" t="s">
        <v>2965</v>
      </c>
      <c r="L815" s="8" t="s">
        <v>2966</v>
      </c>
      <c r="M815" s="8" t="s">
        <v>27</v>
      </c>
      <c r="N815" s="8" t="s">
        <v>2967</v>
      </c>
      <c r="O815" s="8" t="s">
        <v>404</v>
      </c>
      <c r="P815" s="8" t="s">
        <v>405</v>
      </c>
      <c r="Q815" s="12" t="str">
        <f>HYPERLINK("http://abc11.com/news/sampson-county-sheriffs-deputy-shoots-and-kills-robbery-suspect/654777/","http://abc11.com/news/sampson-county-sheriffs-deputy-shoots-and-kills-robbery-suspect/654777/")</f>
        <v>http://abc11.com/news/sampson-county-sheriffs-deputy-shoots-and-kills-robbery-suspect/654777/</v>
      </c>
      <c r="R815" s="8" t="s">
        <v>100</v>
      </c>
      <c r="S815" s="7" t="s">
        <v>28</v>
      </c>
      <c r="T815" s="6"/>
      <c r="U815" s="8"/>
    </row>
    <row r="816" spans="1:34" ht="13.5" customHeight="1">
      <c r="A816" s="8" t="s">
        <v>2968</v>
      </c>
      <c r="B816" s="16">
        <v>36</v>
      </c>
      <c r="C816" s="8" t="s">
        <v>20</v>
      </c>
      <c r="D816" s="8" t="s">
        <v>85</v>
      </c>
      <c r="E816" s="8" t="s">
        <v>2969</v>
      </c>
      <c r="F816" s="17">
        <v>42106</v>
      </c>
      <c r="G816" s="8" t="s">
        <v>2970</v>
      </c>
      <c r="H816" s="8" t="s">
        <v>219</v>
      </c>
      <c r="I816" s="8" t="s">
        <v>220</v>
      </c>
      <c r="J816" s="16">
        <v>46218</v>
      </c>
      <c r="K816" s="2" t="s">
        <v>424</v>
      </c>
      <c r="L816" s="8" t="s">
        <v>221</v>
      </c>
      <c r="M816" s="8" t="s">
        <v>27</v>
      </c>
      <c r="N816" s="8" t="s">
        <v>2971</v>
      </c>
      <c r="O816" s="8" t="s">
        <v>1018</v>
      </c>
      <c r="P816" s="8" t="s">
        <v>405</v>
      </c>
      <c r="Q816" s="12"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816" s="8" t="s">
        <v>100</v>
      </c>
      <c r="S816" s="7" t="s">
        <v>28</v>
      </c>
      <c r="T816" s="6"/>
      <c r="U816" s="8"/>
    </row>
    <row r="817" spans="1:21" ht="13.5" customHeight="1">
      <c r="A817" s="8" t="s">
        <v>2972</v>
      </c>
      <c r="B817" s="16">
        <v>83</v>
      </c>
      <c r="C817" s="8" t="s">
        <v>20</v>
      </c>
      <c r="D817" s="8" t="s">
        <v>37</v>
      </c>
      <c r="E817" s="8" t="s">
        <v>2973</v>
      </c>
      <c r="F817" s="17">
        <v>42106</v>
      </c>
      <c r="G817" s="8" t="s">
        <v>2974</v>
      </c>
      <c r="H817" s="8" t="s">
        <v>2975</v>
      </c>
      <c r="I817" s="8" t="s">
        <v>399</v>
      </c>
      <c r="J817" s="16" t="s">
        <v>2976</v>
      </c>
      <c r="K817" s="2" t="s">
        <v>1105</v>
      </c>
      <c r="L817" s="8" t="s">
        <v>1106</v>
      </c>
      <c r="M817" s="8" t="s">
        <v>27</v>
      </c>
      <c r="N817" s="8" t="s">
        <v>2977</v>
      </c>
      <c r="O817" s="8" t="s">
        <v>404</v>
      </c>
      <c r="P817" s="8" t="s">
        <v>405</v>
      </c>
      <c r="Q817" s="12" t="str">
        <f>HYPERLINK("http://www.koco.com/news/police-investigating-reported-shooting-in-newalla/32332484","http://www.koco.com/news/police-investigating-reported-shooting-in-newalla/32332484")</f>
        <v>http://www.koco.com/news/police-investigating-reported-shooting-in-newalla/32332484</v>
      </c>
      <c r="R817" s="8" t="s">
        <v>29</v>
      </c>
      <c r="S817" s="7" t="s">
        <v>28</v>
      </c>
      <c r="T817" s="6"/>
      <c r="U817" s="8"/>
    </row>
    <row r="818" spans="1:21" ht="13.5" customHeight="1">
      <c r="A818" s="8" t="s">
        <v>2978</v>
      </c>
      <c r="B818" s="16">
        <v>66</v>
      </c>
      <c r="C818" s="8" t="s">
        <v>20</v>
      </c>
      <c r="D818" s="8" t="s">
        <v>37</v>
      </c>
      <c r="E818" s="8" t="s">
        <v>2979</v>
      </c>
      <c r="F818" s="17">
        <v>42105</v>
      </c>
      <c r="G818" s="8" t="s">
        <v>2980</v>
      </c>
      <c r="H818" s="8" t="s">
        <v>2981</v>
      </c>
      <c r="I818" s="8" t="s">
        <v>399</v>
      </c>
      <c r="J818" s="16">
        <v>74063</v>
      </c>
      <c r="K818" s="2" t="s">
        <v>2513</v>
      </c>
      <c r="L818" s="8" t="s">
        <v>2982</v>
      </c>
      <c r="M818" s="8" t="s">
        <v>27</v>
      </c>
      <c r="N818" s="8" t="s">
        <v>2983</v>
      </c>
      <c r="O818" s="8" t="s">
        <v>554</v>
      </c>
      <c r="P818" s="8" t="s">
        <v>405</v>
      </c>
      <c r="Q818" s="12"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818" s="8" t="s">
        <v>559</v>
      </c>
      <c r="S818" s="7" t="s">
        <v>28</v>
      </c>
      <c r="T818" s="6"/>
      <c r="U818" s="8"/>
    </row>
    <row r="819" spans="1:21" ht="13.5" customHeight="1">
      <c r="A819" s="8" t="s">
        <v>2984</v>
      </c>
      <c r="B819" s="16">
        <v>21</v>
      </c>
      <c r="C819" s="8" t="s">
        <v>20</v>
      </c>
      <c r="D819" s="8" t="s">
        <v>48</v>
      </c>
      <c r="E819" s="8" t="s">
        <v>2985</v>
      </c>
      <c r="F819" s="17">
        <v>42104</v>
      </c>
      <c r="G819" s="8" t="s">
        <v>2986</v>
      </c>
      <c r="H819" s="8" t="s">
        <v>2987</v>
      </c>
      <c r="I819" s="8" t="s">
        <v>45</v>
      </c>
      <c r="J819" s="16" t="s">
        <v>2988</v>
      </c>
      <c r="K819" s="2" t="s">
        <v>2989</v>
      </c>
      <c r="L819" s="8" t="s">
        <v>2990</v>
      </c>
      <c r="M819" s="8" t="s">
        <v>27</v>
      </c>
      <c r="N819" s="8" t="s">
        <v>2991</v>
      </c>
      <c r="O819" s="8" t="s">
        <v>1018</v>
      </c>
      <c r="P819" s="8" t="s">
        <v>405</v>
      </c>
      <c r="Q819" s="12"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819" s="8" t="s">
        <v>100</v>
      </c>
      <c r="S819" s="7" t="s">
        <v>28</v>
      </c>
      <c r="T819" s="6"/>
      <c r="U819" s="8"/>
    </row>
    <row r="820" spans="1:21" ht="13.5" customHeight="1">
      <c r="A820" s="8" t="s">
        <v>2992</v>
      </c>
      <c r="B820" s="16">
        <v>31</v>
      </c>
      <c r="C820" s="8" t="s">
        <v>20</v>
      </c>
      <c r="D820" s="8" t="s">
        <v>30</v>
      </c>
      <c r="F820" s="17">
        <v>42104</v>
      </c>
      <c r="G820" s="8" t="s">
        <v>2993</v>
      </c>
      <c r="H820" s="8" t="s">
        <v>2994</v>
      </c>
      <c r="I820" s="8" t="s">
        <v>408</v>
      </c>
      <c r="J820" s="16" t="s">
        <v>2995</v>
      </c>
      <c r="K820" s="2" t="s">
        <v>1941</v>
      </c>
      <c r="L820" s="8" t="s">
        <v>9453</v>
      </c>
      <c r="M820" s="8" t="s">
        <v>27</v>
      </c>
      <c r="N820" s="8" t="s">
        <v>2996</v>
      </c>
      <c r="O820" s="8" t="s">
        <v>1018</v>
      </c>
      <c r="P820" s="8" t="s">
        <v>405</v>
      </c>
      <c r="Q820" s="12" t="str">
        <f>HYPERLINK("http://www.pennlive.com/midstate/index.ssf/2015/04/adams_county_prison_gunman_die.html","http://www.pennlive.com/midstate/index.ssf/2015/04/adams_county_prison_gunman_die.html")</f>
        <v>http://www.pennlive.com/midstate/index.ssf/2015/04/adams_county_prison_gunman_die.html</v>
      </c>
      <c r="R820" s="8" t="s">
        <v>29</v>
      </c>
      <c r="S820" s="7" t="s">
        <v>35</v>
      </c>
      <c r="T820" s="6"/>
      <c r="U820" s="8"/>
    </row>
    <row r="821" spans="1:21" ht="13.5" customHeight="1">
      <c r="A821" s="8" t="s">
        <v>2997</v>
      </c>
      <c r="B821" s="16">
        <v>29</v>
      </c>
      <c r="C821" s="8" t="s">
        <v>20</v>
      </c>
      <c r="D821" s="8" t="s">
        <v>85</v>
      </c>
      <c r="E821" s="8" t="s">
        <v>2998</v>
      </c>
      <c r="F821" s="17">
        <v>42103</v>
      </c>
      <c r="G821" s="8" t="s">
        <v>2999</v>
      </c>
      <c r="H821" s="8" t="s">
        <v>3000</v>
      </c>
      <c r="I821" s="8" t="s">
        <v>220</v>
      </c>
      <c r="J821" s="16" t="s">
        <v>3001</v>
      </c>
      <c r="K821" s="2" t="s">
        <v>37</v>
      </c>
      <c r="L821" s="8" t="s">
        <v>3002</v>
      </c>
      <c r="M821" s="8" t="s">
        <v>27</v>
      </c>
      <c r="N821" s="8" t="s">
        <v>3003</v>
      </c>
      <c r="O821" s="8" t="s">
        <v>1018</v>
      </c>
      <c r="P821" s="8" t="s">
        <v>405</v>
      </c>
      <c r="Q821" s="12" t="str">
        <f>HYPERLINK("http://www.jconline.com/story/news/2015/05/01/officers-justified-use-lethal-force/26708803/","http://www.jconline.com/story/news/2015/05/01/officers-justified-use-lethal-force/26708803/")</f>
        <v>http://www.jconline.com/story/news/2015/05/01/officers-justified-use-lethal-force/26708803/</v>
      </c>
      <c r="R821" s="8" t="s">
        <v>100</v>
      </c>
      <c r="S821" s="7" t="s">
        <v>28</v>
      </c>
      <c r="T821" s="6"/>
      <c r="U821" s="8"/>
    </row>
    <row r="822" spans="1:21" ht="13.5" customHeight="1">
      <c r="A822" s="8" t="s">
        <v>3004</v>
      </c>
      <c r="B822" s="16">
        <v>22</v>
      </c>
      <c r="C822" s="8" t="s">
        <v>20</v>
      </c>
      <c r="D822" s="8" t="s">
        <v>37</v>
      </c>
      <c r="E822" s="8" t="s">
        <v>3005</v>
      </c>
      <c r="F822" s="17">
        <v>42103</v>
      </c>
      <c r="G822" s="8" t="s">
        <v>3006</v>
      </c>
      <c r="H822" s="8" t="s">
        <v>3007</v>
      </c>
      <c r="I822" s="8" t="s">
        <v>62</v>
      </c>
      <c r="J822" s="16" t="s">
        <v>3008</v>
      </c>
      <c r="K822" s="2" t="s">
        <v>3009</v>
      </c>
      <c r="L822" s="8" t="s">
        <v>3010</v>
      </c>
      <c r="M822" s="8" t="s">
        <v>27</v>
      </c>
      <c r="N822" s="8" t="s">
        <v>3011</v>
      </c>
      <c r="P822" s="8" t="s">
        <v>405</v>
      </c>
      <c r="Q822" s="12"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822" s="8" t="s">
        <v>29</v>
      </c>
      <c r="S822" s="7" t="s">
        <v>28</v>
      </c>
      <c r="T822" s="6"/>
      <c r="U822" s="8"/>
    </row>
    <row r="823" spans="1:21" ht="13.5" customHeight="1">
      <c r="A823" s="8" t="s">
        <v>3012</v>
      </c>
      <c r="B823" s="16">
        <v>54</v>
      </c>
      <c r="C823" s="8" t="s">
        <v>20</v>
      </c>
      <c r="D823" s="8" t="s">
        <v>37</v>
      </c>
      <c r="E823" s="8" t="s">
        <v>3013</v>
      </c>
      <c r="F823" s="17">
        <v>42103</v>
      </c>
      <c r="G823" s="8" t="s">
        <v>3014</v>
      </c>
      <c r="H823" s="8" t="s">
        <v>3015</v>
      </c>
      <c r="I823" s="8" t="s">
        <v>399</v>
      </c>
      <c r="J823" s="16" t="s">
        <v>3016</v>
      </c>
      <c r="K823" s="2" t="s">
        <v>2061</v>
      </c>
      <c r="L823" s="8" t="s">
        <v>3017</v>
      </c>
      <c r="M823" s="8" t="s">
        <v>27</v>
      </c>
      <c r="N823" s="8" t="s">
        <v>3018</v>
      </c>
      <c r="O823" s="8" t="s">
        <v>1018</v>
      </c>
      <c r="P823" s="8" t="s">
        <v>405</v>
      </c>
      <c r="Q823" s="12"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823" s="8" t="s">
        <v>100</v>
      </c>
      <c r="S823" s="7" t="s">
        <v>28</v>
      </c>
      <c r="T823" s="6"/>
      <c r="U823" s="8"/>
    </row>
    <row r="824" spans="1:21" ht="13.5" customHeight="1">
      <c r="A824" s="8" t="s">
        <v>3019</v>
      </c>
      <c r="B824" s="16">
        <v>28</v>
      </c>
      <c r="C824" s="8" t="s">
        <v>20</v>
      </c>
      <c r="D824" s="8" t="s">
        <v>37</v>
      </c>
      <c r="E824" s="8" t="s">
        <v>3020</v>
      </c>
      <c r="F824" s="17">
        <v>42103</v>
      </c>
      <c r="G824" s="8" t="s">
        <v>3021</v>
      </c>
      <c r="H824" s="8" t="s">
        <v>3022</v>
      </c>
      <c r="I824" s="8" t="s">
        <v>32</v>
      </c>
      <c r="J824" s="16" t="s">
        <v>3023</v>
      </c>
      <c r="K824" s="2" t="s">
        <v>2893</v>
      </c>
      <c r="L824" s="8" t="s">
        <v>3024</v>
      </c>
      <c r="M824" s="8" t="s">
        <v>27</v>
      </c>
      <c r="N824" s="8" t="s">
        <v>3025</v>
      </c>
      <c r="O824" s="8" t="s">
        <v>1018</v>
      </c>
      <c r="P824" s="8" t="s">
        <v>405</v>
      </c>
      <c r="Q824" s="12" t="str">
        <f>HYPERLINK("http://www.wyff4.com/news/family-of-man-killed-by-deputies-hires-attorney/32601896","http://www.wyff4.com/news/family-of-man-killed-by-deputies-hires-attorney/32601896")</f>
        <v>http://www.wyff4.com/news/family-of-man-killed-by-deputies-hires-attorney/32601896</v>
      </c>
      <c r="R824" s="8" t="s">
        <v>100</v>
      </c>
      <c r="S824" s="7" t="s">
        <v>28</v>
      </c>
      <c r="T824" s="6"/>
      <c r="U824" s="8"/>
    </row>
    <row r="825" spans="1:21" ht="13.5" customHeight="1">
      <c r="A825" s="8" t="s">
        <v>3026</v>
      </c>
      <c r="B825" s="16">
        <v>42</v>
      </c>
      <c r="C825" s="8" t="s">
        <v>20</v>
      </c>
      <c r="D825" s="8" t="s">
        <v>85</v>
      </c>
      <c r="E825" s="8" t="s">
        <v>3027</v>
      </c>
      <c r="F825" s="17">
        <v>42102</v>
      </c>
      <c r="G825" s="8" t="s">
        <v>3028</v>
      </c>
      <c r="H825" s="8" t="s">
        <v>3029</v>
      </c>
      <c r="I825" s="8" t="s">
        <v>175</v>
      </c>
      <c r="J825" s="16" t="s">
        <v>3030</v>
      </c>
      <c r="K825" s="2" t="s">
        <v>3031</v>
      </c>
      <c r="L825" s="8" t="s">
        <v>3032</v>
      </c>
      <c r="M825" s="8" t="s">
        <v>27</v>
      </c>
      <c r="N825" s="8" t="s">
        <v>3033</v>
      </c>
      <c r="O825" s="8" t="s">
        <v>1018</v>
      </c>
      <c r="P825" s="8" t="s">
        <v>405</v>
      </c>
      <c r="Q825" s="12" t="str">
        <f>HYPERLINK("http://www.wctv.tv/home/headlines/Police-Respond-to-Apparent-Shooting-in-Valdosta-299123481.html","http://www.wctv.tv/home/headlines/Police-Respond-to-Apparent-Shooting-in-Valdosta-299123481.html")</f>
        <v>http://www.wctv.tv/home/headlines/Police-Respond-to-Apparent-Shooting-in-Valdosta-299123481.html</v>
      </c>
      <c r="R825" s="8" t="s">
        <v>100</v>
      </c>
      <c r="S825" s="7" t="s">
        <v>18</v>
      </c>
      <c r="T825" s="6"/>
      <c r="U825" s="8"/>
    </row>
    <row r="826" spans="1:21" ht="13.5" customHeight="1">
      <c r="A826" s="8" t="s">
        <v>3048</v>
      </c>
      <c r="B826" s="16">
        <v>60</v>
      </c>
      <c r="C826" s="8" t="s">
        <v>20</v>
      </c>
      <c r="D826" s="8" t="s">
        <v>37</v>
      </c>
      <c r="E826" s="8" t="str">
        <f>HYPERLINK("http://www.ksat.com/content/pns/ksat/news/2015/04/10/man-shot--killed-by-police-id-d.html","http://www.ksat.com/content/pns/ksat/news/2015/04/10/man-shot--killed-by-police-id-d.html")</f>
        <v>http://www.ksat.com/content/pns/ksat/news/2015/04/10/man-shot--killed-by-police-id-d.html</v>
      </c>
      <c r="F826" s="17">
        <v>42102</v>
      </c>
      <c r="G826" s="8" t="s">
        <v>3049</v>
      </c>
      <c r="H826" s="8" t="s">
        <v>579</v>
      </c>
      <c r="I826" s="8" t="s">
        <v>73</v>
      </c>
      <c r="J826" s="16" t="s">
        <v>3050</v>
      </c>
      <c r="K826" s="2" t="s">
        <v>580</v>
      </c>
      <c r="L826" s="8" t="s">
        <v>581</v>
      </c>
      <c r="M826" s="8" t="s">
        <v>27</v>
      </c>
      <c r="N826" s="8" t="s">
        <v>3051</v>
      </c>
      <c r="O826" s="8" t="s">
        <v>1018</v>
      </c>
      <c r="P826" s="8" t="s">
        <v>405</v>
      </c>
      <c r="Q826" s="12" t="str">
        <f>HYPERLINK("http://www.ksat.com/content/pns/ksat/news/2015/04/10/man-shot--killed-by-police-id-d.html","http://www.ksat.com/content/pns/ksat/news/2015/04/10/man-shot--killed-by-police-id-d.html")</f>
        <v>http://www.ksat.com/content/pns/ksat/news/2015/04/10/man-shot--killed-by-police-id-d.html</v>
      </c>
      <c r="R826" s="8" t="s">
        <v>100</v>
      </c>
      <c r="S826" s="7" t="s">
        <v>28</v>
      </c>
      <c r="T826" s="6"/>
      <c r="U826" s="8"/>
    </row>
    <row r="827" spans="1:21" ht="13.5" customHeight="1">
      <c r="A827" s="8" t="s">
        <v>3043</v>
      </c>
      <c r="B827" s="16">
        <v>28</v>
      </c>
      <c r="C827" s="8" t="s">
        <v>20</v>
      </c>
      <c r="D827" s="8" t="s">
        <v>37</v>
      </c>
      <c r="E827" s="8" t="s">
        <v>3044</v>
      </c>
      <c r="F827" s="17">
        <v>42102</v>
      </c>
      <c r="G827" s="8" t="s">
        <v>3045</v>
      </c>
      <c r="H827" s="8" t="s">
        <v>779</v>
      </c>
      <c r="I827" s="8" t="s">
        <v>45</v>
      </c>
      <c r="J827" s="16" t="s">
        <v>3046</v>
      </c>
      <c r="K827" s="2" t="s">
        <v>613</v>
      </c>
      <c r="L827" s="8" t="s">
        <v>780</v>
      </c>
      <c r="M827" s="8" t="s">
        <v>27</v>
      </c>
      <c r="N827" s="8" t="s">
        <v>3047</v>
      </c>
      <c r="O827" s="8" t="s">
        <v>1018</v>
      </c>
      <c r="P827" s="8" t="s">
        <v>405</v>
      </c>
      <c r="Q827" s="12"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827" s="8" t="s">
        <v>559</v>
      </c>
      <c r="S827" s="7" t="s">
        <v>28</v>
      </c>
      <c r="T827" s="6"/>
      <c r="U827" s="8"/>
    </row>
    <row r="828" spans="1:21" ht="13.5" customHeight="1">
      <c r="A828" s="8" t="s">
        <v>3038</v>
      </c>
      <c r="B828" s="16">
        <v>57</v>
      </c>
      <c r="C828" s="8" t="s">
        <v>20</v>
      </c>
      <c r="D828" s="8" t="s">
        <v>30</v>
      </c>
      <c r="F828" s="17">
        <v>42102</v>
      </c>
      <c r="G828" s="8" t="s">
        <v>3039</v>
      </c>
      <c r="H828" s="8" t="s">
        <v>3040</v>
      </c>
      <c r="I828" s="8" t="s">
        <v>45</v>
      </c>
      <c r="J828" s="16" t="s">
        <v>3041</v>
      </c>
      <c r="K828" s="2" t="s">
        <v>687</v>
      </c>
      <c r="L828" s="8" t="s">
        <v>755</v>
      </c>
      <c r="M828" s="8" t="s">
        <v>395</v>
      </c>
      <c r="N828" s="8" t="s">
        <v>3042</v>
      </c>
      <c r="O828" s="8" t="s">
        <v>404</v>
      </c>
      <c r="P828" s="8" t="s">
        <v>405</v>
      </c>
      <c r="Q828" s="12" t="str">
        <f>HYPERLINK("http://www.kerngoldenempire.com/news/top-stories/new-information-on-kcso-in-custody-death","http://www.kerngoldenempire.com/news/top-stories/new-information-on-kcso-in-custody-death")</f>
        <v>http://www.kerngoldenempire.com/news/top-stories/new-information-on-kcso-in-custody-death</v>
      </c>
      <c r="R828" s="8" t="s">
        <v>29</v>
      </c>
      <c r="S828" s="7" t="s">
        <v>18</v>
      </c>
      <c r="T828" s="6"/>
      <c r="U828" s="8"/>
    </row>
    <row r="829" spans="1:21" ht="13.5" customHeight="1">
      <c r="A829" s="8" t="s">
        <v>3034</v>
      </c>
      <c r="B829" s="16">
        <v>39</v>
      </c>
      <c r="C829" s="8" t="s">
        <v>20</v>
      </c>
      <c r="D829" s="8" t="s">
        <v>48</v>
      </c>
      <c r="F829" s="17">
        <v>42102</v>
      </c>
      <c r="G829" s="8" t="s">
        <v>3035</v>
      </c>
      <c r="H829" s="8" t="s">
        <v>98</v>
      </c>
      <c r="I829" s="8" t="s">
        <v>45</v>
      </c>
      <c r="J829" s="16" t="s">
        <v>3036</v>
      </c>
      <c r="K829" s="2" t="s">
        <v>98</v>
      </c>
      <c r="L829" s="8" t="s">
        <v>99</v>
      </c>
      <c r="M829" s="8" t="s">
        <v>27</v>
      </c>
      <c r="N829" s="8" t="s">
        <v>3037</v>
      </c>
      <c r="O829" s="8" t="s">
        <v>1018</v>
      </c>
      <c r="P829" s="8" t="s">
        <v>405</v>
      </c>
      <c r="Q829" s="12" t="str">
        <f>HYPERLINK("http://www.latimes.com/local/lanow/la-me-ln-boyle-heights-ois-man-identified-20150410-story.html","http://www.latimes.com/local/lanow/la-me-ln-boyle-heights-ois-man-identified-20150410-story.html")</f>
        <v>http://www.latimes.com/local/lanow/la-me-ln-boyle-heights-ois-man-identified-20150410-story.html</v>
      </c>
      <c r="R829" s="8" t="s">
        <v>100</v>
      </c>
      <c r="S829" s="7" t="s">
        <v>28</v>
      </c>
      <c r="T829" s="6"/>
      <c r="U829" s="8"/>
    </row>
    <row r="830" spans="1:21" ht="13.5" customHeight="1">
      <c r="A830" s="8" t="s">
        <v>3059</v>
      </c>
      <c r="B830" s="16">
        <v>32</v>
      </c>
      <c r="C830" s="8" t="s">
        <v>20</v>
      </c>
      <c r="D830" s="8" t="s">
        <v>37</v>
      </c>
      <c r="E830" s="8" t="s">
        <v>3060</v>
      </c>
      <c r="F830" s="17">
        <v>42101</v>
      </c>
      <c r="G830" s="8" t="s">
        <v>3061</v>
      </c>
      <c r="H830" s="8" t="s">
        <v>2819</v>
      </c>
      <c r="I830" s="8" t="s">
        <v>399</v>
      </c>
      <c r="J830" s="16" t="s">
        <v>3062</v>
      </c>
      <c r="K830" s="2" t="s">
        <v>3063</v>
      </c>
      <c r="L830" s="8" t="s">
        <v>3064</v>
      </c>
      <c r="M830" s="8" t="s">
        <v>27</v>
      </c>
      <c r="N830" s="8" t="s">
        <v>3065</v>
      </c>
      <c r="O830" s="8" t="s">
        <v>1018</v>
      </c>
      <c r="P830" s="8" t="s">
        <v>405</v>
      </c>
      <c r="Q830" s="12" t="str">
        <f>HYPERLINK("http://kfor.com/2015/04/08/officer-involved-shooting-in-shawnee-leaves-one-dead/","http://kfor.com/2015/04/08/officer-involved-shooting-in-shawnee-leaves-one-dead/")</f>
        <v>http://kfor.com/2015/04/08/officer-involved-shooting-in-shawnee-leaves-one-dead/</v>
      </c>
      <c r="R830" s="8" t="s">
        <v>29</v>
      </c>
      <c r="S830" s="7" t="s">
        <v>28</v>
      </c>
      <c r="T830" s="6"/>
      <c r="U830" s="8"/>
    </row>
    <row r="831" spans="1:21" ht="13.5" customHeight="1">
      <c r="A831" s="8" t="s">
        <v>3052</v>
      </c>
      <c r="B831" s="16">
        <v>31</v>
      </c>
      <c r="C831" s="8" t="s">
        <v>20</v>
      </c>
      <c r="D831" s="8" t="s">
        <v>37</v>
      </c>
      <c r="E831" s="8" t="s">
        <v>3053</v>
      </c>
      <c r="F831" s="17">
        <v>42101</v>
      </c>
      <c r="G831" s="8" t="s">
        <v>3054</v>
      </c>
      <c r="H831" s="8" t="s">
        <v>3055</v>
      </c>
      <c r="I831" s="8" t="s">
        <v>798</v>
      </c>
      <c r="J831" s="16" t="s">
        <v>3056</v>
      </c>
      <c r="K831" s="2" t="s">
        <v>1795</v>
      </c>
      <c r="L831" s="8" t="s">
        <v>3057</v>
      </c>
      <c r="M831" s="8" t="s">
        <v>27</v>
      </c>
      <c r="N831" s="8" t="s">
        <v>3058</v>
      </c>
      <c r="O831" s="8" t="s">
        <v>1018</v>
      </c>
      <c r="P831" s="8" t="s">
        <v>405</v>
      </c>
      <c r="Q831" s="12" t="str">
        <f>HYPERLINK("http://www.ktvb.com/story/news/crime/2015/04/07/deputy-shoots-kills-man-rifle/25414923/","http://www.ktvb.com/story/news/crime/2015/04/07/deputy-shoots-kills-man-rifle/25414923/")</f>
        <v>http://www.ktvb.com/story/news/crime/2015/04/07/deputy-shoots-kills-man-rifle/25414923/</v>
      </c>
      <c r="R831" s="8" t="s">
        <v>100</v>
      </c>
      <c r="S831" s="7" t="s">
        <v>28</v>
      </c>
      <c r="T831" s="6"/>
      <c r="U831" s="8"/>
    </row>
    <row r="832" spans="1:21" ht="13.5" customHeight="1">
      <c r="A832" s="8" t="s">
        <v>3088</v>
      </c>
      <c r="B832" s="16">
        <v>23</v>
      </c>
      <c r="C832" s="8" t="s">
        <v>20</v>
      </c>
      <c r="D832" s="8" t="s">
        <v>37</v>
      </c>
      <c r="E832" s="8" t="s">
        <v>3089</v>
      </c>
      <c r="F832" s="17">
        <v>42100</v>
      </c>
      <c r="G832" s="8" t="s">
        <v>3090</v>
      </c>
      <c r="H832" s="8" t="s">
        <v>219</v>
      </c>
      <c r="I832" s="8" t="s">
        <v>220</v>
      </c>
      <c r="J832" s="16" t="s">
        <v>3091</v>
      </c>
      <c r="K832" s="2" t="s">
        <v>424</v>
      </c>
      <c r="L832" s="8" t="s">
        <v>221</v>
      </c>
      <c r="M832" s="8" t="s">
        <v>27</v>
      </c>
      <c r="N832" s="8" t="s">
        <v>3092</v>
      </c>
      <c r="O832" s="8" t="s">
        <v>404</v>
      </c>
      <c r="P832" s="8" t="s">
        <v>405</v>
      </c>
      <c r="Q832" s="12"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832" s="7" t="s">
        <v>28</v>
      </c>
      <c r="T832" s="6"/>
      <c r="U832" s="8"/>
    </row>
    <row r="833" spans="1:34" ht="13.5" customHeight="1">
      <c r="A833" s="8" t="s">
        <v>3066</v>
      </c>
      <c r="B833" s="16">
        <v>25</v>
      </c>
      <c r="C833" s="8" t="s">
        <v>20</v>
      </c>
      <c r="D833" s="8" t="s">
        <v>85</v>
      </c>
      <c r="E833" s="8" t="s">
        <v>3067</v>
      </c>
      <c r="F833" s="17">
        <v>42100</v>
      </c>
      <c r="G833" s="8" t="s">
        <v>3068</v>
      </c>
      <c r="H833" s="8" t="s">
        <v>2316</v>
      </c>
      <c r="I833" s="8" t="s">
        <v>25</v>
      </c>
      <c r="J833" s="16" t="s">
        <v>2450</v>
      </c>
      <c r="K833" s="2" t="s">
        <v>1795</v>
      </c>
      <c r="L833" s="8" t="s">
        <v>2451</v>
      </c>
      <c r="M833" s="8" t="s">
        <v>27</v>
      </c>
      <c r="N833" s="8" t="s">
        <v>3069</v>
      </c>
      <c r="O833" s="8" t="s">
        <v>554</v>
      </c>
      <c r="P833" s="8" t="s">
        <v>405</v>
      </c>
      <c r="Q833" s="12" t="str">
        <f>HYPERLINK("http://www.wdsu.com/news/local-news/new-orleans/jpso-officer-involved-in-shooting-in-harvey/32215908","http://www.wdsu.com/news/local-news/new-orleans/jpso-officer-involved-in-shooting-in-harvey/32215908")</f>
        <v>http://www.wdsu.com/news/local-news/new-orleans/jpso-officer-involved-in-shooting-in-harvey/32215908</v>
      </c>
      <c r="R833" s="8" t="s">
        <v>29</v>
      </c>
      <c r="S833" s="7" t="s">
        <v>28</v>
      </c>
      <c r="T833" s="6"/>
      <c r="U833" s="8"/>
    </row>
    <row r="834" spans="1:34" ht="13.5" customHeight="1">
      <c r="A834" s="8" t="s">
        <v>3081</v>
      </c>
      <c r="B834" s="16">
        <v>33</v>
      </c>
      <c r="C834" s="8" t="s">
        <v>20</v>
      </c>
      <c r="D834" s="8" t="s">
        <v>37</v>
      </c>
      <c r="E834" s="8" t="s">
        <v>3082</v>
      </c>
      <c r="F834" s="17">
        <v>42100</v>
      </c>
      <c r="G834" s="8" t="s">
        <v>3083</v>
      </c>
      <c r="H834" s="8" t="s">
        <v>3084</v>
      </c>
      <c r="I834" s="8" t="s">
        <v>62</v>
      </c>
      <c r="J834" s="16" t="s">
        <v>3085</v>
      </c>
      <c r="K834" s="2" t="s">
        <v>424</v>
      </c>
      <c r="L834" s="8" t="s">
        <v>3086</v>
      </c>
      <c r="M834" s="8" t="s">
        <v>27</v>
      </c>
      <c r="N834" s="8" t="s">
        <v>3087</v>
      </c>
      <c r="O834" s="8" t="s">
        <v>404</v>
      </c>
      <c r="P834" s="8" t="s">
        <v>405</v>
      </c>
      <c r="Q834" s="12" t="str">
        <f>HYPERLINK("http://www.ocala.com/article/20150429/ARTICLES/150429614","http://www.ocala.com/article/20150429/ARTICLES/150429614")</f>
        <v>http://www.ocala.com/article/20150429/ARTICLES/150429614</v>
      </c>
      <c r="R834" s="8" t="s">
        <v>100</v>
      </c>
      <c r="S834" s="7" t="s">
        <v>18</v>
      </c>
      <c r="T834" s="6"/>
      <c r="U834" s="8"/>
    </row>
    <row r="835" spans="1:34" ht="13.5" customHeight="1">
      <c r="A835" s="8" t="s">
        <v>3070</v>
      </c>
      <c r="B835" s="16">
        <v>56</v>
      </c>
      <c r="C835" s="8" t="s">
        <v>20</v>
      </c>
      <c r="D835" s="8" t="s">
        <v>30</v>
      </c>
      <c r="F835" s="17">
        <v>42100</v>
      </c>
      <c r="G835" s="8" t="s">
        <v>3071</v>
      </c>
      <c r="H835" s="8" t="s">
        <v>3072</v>
      </c>
      <c r="I835" s="8" t="s">
        <v>45</v>
      </c>
      <c r="J835" s="16">
        <v>93561</v>
      </c>
      <c r="K835" s="2" t="s">
        <v>687</v>
      </c>
      <c r="L835" s="8" t="s">
        <v>3073</v>
      </c>
      <c r="M835" s="8" t="s">
        <v>27</v>
      </c>
      <c r="N835" s="8" t="s">
        <v>3074</v>
      </c>
      <c r="O835" s="8" t="s">
        <v>2640</v>
      </c>
      <c r="P835" s="8" t="s">
        <v>405</v>
      </c>
      <c r="Q835" s="12"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835" s="8" t="s">
        <v>29</v>
      </c>
      <c r="S835" s="7" t="s">
        <v>28</v>
      </c>
      <c r="T835" s="6"/>
      <c r="U835" s="8"/>
    </row>
    <row r="836" spans="1:34" ht="13.5" customHeight="1">
      <c r="A836" s="8" t="s">
        <v>3075</v>
      </c>
      <c r="B836" s="16">
        <v>28</v>
      </c>
      <c r="C836" s="8" t="s">
        <v>20</v>
      </c>
      <c r="D836" s="8" t="s">
        <v>141</v>
      </c>
      <c r="F836" s="17">
        <v>42100</v>
      </c>
      <c r="G836" s="8" t="s">
        <v>3076</v>
      </c>
      <c r="H836" s="8" t="s">
        <v>3077</v>
      </c>
      <c r="I836" s="8" t="s">
        <v>306</v>
      </c>
      <c r="J836" s="16" t="s">
        <v>3078</v>
      </c>
      <c r="K836" s="2" t="s">
        <v>3079</v>
      </c>
      <c r="L836" s="8" t="s">
        <v>19952</v>
      </c>
      <c r="M836" s="8" t="s">
        <v>395</v>
      </c>
      <c r="N836" s="8" t="s">
        <v>3080</v>
      </c>
      <c r="O836" s="8" t="s">
        <v>1018</v>
      </c>
      <c r="P836" s="8" t="s">
        <v>405</v>
      </c>
      <c r="Q836" s="12" t="str">
        <f>HYPERLINK("http://www.seattletimes.com/seattle-news/coulee-dam-man-dies-following-taser-incident/","http://www.seattletimes.com/seattle-news/coulee-dam-man-dies-following-taser-incident/")</f>
        <v>http://www.seattletimes.com/seattle-news/coulee-dam-man-dies-following-taser-incident/</v>
      </c>
      <c r="R836" s="8" t="s">
        <v>972</v>
      </c>
      <c r="S836" s="7" t="s">
        <v>18</v>
      </c>
      <c r="T836" s="6"/>
      <c r="U836" s="8"/>
    </row>
    <row r="837" spans="1:34" ht="13.5" customHeight="1">
      <c r="A837" s="8" t="s">
        <v>3093</v>
      </c>
      <c r="B837" s="16">
        <v>51</v>
      </c>
      <c r="C837" s="8" t="s">
        <v>20</v>
      </c>
      <c r="D837" s="8" t="s">
        <v>37</v>
      </c>
      <c r="E837" s="8"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837" s="17">
        <v>42099</v>
      </c>
      <c r="G837" s="8" t="s">
        <v>3094</v>
      </c>
      <c r="H837" s="8" t="s">
        <v>638</v>
      </c>
      <c r="I837" s="8" t="s">
        <v>124</v>
      </c>
      <c r="J837" s="16">
        <v>85308</v>
      </c>
      <c r="K837" s="2" t="s">
        <v>639</v>
      </c>
      <c r="L837" s="8" t="s">
        <v>640</v>
      </c>
      <c r="M837" s="8" t="s">
        <v>27</v>
      </c>
      <c r="N837" s="8" t="s">
        <v>3095</v>
      </c>
      <c r="O837" s="8" t="s">
        <v>1018</v>
      </c>
      <c r="P837" s="8" t="s">
        <v>405</v>
      </c>
      <c r="Q837" s="12"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837" s="7" t="s">
        <v>28</v>
      </c>
      <c r="T837" s="6"/>
      <c r="U837" s="8"/>
    </row>
    <row r="838" spans="1:34" ht="13.5" customHeight="1">
      <c r="A838" s="8" t="s">
        <v>3107</v>
      </c>
      <c r="B838" s="16">
        <v>50</v>
      </c>
      <c r="C838" s="8" t="s">
        <v>20</v>
      </c>
      <c r="D838" s="8" t="s">
        <v>85</v>
      </c>
      <c r="E838" s="8" t="s">
        <v>3108</v>
      </c>
      <c r="F838" s="17">
        <v>42098</v>
      </c>
      <c r="G838" s="8" t="s">
        <v>3109</v>
      </c>
      <c r="H838" s="8" t="s">
        <v>3110</v>
      </c>
      <c r="I838" s="8" t="s">
        <v>32</v>
      </c>
      <c r="J838" s="16" t="s">
        <v>3111</v>
      </c>
      <c r="K838" s="2" t="s">
        <v>2236</v>
      </c>
      <c r="L838" s="8" t="s">
        <v>2259</v>
      </c>
      <c r="M838" s="8" t="s">
        <v>27</v>
      </c>
      <c r="N838" s="8" t="s">
        <v>3112</v>
      </c>
      <c r="O838" s="8" t="s">
        <v>1170</v>
      </c>
      <c r="P838" s="8" t="s">
        <v>1171</v>
      </c>
      <c r="Q838" s="12" t="s">
        <v>3113</v>
      </c>
      <c r="R838" s="8" t="s">
        <v>100</v>
      </c>
      <c r="S838" s="7" t="s">
        <v>18</v>
      </c>
      <c r="T838" s="6"/>
      <c r="U838" s="8"/>
    </row>
    <row r="839" spans="1:34" ht="13.5" customHeight="1">
      <c r="A839" s="8" t="s">
        <v>3120</v>
      </c>
      <c r="B839" s="16">
        <v>33</v>
      </c>
      <c r="C839" s="8" t="s">
        <v>20</v>
      </c>
      <c r="D839" s="8" t="s">
        <v>37</v>
      </c>
      <c r="E839" s="8" t="s">
        <v>3121</v>
      </c>
      <c r="F839" s="17">
        <v>42098</v>
      </c>
      <c r="G839" s="8" t="s">
        <v>3122</v>
      </c>
      <c r="H839" s="8" t="s">
        <v>3123</v>
      </c>
      <c r="I839" s="8" t="s">
        <v>399</v>
      </c>
      <c r="J839" s="16">
        <v>74469</v>
      </c>
      <c r="K839" s="2" t="s">
        <v>3124</v>
      </c>
      <c r="L839" s="8" t="s">
        <v>3125</v>
      </c>
      <c r="M839" s="8" t="s">
        <v>395</v>
      </c>
      <c r="N839" s="8" t="s">
        <v>3126</v>
      </c>
      <c r="O839" s="8" t="s">
        <v>1018</v>
      </c>
      <c r="P839" s="8" t="s">
        <v>405</v>
      </c>
      <c r="Q839" s="12"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839" s="8" t="s">
        <v>100</v>
      </c>
      <c r="S839" s="7" t="s">
        <v>18</v>
      </c>
      <c r="T839" s="6"/>
      <c r="U839" s="8"/>
    </row>
    <row r="840" spans="1:34" ht="13.5" customHeight="1">
      <c r="A840" s="8" t="s">
        <v>3114</v>
      </c>
      <c r="B840" s="16">
        <v>34</v>
      </c>
      <c r="C840" s="8" t="s">
        <v>20</v>
      </c>
      <c r="D840" s="8" t="s">
        <v>37</v>
      </c>
      <c r="E840" s="8" t="s">
        <v>3115</v>
      </c>
      <c r="F840" s="17">
        <v>42098</v>
      </c>
      <c r="G840" s="8" t="s">
        <v>3116</v>
      </c>
      <c r="H840" s="8" t="s">
        <v>3117</v>
      </c>
      <c r="I840" s="8" t="s">
        <v>198</v>
      </c>
      <c r="J840" s="16">
        <v>87015</v>
      </c>
      <c r="K840" s="2" t="s">
        <v>634</v>
      </c>
      <c r="L840" s="8" t="s">
        <v>3118</v>
      </c>
      <c r="M840" s="8" t="s">
        <v>27</v>
      </c>
      <c r="N840" s="8" t="s">
        <v>3119</v>
      </c>
      <c r="O840" s="8" t="s">
        <v>1018</v>
      </c>
      <c r="P840" s="8" t="s">
        <v>405</v>
      </c>
      <c r="Q840" s="12" t="str">
        <f>HYPERLINK("http://www.koat.com/news/state-police-officers-fatally-shoot-east-mountains-man/32197688","http://www.koat.com/news/state-police-officers-fatally-shoot-east-mountains-man/32197688")</f>
        <v>http://www.koat.com/news/state-police-officers-fatally-shoot-east-mountains-man/32197688</v>
      </c>
      <c r="R840" s="8" t="s">
        <v>100</v>
      </c>
      <c r="S840" s="7" t="s">
        <v>28</v>
      </c>
      <c r="T840" s="6"/>
      <c r="U840" s="8"/>
    </row>
    <row r="841" spans="1:34" ht="13.5" customHeight="1">
      <c r="A841" s="8" t="s">
        <v>3101</v>
      </c>
      <c r="B841" s="16">
        <v>17</v>
      </c>
      <c r="C841" s="8" t="s">
        <v>20</v>
      </c>
      <c r="D841" s="8" t="s">
        <v>85</v>
      </c>
      <c r="E841" s="8" t="s">
        <v>3102</v>
      </c>
      <c r="F841" s="17">
        <v>42098</v>
      </c>
      <c r="G841" s="8" t="s">
        <v>3103</v>
      </c>
      <c r="H841" s="8" t="s">
        <v>3104</v>
      </c>
      <c r="I841" s="8" t="s">
        <v>44</v>
      </c>
      <c r="J841" s="16">
        <v>60099</v>
      </c>
      <c r="K841" s="2" t="s">
        <v>1269</v>
      </c>
      <c r="L841" s="8" t="s">
        <v>3105</v>
      </c>
      <c r="M841" s="8" t="s">
        <v>27</v>
      </c>
      <c r="N841" s="8" t="s">
        <v>3106</v>
      </c>
      <c r="O841" s="8" t="s">
        <v>554</v>
      </c>
      <c r="P841" s="8" t="s">
        <v>405</v>
      </c>
      <c r="Q841" s="12" t="str">
        <f>HYPERLINK("http://www.huffingtonpost.com/2015/04/29/justus-howell_n_7172814.html","http://www.huffingtonpost.com/2015/04/29/justus-howell_n_7172814.html")</f>
        <v>http://www.huffingtonpost.com/2015/04/29/justus-howell_n_7172814.html</v>
      </c>
      <c r="S841" s="7" t="s">
        <v>18</v>
      </c>
      <c r="T841" s="6"/>
      <c r="U841" s="8"/>
      <c r="V841" s="8"/>
      <c r="W841" s="8"/>
      <c r="X841" s="8"/>
    </row>
    <row r="842" spans="1:34" ht="13.5" customHeight="1">
      <c r="A842" s="8" t="s">
        <v>3096</v>
      </c>
      <c r="B842" s="16">
        <v>31</v>
      </c>
      <c r="C842" s="8" t="s">
        <v>20</v>
      </c>
      <c r="D842" s="8" t="s">
        <v>85</v>
      </c>
      <c r="E842" s="8" t="s">
        <v>3097</v>
      </c>
      <c r="F842" s="17">
        <v>42098</v>
      </c>
      <c r="G842" s="8" t="s">
        <v>3098</v>
      </c>
      <c r="H842" s="8" t="s">
        <v>1896</v>
      </c>
      <c r="I842" s="8" t="s">
        <v>45</v>
      </c>
      <c r="J842" s="16">
        <v>92865</v>
      </c>
      <c r="K842" s="2" t="s">
        <v>3099</v>
      </c>
      <c r="L842" s="8" t="s">
        <v>1898</v>
      </c>
      <c r="M842" s="8" t="s">
        <v>27</v>
      </c>
      <c r="N842" s="8" t="s">
        <v>3100</v>
      </c>
      <c r="O842" s="8" t="s">
        <v>1018</v>
      </c>
      <c r="P842" s="8" t="s">
        <v>405</v>
      </c>
      <c r="Q842" s="12" t="str">
        <f>HYPERLINK("http://ktla.com/2015/04/05/armed-man-is-fatally-shot-by-anaheim-police-1-day-after-posting-bail/","http://ktla.com/2015/04/05/armed-man-is-fatally-shot-by-anaheim-police-1-day-after-posting-bail/")</f>
        <v>http://ktla.com/2015/04/05/armed-man-is-fatally-shot-by-anaheim-police-1-day-after-posting-bail/</v>
      </c>
      <c r="S842" s="7" t="s">
        <v>28</v>
      </c>
      <c r="T842" s="6"/>
      <c r="U842" s="8"/>
      <c r="Y842" s="8"/>
      <c r="Z842" s="8"/>
      <c r="AA842" s="8"/>
      <c r="AB842" s="8"/>
      <c r="AC842" s="8"/>
      <c r="AD842" s="8"/>
      <c r="AE842" s="8"/>
      <c r="AF842" s="8"/>
      <c r="AG842" s="8"/>
      <c r="AH842" s="8"/>
    </row>
    <row r="843" spans="1:34" ht="13.5" customHeight="1">
      <c r="A843" s="8" t="s">
        <v>3132</v>
      </c>
      <c r="B843" s="16">
        <v>38</v>
      </c>
      <c r="C843" s="8" t="s">
        <v>20</v>
      </c>
      <c r="D843" s="8" t="s">
        <v>37</v>
      </c>
      <c r="E843" s="8" t="s">
        <v>3133</v>
      </c>
      <c r="F843" s="17">
        <v>42097</v>
      </c>
      <c r="G843" s="8" t="s">
        <v>3134</v>
      </c>
      <c r="H843" s="8" t="s">
        <v>3135</v>
      </c>
      <c r="I843" s="8" t="s">
        <v>247</v>
      </c>
      <c r="J843" s="16">
        <v>22603</v>
      </c>
      <c r="K843" s="2" t="s">
        <v>3136</v>
      </c>
      <c r="L843" s="8" t="s">
        <v>3137</v>
      </c>
      <c r="M843" s="8" t="s">
        <v>27</v>
      </c>
      <c r="N843" s="8" t="s">
        <v>3138</v>
      </c>
      <c r="O843" s="8" t="s">
        <v>1018</v>
      </c>
      <c r="P843" s="8" t="s">
        <v>405</v>
      </c>
      <c r="Q843" s="12" t="str">
        <f>HYPERLINK("http://www.winchesterstar.com/article/040615br","http://www.winchesterstar.com/article/040615br")</f>
        <v>http://www.winchesterstar.com/article/040615br</v>
      </c>
      <c r="R843" s="8" t="s">
        <v>100</v>
      </c>
      <c r="S843" s="7" t="s">
        <v>28</v>
      </c>
      <c r="T843" s="6"/>
      <c r="U843" s="8"/>
      <c r="V843" s="8"/>
      <c r="W843" s="8"/>
      <c r="X843" s="8"/>
    </row>
    <row r="844" spans="1:34" ht="13.5" customHeight="1">
      <c r="A844" s="8" t="s">
        <v>3127</v>
      </c>
      <c r="B844" s="16">
        <v>32</v>
      </c>
      <c r="C844" s="8" t="s">
        <v>20</v>
      </c>
      <c r="D844" s="8" t="s">
        <v>85</v>
      </c>
      <c r="E844" s="8" t="str">
        <f>HYPERLINK("http://www.killedbypolice.net/victims/150297.jpg","http://www.killedbypolice.net/victims/150297.jpg")</f>
        <v>http://www.killedbypolice.net/victims/150297.jpg</v>
      </c>
      <c r="F844" s="17">
        <v>42097</v>
      </c>
      <c r="G844" s="8" t="s">
        <v>3128</v>
      </c>
      <c r="H844" s="8" t="s">
        <v>3129</v>
      </c>
      <c r="I844" s="8" t="s">
        <v>44</v>
      </c>
      <c r="J844" s="16">
        <v>61201</v>
      </c>
      <c r="K844" s="2" t="s">
        <v>3129</v>
      </c>
      <c r="L844" s="8" t="s">
        <v>3130</v>
      </c>
      <c r="M844" s="8" t="s">
        <v>27</v>
      </c>
      <c r="N844" s="8" t="s">
        <v>3131</v>
      </c>
      <c r="O844" s="8" t="s">
        <v>1018</v>
      </c>
      <c r="P844" s="8" t="s">
        <v>405</v>
      </c>
      <c r="Q844" s="12" t="str">
        <f>HYPERLINK("http://kwqc.com/2015/04/03/r-i-county-coroner-identifies-man-killed-in-officer-involved-shooting/","http://kwqc.com/2015/04/03/r-i-county-coroner-identifies-man-killed-in-officer-involved-shooting/")</f>
        <v>http://kwqc.com/2015/04/03/r-i-county-coroner-identifies-man-killed-in-officer-involved-shooting/</v>
      </c>
      <c r="R844" s="8" t="s">
        <v>100</v>
      </c>
      <c r="S844" s="7" t="s">
        <v>28</v>
      </c>
      <c r="T844" s="6"/>
      <c r="U844" s="8"/>
    </row>
    <row r="845" spans="1:34" ht="13.5" customHeight="1">
      <c r="A845" s="8" t="s">
        <v>3145</v>
      </c>
      <c r="B845" s="16">
        <v>44</v>
      </c>
      <c r="C845" s="8" t="s">
        <v>20</v>
      </c>
      <c r="D845" s="8" t="s">
        <v>85</v>
      </c>
      <c r="E845" s="8" t="s">
        <v>3146</v>
      </c>
      <c r="F845" s="17">
        <v>42096</v>
      </c>
      <c r="G845" s="8" t="s">
        <v>3147</v>
      </c>
      <c r="H845" s="8" t="s">
        <v>2513</v>
      </c>
      <c r="I845" s="8" t="s">
        <v>399</v>
      </c>
      <c r="J845" s="16" t="s">
        <v>2514</v>
      </c>
      <c r="K845" s="2" t="s">
        <v>2513</v>
      </c>
      <c r="L845" s="8" t="s">
        <v>3148</v>
      </c>
      <c r="M845" s="8" t="s">
        <v>27</v>
      </c>
      <c r="N845" s="8" t="s">
        <v>3149</v>
      </c>
      <c r="O845" s="8" t="s">
        <v>1804</v>
      </c>
      <c r="P845" s="8" t="s">
        <v>1171</v>
      </c>
      <c r="Q845" s="12"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845" s="8" t="s">
        <v>100</v>
      </c>
      <c r="S845" s="7" t="s">
        <v>18</v>
      </c>
      <c r="T845" s="6"/>
      <c r="U845" s="8"/>
    </row>
    <row r="846" spans="1:34" ht="13.5" customHeight="1">
      <c r="A846" s="8" t="s">
        <v>3157</v>
      </c>
      <c r="B846" s="16">
        <v>27</v>
      </c>
      <c r="C846" s="8" t="s">
        <v>20</v>
      </c>
      <c r="D846" s="8" t="s">
        <v>37</v>
      </c>
      <c r="E846" s="8" t="s">
        <v>3158</v>
      </c>
      <c r="F846" s="17">
        <v>42096</v>
      </c>
      <c r="G846" s="8" t="s">
        <v>3159</v>
      </c>
      <c r="H846" s="8" t="s">
        <v>3160</v>
      </c>
      <c r="I846" s="8" t="s">
        <v>25</v>
      </c>
      <c r="J846" s="16" t="s">
        <v>3161</v>
      </c>
      <c r="K846" s="2" t="s">
        <v>3162</v>
      </c>
      <c r="L846" s="8" t="s">
        <v>3163</v>
      </c>
      <c r="M846" s="8" t="s">
        <v>27</v>
      </c>
      <c r="N846" s="8" t="s">
        <v>3164</v>
      </c>
      <c r="O846" s="8" t="s">
        <v>404</v>
      </c>
      <c r="P846" s="8" t="s">
        <v>405</v>
      </c>
      <c r="Q846" s="12"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846" s="7" t="s">
        <v>28</v>
      </c>
      <c r="T846" s="6"/>
      <c r="U846" s="8"/>
    </row>
    <row r="847" spans="1:34" ht="13.5" customHeight="1">
      <c r="A847" s="8" t="s">
        <v>3139</v>
      </c>
      <c r="B847" s="16">
        <v>39</v>
      </c>
      <c r="C847" s="8" t="s">
        <v>20</v>
      </c>
      <c r="D847" s="8" t="s">
        <v>85</v>
      </c>
      <c r="E847" s="8" t="s">
        <v>3140</v>
      </c>
      <c r="F847" s="17">
        <v>42096</v>
      </c>
      <c r="G847" s="8" t="s">
        <v>3141</v>
      </c>
      <c r="H847" s="8" t="s">
        <v>3142</v>
      </c>
      <c r="I847" s="8" t="s">
        <v>427</v>
      </c>
      <c r="J847" s="16">
        <v>12210</v>
      </c>
      <c r="K847" s="2" t="s">
        <v>3142</v>
      </c>
      <c r="L847" s="8" t="s">
        <v>3143</v>
      </c>
      <c r="M847" s="8" t="s">
        <v>395</v>
      </c>
      <c r="N847" s="8" t="s">
        <v>3144</v>
      </c>
      <c r="O847" s="8" t="s">
        <v>2640</v>
      </c>
      <c r="P847" s="8" t="s">
        <v>405</v>
      </c>
      <c r="Q847" s="12" t="str">
        <f>HYPERLINK("http://www.timesunion.com/news/article/Taser-victim-Dontay-Ivy-to-be-laid-to-rest-6187858.php","http://www.timesunion.com/news/article/Taser-victim-Dontay-Ivy-to-be-laid-to-rest-6187858.php")</f>
        <v>http://www.timesunion.com/news/article/Taser-victim-Dontay-Ivy-to-be-laid-to-rest-6187858.php</v>
      </c>
      <c r="R847" s="8" t="s">
        <v>559</v>
      </c>
      <c r="S847" s="7" t="s">
        <v>18</v>
      </c>
      <c r="T847" s="6"/>
      <c r="U847" s="8"/>
    </row>
    <row r="848" spans="1:34" ht="13.5" customHeight="1">
      <c r="A848" s="8" t="s">
        <v>3150</v>
      </c>
      <c r="B848" s="16">
        <v>63</v>
      </c>
      <c r="C848" s="8" t="s">
        <v>20</v>
      </c>
      <c r="D848" s="8" t="s">
        <v>30</v>
      </c>
      <c r="F848" s="17">
        <v>42096</v>
      </c>
      <c r="G848" s="8" t="s">
        <v>3151</v>
      </c>
      <c r="H848" s="8" t="s">
        <v>3152</v>
      </c>
      <c r="I848" s="8" t="s">
        <v>44</v>
      </c>
      <c r="J848" s="16" t="s">
        <v>3153</v>
      </c>
      <c r="K848" s="2" t="s">
        <v>3154</v>
      </c>
      <c r="L848" s="8" t="s">
        <v>3155</v>
      </c>
      <c r="M848" s="8" t="s">
        <v>27</v>
      </c>
      <c r="N848" s="8" t="s">
        <v>3156</v>
      </c>
      <c r="O848" s="8" t="s">
        <v>1018</v>
      </c>
      <c r="P848" s="8" t="s">
        <v>405</v>
      </c>
      <c r="Q848" s="12"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848" s="8" t="s">
        <v>29</v>
      </c>
      <c r="S848" s="7" t="s">
        <v>28</v>
      </c>
      <c r="T848" s="6"/>
      <c r="U848" s="8"/>
    </row>
    <row r="849" spans="1:34" ht="13.5" customHeight="1">
      <c r="A849" s="8" t="s">
        <v>3165</v>
      </c>
      <c r="B849" s="16">
        <v>37</v>
      </c>
      <c r="C849" s="8" t="s">
        <v>20</v>
      </c>
      <c r="D849" s="8" t="s">
        <v>85</v>
      </c>
      <c r="E849" s="8" t="str">
        <f>HYPERLINK("http://www.killedbypolice.net/victims/150292.jpg","http://www.killedbypolice.net/victims/150292.jpg")</f>
        <v>http://www.killedbypolice.net/victims/150292.jpg</v>
      </c>
      <c r="F849" s="17">
        <v>42095</v>
      </c>
      <c r="G849" s="8" t="s">
        <v>3166</v>
      </c>
      <c r="H849" s="8" t="s">
        <v>3167</v>
      </c>
      <c r="I849" s="8" t="s">
        <v>45</v>
      </c>
      <c r="J849" s="16">
        <v>90250</v>
      </c>
      <c r="K849" s="2" t="s">
        <v>98</v>
      </c>
      <c r="L849" s="8" t="s">
        <v>3168</v>
      </c>
      <c r="M849" s="8" t="s">
        <v>27</v>
      </c>
      <c r="N849" s="8" t="s">
        <v>3169</v>
      </c>
      <c r="O849" s="8" t="s">
        <v>1018</v>
      </c>
      <c r="P849" s="8" t="s">
        <v>405</v>
      </c>
      <c r="Q849" s="12" t="str">
        <f>HYPERLINK("http://www.nbclosangeles.com/news/local/Fatal-Shooting-May-Have-Started-Over-Laugh-298532211.html","http://www.nbclosangeles.com/news/local/Fatal-Shooting-May-Have-Started-Over-Laugh-298532211.html")</f>
        <v>http://www.nbclosangeles.com/news/local/Fatal-Shooting-May-Have-Started-Over-Laugh-298532211.html</v>
      </c>
      <c r="R849" s="8" t="s">
        <v>100</v>
      </c>
      <c r="S849" s="7" t="s">
        <v>28</v>
      </c>
      <c r="T849" s="6"/>
      <c r="U849" s="8"/>
    </row>
    <row r="850" spans="1:34" ht="13.5" customHeight="1">
      <c r="A850" s="8" t="s">
        <v>3176</v>
      </c>
      <c r="B850" s="16">
        <v>17</v>
      </c>
      <c r="C850" s="8" t="s">
        <v>20</v>
      </c>
      <c r="D850" s="8" t="s">
        <v>85</v>
      </c>
      <c r="E850" s="8" t="s">
        <v>3177</v>
      </c>
      <c r="F850" s="17">
        <v>42094</v>
      </c>
      <c r="G850" s="8" t="s">
        <v>3178</v>
      </c>
      <c r="H850" s="8" t="s">
        <v>939</v>
      </c>
      <c r="I850" s="8" t="s">
        <v>175</v>
      </c>
      <c r="J850" s="16" t="s">
        <v>3179</v>
      </c>
      <c r="K850" s="2" t="s">
        <v>1572</v>
      </c>
      <c r="L850" s="8" t="s">
        <v>941</v>
      </c>
      <c r="M850" s="8" t="s">
        <v>383</v>
      </c>
      <c r="N850" s="8" t="s">
        <v>3180</v>
      </c>
      <c r="O850" s="8" t="s">
        <v>404</v>
      </c>
      <c r="P850" s="8" t="s">
        <v>405</v>
      </c>
      <c r="Q850" s="12" t="s">
        <v>3181</v>
      </c>
      <c r="R850" s="8" t="s">
        <v>29</v>
      </c>
      <c r="S850" s="7" t="s">
        <v>28</v>
      </c>
      <c r="T850" s="6"/>
      <c r="U850" s="8"/>
    </row>
    <row r="851" spans="1:34" ht="13.5" customHeight="1">
      <c r="A851" s="8" t="s">
        <v>3192</v>
      </c>
      <c r="B851" s="16">
        <v>21</v>
      </c>
      <c r="C851" s="8" t="s">
        <v>20</v>
      </c>
      <c r="D851" s="8" t="s">
        <v>48</v>
      </c>
      <c r="E851" s="8" t="s">
        <v>3193</v>
      </c>
      <c r="F851" s="17">
        <v>42094</v>
      </c>
      <c r="G851" s="8" t="s">
        <v>3194</v>
      </c>
      <c r="H851" s="8" t="s">
        <v>3195</v>
      </c>
      <c r="I851" s="8" t="s">
        <v>73</v>
      </c>
      <c r="J851" s="16">
        <v>77520</v>
      </c>
      <c r="K851" s="2" t="s">
        <v>3195</v>
      </c>
      <c r="L851" s="8" t="s">
        <v>3196</v>
      </c>
      <c r="M851" s="8" t="s">
        <v>27</v>
      </c>
      <c r="N851" s="8" t="s">
        <v>3197</v>
      </c>
      <c r="P851" s="8" t="s">
        <v>405</v>
      </c>
      <c r="Q851" s="12" t="str">
        <f>HYPERLINK("http://www.click2houston.com/news/pd-man-with-pellet-gun-shot-dead-by-baytown-police-officer/32108156","http://www.click2houston.com/news/pd-man-with-pellet-gun-shot-dead-by-baytown-police-officer/32108156")</f>
        <v>http://www.click2houston.com/news/pd-man-with-pellet-gun-shot-dead-by-baytown-police-officer/32108156</v>
      </c>
      <c r="S851" s="7" t="s">
        <v>18</v>
      </c>
      <c r="T851" s="6"/>
      <c r="U851" s="8"/>
    </row>
    <row r="852" spans="1:34" ht="13.5" customHeight="1">
      <c r="A852" s="8" t="s">
        <v>3198</v>
      </c>
      <c r="B852" s="16">
        <v>36</v>
      </c>
      <c r="C852" s="8" t="s">
        <v>20</v>
      </c>
      <c r="D852" s="8" t="s">
        <v>37</v>
      </c>
      <c r="E852" s="8" t="s">
        <v>3199</v>
      </c>
      <c r="F852" s="17">
        <v>42094</v>
      </c>
      <c r="G852" s="8" t="s">
        <v>3200</v>
      </c>
      <c r="H852" s="8" t="s">
        <v>1583</v>
      </c>
      <c r="I852" s="8" t="s">
        <v>62</v>
      </c>
      <c r="J852" s="16" t="s">
        <v>3201</v>
      </c>
      <c r="K852" s="2" t="s">
        <v>644</v>
      </c>
      <c r="L852" s="8" t="s">
        <v>3202</v>
      </c>
      <c r="M852" s="8" t="s">
        <v>27</v>
      </c>
      <c r="N852" s="8" t="s">
        <v>3203</v>
      </c>
      <c r="O852" s="8" t="s">
        <v>1018</v>
      </c>
      <c r="P852" s="8" t="s">
        <v>405</v>
      </c>
      <c r="Q852" s="12" t="s">
        <v>3204</v>
      </c>
      <c r="R852" s="8" t="s">
        <v>100</v>
      </c>
      <c r="S852" s="7" t="s">
        <v>28</v>
      </c>
      <c r="T852" s="6"/>
      <c r="U852" s="8"/>
    </row>
    <row r="853" spans="1:34" ht="13.5" customHeight="1">
      <c r="A853" s="8" t="s">
        <v>3182</v>
      </c>
      <c r="B853" s="16">
        <v>32</v>
      </c>
      <c r="C853" s="8" t="s">
        <v>20</v>
      </c>
      <c r="D853" s="8" t="s">
        <v>85</v>
      </c>
      <c r="E853" s="8" t="s">
        <v>3183</v>
      </c>
      <c r="F853" s="17">
        <v>42094</v>
      </c>
      <c r="G853" s="8" t="s">
        <v>3184</v>
      </c>
      <c r="H853" s="8" t="s">
        <v>3185</v>
      </c>
      <c r="I853" s="8" t="s">
        <v>81</v>
      </c>
      <c r="J853" s="16" t="s">
        <v>3186</v>
      </c>
      <c r="K853" s="2" t="s">
        <v>3187</v>
      </c>
      <c r="L853" s="8" t="s">
        <v>3188</v>
      </c>
      <c r="M853" s="8" t="s">
        <v>3189</v>
      </c>
      <c r="N853" s="8" t="s">
        <v>3190</v>
      </c>
      <c r="O853" s="8" t="s">
        <v>404</v>
      </c>
      <c r="P853" s="8" t="s">
        <v>405</v>
      </c>
      <c r="Q853" s="12" t="s">
        <v>3191</v>
      </c>
      <c r="R853" s="8" t="s">
        <v>29</v>
      </c>
      <c r="S853" s="7" t="s">
        <v>18</v>
      </c>
      <c r="T853" s="6"/>
      <c r="U853" s="8"/>
    </row>
    <row r="854" spans="1:34" ht="13.5" customHeight="1">
      <c r="A854" s="8" t="s">
        <v>3170</v>
      </c>
      <c r="B854" s="16">
        <v>31</v>
      </c>
      <c r="C854" s="8" t="s">
        <v>20</v>
      </c>
      <c r="D854" s="8" t="s">
        <v>85</v>
      </c>
      <c r="E854" s="8" t="s">
        <v>3171</v>
      </c>
      <c r="F854" s="17">
        <v>42094</v>
      </c>
      <c r="G854" s="8" t="s">
        <v>3172</v>
      </c>
      <c r="H854" s="8" t="s">
        <v>2045</v>
      </c>
      <c r="I854" s="8" t="s">
        <v>323</v>
      </c>
      <c r="J854" s="16" t="s">
        <v>3173</v>
      </c>
      <c r="K854" s="2" t="s">
        <v>887</v>
      </c>
      <c r="L854" s="8" t="s">
        <v>888</v>
      </c>
      <c r="M854" s="8" t="s">
        <v>27</v>
      </c>
      <c r="N854" s="8" t="s">
        <v>3174</v>
      </c>
      <c r="O854" s="8" t="s">
        <v>404</v>
      </c>
      <c r="P854" s="8" t="s">
        <v>405</v>
      </c>
      <c r="Q854" s="12" t="s">
        <v>3175</v>
      </c>
      <c r="R854" s="8" t="s">
        <v>29</v>
      </c>
      <c r="S854" s="7" t="s">
        <v>28</v>
      </c>
      <c r="T854" s="6"/>
      <c r="U854" s="8"/>
    </row>
    <row r="855" spans="1:34" ht="13.5" customHeight="1">
      <c r="A855" s="8" t="s">
        <v>3226</v>
      </c>
      <c r="B855" s="16">
        <v>49</v>
      </c>
      <c r="C855" s="8" t="s">
        <v>20</v>
      </c>
      <c r="D855" s="8" t="s">
        <v>37</v>
      </c>
      <c r="E855" s="8" t="s">
        <v>3227</v>
      </c>
      <c r="F855" s="17">
        <v>42093</v>
      </c>
      <c r="G855" s="8" t="s">
        <v>3228</v>
      </c>
      <c r="H855" s="8" t="s">
        <v>3229</v>
      </c>
      <c r="I855" s="8" t="s">
        <v>118</v>
      </c>
      <c r="J855" s="16" t="s">
        <v>3230</v>
      </c>
      <c r="K855" s="2" t="s">
        <v>3231</v>
      </c>
      <c r="L855" s="8" t="s">
        <v>3232</v>
      </c>
      <c r="M855" s="8" t="s">
        <v>27</v>
      </c>
      <c r="N855" s="8" t="s">
        <v>3233</v>
      </c>
      <c r="O855" s="8" t="s">
        <v>404</v>
      </c>
      <c r="P855" s="8" t="s">
        <v>405</v>
      </c>
      <c r="Q855" s="12" t="s">
        <v>3234</v>
      </c>
      <c r="R855" s="8" t="s">
        <v>559</v>
      </c>
      <c r="S855" s="7" t="s">
        <v>28</v>
      </c>
      <c r="T855" s="6"/>
      <c r="U855" s="8"/>
    </row>
    <row r="856" spans="1:34" ht="13.5" customHeight="1">
      <c r="A856" s="8" t="s">
        <v>3205</v>
      </c>
      <c r="B856" s="16">
        <v>30</v>
      </c>
      <c r="C856" s="8" t="s">
        <v>20</v>
      </c>
      <c r="D856" s="8" t="s">
        <v>85</v>
      </c>
      <c r="E856" s="8" t="s">
        <v>3206</v>
      </c>
      <c r="F856" s="17">
        <v>42093</v>
      </c>
      <c r="G856" s="8" t="s">
        <v>3207</v>
      </c>
      <c r="H856" s="8" t="s">
        <v>3208</v>
      </c>
      <c r="I856" s="8" t="s">
        <v>247</v>
      </c>
      <c r="J856" s="16">
        <v>22701</v>
      </c>
      <c r="K856" s="2" t="s">
        <v>3208</v>
      </c>
      <c r="L856" s="8" t="s">
        <v>3209</v>
      </c>
      <c r="M856" s="8" t="s">
        <v>1706</v>
      </c>
      <c r="N856" s="8" t="s">
        <v>3210</v>
      </c>
      <c r="P856" s="8" t="s">
        <v>405</v>
      </c>
      <c r="Q856" s="12" t="s">
        <v>3211</v>
      </c>
      <c r="S856" s="7" t="s">
        <v>18</v>
      </c>
      <c r="T856" s="6"/>
      <c r="U856" s="8"/>
    </row>
    <row r="857" spans="1:34" ht="13.5" customHeight="1">
      <c r="A857" s="8" t="s">
        <v>3221</v>
      </c>
      <c r="B857" s="16">
        <v>39</v>
      </c>
      <c r="C857" s="8" t="s">
        <v>20</v>
      </c>
      <c r="D857" s="8" t="s">
        <v>30</v>
      </c>
      <c r="F857" s="17">
        <v>42093</v>
      </c>
      <c r="G857" s="8" t="s">
        <v>3222</v>
      </c>
      <c r="H857" s="8" t="s">
        <v>3223</v>
      </c>
      <c r="I857" s="8" t="s">
        <v>220</v>
      </c>
      <c r="J857" s="16">
        <v>46307</v>
      </c>
      <c r="K857" s="2" t="s">
        <v>1269</v>
      </c>
      <c r="L857" s="8" t="s">
        <v>3224</v>
      </c>
      <c r="M857" s="8" t="s">
        <v>2312</v>
      </c>
      <c r="N857" s="8" t="s">
        <v>3225</v>
      </c>
      <c r="P857" s="8" t="s">
        <v>405</v>
      </c>
      <c r="Q857" s="12"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857" s="7" t="s">
        <v>18</v>
      </c>
      <c r="T857" s="6"/>
      <c r="U857" s="8"/>
    </row>
    <row r="858" spans="1:34" ht="13.5" customHeight="1">
      <c r="A858" s="8" t="s">
        <v>3212</v>
      </c>
      <c r="B858" s="16">
        <v>27</v>
      </c>
      <c r="C858" s="8" t="s">
        <v>115</v>
      </c>
      <c r="D858" s="8" t="s">
        <v>85</v>
      </c>
      <c r="E858" s="8" t="s">
        <v>3213</v>
      </c>
      <c r="F858" s="17">
        <v>42093</v>
      </c>
      <c r="G858" s="8" t="s">
        <v>3214</v>
      </c>
      <c r="H858" s="8" t="s">
        <v>3215</v>
      </c>
      <c r="I858" s="8" t="s">
        <v>52</v>
      </c>
      <c r="J858" s="16" t="s">
        <v>3216</v>
      </c>
      <c r="K858" s="2" t="s">
        <v>3217</v>
      </c>
      <c r="L858" s="8" t="s">
        <v>3218</v>
      </c>
      <c r="M858" s="8" t="s">
        <v>27</v>
      </c>
      <c r="N858" s="8" t="s">
        <v>3219</v>
      </c>
      <c r="O858" s="8" t="s">
        <v>404</v>
      </c>
      <c r="P858" s="8" t="s">
        <v>405</v>
      </c>
      <c r="Q858" s="12" t="s">
        <v>3220</v>
      </c>
      <c r="R858" s="8" t="s">
        <v>29</v>
      </c>
      <c r="S858" s="7" t="s">
        <v>35</v>
      </c>
      <c r="T858" s="6"/>
      <c r="U858" s="8"/>
    </row>
    <row r="859" spans="1:34" ht="13.5" customHeight="1">
      <c r="A859" s="8" t="s">
        <v>3256</v>
      </c>
      <c r="B859" s="16">
        <v>26</v>
      </c>
      <c r="C859" s="8" t="s">
        <v>20</v>
      </c>
      <c r="D859" s="8" t="s">
        <v>37</v>
      </c>
      <c r="F859" s="17">
        <v>42092</v>
      </c>
      <c r="G859" s="8" t="s">
        <v>3257</v>
      </c>
      <c r="H859" s="8" t="s">
        <v>3258</v>
      </c>
      <c r="I859" s="8" t="s">
        <v>69</v>
      </c>
      <c r="J859" s="16">
        <v>45660</v>
      </c>
      <c r="K859" s="2" t="s">
        <v>3259</v>
      </c>
      <c r="L859" s="8" t="s">
        <v>3260</v>
      </c>
      <c r="M859" s="8" t="s">
        <v>27</v>
      </c>
      <c r="N859" s="8" t="s">
        <v>3261</v>
      </c>
      <c r="P859" s="8" t="s">
        <v>1171</v>
      </c>
      <c r="Q859" s="12"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859" s="8" t="s">
        <v>100</v>
      </c>
      <c r="S859" s="7" t="s">
        <v>35</v>
      </c>
      <c r="T859" s="6"/>
      <c r="U859" s="8"/>
    </row>
    <row r="860" spans="1:34" ht="13.5" customHeight="1">
      <c r="A860" s="8" t="s">
        <v>3250</v>
      </c>
      <c r="B860" s="16">
        <v>29</v>
      </c>
      <c r="C860" s="8" t="s">
        <v>20</v>
      </c>
      <c r="D860" s="8" t="s">
        <v>30</v>
      </c>
      <c r="F860" s="17">
        <v>42092</v>
      </c>
      <c r="G860" s="8" t="s">
        <v>3251</v>
      </c>
      <c r="H860" s="8" t="s">
        <v>1419</v>
      </c>
      <c r="I860" s="8" t="s">
        <v>319</v>
      </c>
      <c r="J860" s="16" t="s">
        <v>3252</v>
      </c>
      <c r="K860" s="2" t="s">
        <v>1420</v>
      </c>
      <c r="L860" s="8" t="s">
        <v>3253</v>
      </c>
      <c r="M860" s="8" t="s">
        <v>27</v>
      </c>
      <c r="N860" s="8" t="s">
        <v>3254</v>
      </c>
      <c r="O860" s="8" t="s">
        <v>1018</v>
      </c>
      <c r="P860" s="8" t="s">
        <v>405</v>
      </c>
      <c r="Q860" s="12" t="s">
        <v>3255</v>
      </c>
      <c r="R860" s="8" t="s">
        <v>100</v>
      </c>
      <c r="S860" s="7" t="s">
        <v>28</v>
      </c>
      <c r="T860" s="6"/>
      <c r="U860" s="8"/>
    </row>
    <row r="861" spans="1:34" ht="13.5" customHeight="1">
      <c r="A861" s="8" t="s">
        <v>3235</v>
      </c>
      <c r="B861" s="16">
        <v>29</v>
      </c>
      <c r="C861" s="8" t="s">
        <v>20</v>
      </c>
      <c r="D861" s="8" t="s">
        <v>85</v>
      </c>
      <c r="F861" s="17">
        <v>42092</v>
      </c>
      <c r="G861" s="8" t="s">
        <v>3236</v>
      </c>
      <c r="H861" s="8" t="s">
        <v>3237</v>
      </c>
      <c r="I861" s="8" t="s">
        <v>45</v>
      </c>
      <c r="J861" s="16" t="s">
        <v>3238</v>
      </c>
      <c r="K861" s="2" t="s">
        <v>3239</v>
      </c>
      <c r="L861" s="8" t="s">
        <v>3240</v>
      </c>
      <c r="M861" s="8" t="s">
        <v>27</v>
      </c>
      <c r="N861" s="8" t="s">
        <v>3241</v>
      </c>
      <c r="O861" s="8" t="s">
        <v>404</v>
      </c>
      <c r="P861" s="8" t="s">
        <v>405</v>
      </c>
      <c r="Q861" s="12" t="s">
        <v>3242</v>
      </c>
      <c r="R861" s="8" t="s">
        <v>29</v>
      </c>
      <c r="S861" s="7" t="s">
        <v>18</v>
      </c>
      <c r="T861" s="6"/>
      <c r="U861" s="8"/>
    </row>
    <row r="862" spans="1:34" ht="13.5" customHeight="1">
      <c r="A862" s="8" t="s">
        <v>3243</v>
      </c>
      <c r="B862" s="16">
        <v>54</v>
      </c>
      <c r="C862" s="8" t="s">
        <v>20</v>
      </c>
      <c r="D862" s="8" t="s">
        <v>30</v>
      </c>
      <c r="F862" s="17">
        <v>42092</v>
      </c>
      <c r="G862" s="8" t="s">
        <v>3244</v>
      </c>
      <c r="H862" s="8" t="s">
        <v>3245</v>
      </c>
      <c r="I862" s="8" t="s">
        <v>272</v>
      </c>
      <c r="J862" s="16" t="s">
        <v>3246</v>
      </c>
      <c r="K862" s="2" t="s">
        <v>574</v>
      </c>
      <c r="L862" s="8" t="s">
        <v>3247</v>
      </c>
      <c r="M862" s="8" t="s">
        <v>27</v>
      </c>
      <c r="N862" s="8" t="s">
        <v>3248</v>
      </c>
      <c r="O862" s="8" t="s">
        <v>404</v>
      </c>
      <c r="P862" s="8" t="s">
        <v>405</v>
      </c>
      <c r="Q862" s="12" t="s">
        <v>3249</v>
      </c>
      <c r="R862" s="8" t="s">
        <v>29</v>
      </c>
      <c r="S862" s="7" t="s">
        <v>28</v>
      </c>
      <c r="T862" s="6"/>
      <c r="U862" s="8"/>
    </row>
    <row r="863" spans="1:34" ht="13.5" customHeight="1">
      <c r="A863" s="8" t="s">
        <v>3283</v>
      </c>
      <c r="B863" s="16">
        <v>22</v>
      </c>
      <c r="C863" s="8" t="s">
        <v>20</v>
      </c>
      <c r="D863" s="8" t="s">
        <v>48</v>
      </c>
      <c r="E863" s="8" t="s">
        <v>3284</v>
      </c>
      <c r="F863" s="17">
        <v>42090</v>
      </c>
      <c r="G863" s="8" t="s">
        <v>3285</v>
      </c>
      <c r="H863" s="8" t="s">
        <v>686</v>
      </c>
      <c r="I863" s="8" t="s">
        <v>45</v>
      </c>
      <c r="J863" s="16" t="s">
        <v>3286</v>
      </c>
      <c r="K863" s="2" t="s">
        <v>687</v>
      </c>
      <c r="L863" s="8" t="s">
        <v>688</v>
      </c>
      <c r="M863" s="8" t="s">
        <v>27</v>
      </c>
      <c r="N863" s="8" t="s">
        <v>3287</v>
      </c>
      <c r="O863" s="8" t="s">
        <v>404</v>
      </c>
      <c r="P863" s="8" t="s">
        <v>405</v>
      </c>
      <c r="Q863" s="12" t="s">
        <v>3284</v>
      </c>
      <c r="R863" s="8" t="s">
        <v>29</v>
      </c>
      <c r="S863" s="7" t="s">
        <v>28</v>
      </c>
      <c r="T863" s="6"/>
      <c r="U863" s="8"/>
      <c r="Y863" s="8"/>
      <c r="Z863" s="8"/>
      <c r="AA863" s="8"/>
      <c r="AB863" s="8"/>
      <c r="AC863" s="8"/>
      <c r="AD863" s="8"/>
      <c r="AE863" s="8"/>
      <c r="AF863" s="8"/>
      <c r="AG863" s="8"/>
      <c r="AH863" s="8"/>
    </row>
    <row r="864" spans="1:34" ht="13.5" customHeight="1">
      <c r="A864" s="8" t="s">
        <v>3262</v>
      </c>
      <c r="B864" s="16">
        <v>41</v>
      </c>
      <c r="C864" s="8" t="s">
        <v>20</v>
      </c>
      <c r="D864" s="8" t="s">
        <v>85</v>
      </c>
      <c r="E864" s="8" t="s">
        <v>3263</v>
      </c>
      <c r="F864" s="17">
        <v>42090</v>
      </c>
      <c r="G864" s="8" t="s">
        <v>3264</v>
      </c>
      <c r="H864" s="8" t="s">
        <v>1714</v>
      </c>
      <c r="I864" s="8" t="s">
        <v>46</v>
      </c>
      <c r="J864" s="16" t="s">
        <v>3265</v>
      </c>
      <c r="K864" s="2" t="s">
        <v>1716</v>
      </c>
      <c r="L864" s="8" t="s">
        <v>3266</v>
      </c>
      <c r="M864" s="8" t="s">
        <v>27</v>
      </c>
      <c r="N864" s="8" t="s">
        <v>3267</v>
      </c>
      <c r="O864" s="8" t="s">
        <v>404</v>
      </c>
      <c r="P864" s="8" t="s">
        <v>405</v>
      </c>
      <c r="Q864" s="12" t="s">
        <v>3263</v>
      </c>
      <c r="R864" s="8" t="s">
        <v>29</v>
      </c>
      <c r="S864" s="7" t="s">
        <v>28</v>
      </c>
      <c r="T864" s="6"/>
      <c r="U864" s="8"/>
    </row>
    <row r="865" spans="1:24" ht="13.5" customHeight="1">
      <c r="A865" s="8" t="s">
        <v>3302</v>
      </c>
      <c r="B865" s="16">
        <v>42</v>
      </c>
      <c r="C865" s="8" t="s">
        <v>20</v>
      </c>
      <c r="D865" s="8" t="s">
        <v>37</v>
      </c>
      <c r="F865" s="17">
        <v>42090</v>
      </c>
      <c r="G865" s="8" t="s">
        <v>3303</v>
      </c>
      <c r="H865" s="8" t="s">
        <v>3304</v>
      </c>
      <c r="I865" s="8" t="s">
        <v>152</v>
      </c>
      <c r="J865" s="16" t="s">
        <v>3305</v>
      </c>
      <c r="K865" s="2" t="s">
        <v>863</v>
      </c>
      <c r="L865" s="8" t="s">
        <v>17722</v>
      </c>
      <c r="M865" s="8" t="s">
        <v>27</v>
      </c>
      <c r="N865" s="8" t="s">
        <v>3306</v>
      </c>
      <c r="O865" s="8" t="s">
        <v>554</v>
      </c>
      <c r="P865" s="8" t="s">
        <v>405</v>
      </c>
      <c r="Q865" s="12" t="s">
        <v>3307</v>
      </c>
      <c r="R865" s="8" t="s">
        <v>29</v>
      </c>
      <c r="S865" s="7" t="s">
        <v>28</v>
      </c>
      <c r="T865" s="6"/>
      <c r="U865" s="8"/>
    </row>
    <row r="866" spans="1:24" ht="13.5" customHeight="1">
      <c r="A866" s="8" t="s">
        <v>3274</v>
      </c>
      <c r="B866" s="16">
        <v>39</v>
      </c>
      <c r="C866" s="8" t="s">
        <v>20</v>
      </c>
      <c r="D866" s="8" t="s">
        <v>85</v>
      </c>
      <c r="E866" s="8" t="s">
        <v>3275</v>
      </c>
      <c r="F866" s="17">
        <v>42090</v>
      </c>
      <c r="G866" s="8" t="s">
        <v>3276</v>
      </c>
      <c r="H866" s="8" t="s">
        <v>3277</v>
      </c>
      <c r="I866" s="8" t="s">
        <v>62</v>
      </c>
      <c r="J866" s="16" t="s">
        <v>3278</v>
      </c>
      <c r="K866" s="2" t="s">
        <v>3279</v>
      </c>
      <c r="L866" s="8" t="s">
        <v>3280</v>
      </c>
      <c r="M866" s="8" t="s">
        <v>27</v>
      </c>
      <c r="N866" s="8" t="s">
        <v>3281</v>
      </c>
      <c r="O866" s="8" t="s">
        <v>404</v>
      </c>
      <c r="P866" s="8" t="s">
        <v>405</v>
      </c>
      <c r="Q866" s="12" t="s">
        <v>3282</v>
      </c>
      <c r="R866" s="8" t="s">
        <v>29</v>
      </c>
      <c r="S866" s="7" t="s">
        <v>35</v>
      </c>
      <c r="T866" s="6"/>
      <c r="U866" s="8"/>
    </row>
    <row r="867" spans="1:24" ht="13.5" customHeight="1">
      <c r="A867" s="8" t="str">
        <f>HYPERLINK("http://www.killedbypolice.net/victims/150279.jpg","Meagan Hockaday")</f>
        <v>Meagan Hockaday</v>
      </c>
      <c r="B867" s="16">
        <v>26</v>
      </c>
      <c r="C867" s="8" t="s">
        <v>115</v>
      </c>
      <c r="D867" s="8" t="s">
        <v>85</v>
      </c>
      <c r="E867" s="8" t="s">
        <v>3268</v>
      </c>
      <c r="F867" s="17">
        <v>42090</v>
      </c>
      <c r="G867" s="8" t="s">
        <v>3269</v>
      </c>
      <c r="H867" s="8" t="s">
        <v>3270</v>
      </c>
      <c r="I867" s="8" t="s">
        <v>45</v>
      </c>
      <c r="J867" s="16">
        <v>93036</v>
      </c>
      <c r="K867" s="2" t="s">
        <v>3271</v>
      </c>
      <c r="L867" s="8" t="s">
        <v>3272</v>
      </c>
      <c r="M867" s="8" t="s">
        <v>27</v>
      </c>
      <c r="N867" s="8" t="s">
        <v>3273</v>
      </c>
      <c r="P867" s="8" t="s">
        <v>405</v>
      </c>
      <c r="Q867" s="12"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867" s="7" t="s">
        <v>28</v>
      </c>
      <c r="T867" s="6"/>
      <c r="U867" s="8"/>
    </row>
    <row r="868" spans="1:24" ht="13.5" customHeight="1">
      <c r="A868" s="8" t="s">
        <v>3288</v>
      </c>
      <c r="B868" s="16">
        <v>56</v>
      </c>
      <c r="C868" s="8" t="s">
        <v>20</v>
      </c>
      <c r="D868" s="8" t="s">
        <v>30</v>
      </c>
      <c r="F868" s="17">
        <v>42090</v>
      </c>
      <c r="G868" s="8" t="s">
        <v>3289</v>
      </c>
      <c r="H868" s="8" t="s">
        <v>3290</v>
      </c>
      <c r="I868" s="8" t="s">
        <v>45</v>
      </c>
      <c r="J868" s="16" t="s">
        <v>3291</v>
      </c>
      <c r="K868" s="2" t="s">
        <v>158</v>
      </c>
      <c r="L868" s="8" t="s">
        <v>3292</v>
      </c>
      <c r="M868" s="8" t="s">
        <v>27</v>
      </c>
      <c r="N868" s="8" t="s">
        <v>3293</v>
      </c>
      <c r="O868" s="8" t="s">
        <v>404</v>
      </c>
      <c r="P868" s="8" t="s">
        <v>405</v>
      </c>
      <c r="Q868" s="12" t="s">
        <v>3294</v>
      </c>
      <c r="R868" s="8" t="s">
        <v>559</v>
      </c>
      <c r="S868" s="7" t="s">
        <v>28</v>
      </c>
      <c r="T868" s="6"/>
      <c r="U868" s="8"/>
    </row>
    <row r="869" spans="1:24" ht="13.5" customHeight="1">
      <c r="A869" s="8" t="s">
        <v>3295</v>
      </c>
      <c r="B869" s="16">
        <v>40</v>
      </c>
      <c r="C869" s="8" t="s">
        <v>20</v>
      </c>
      <c r="D869" s="8" t="s">
        <v>37</v>
      </c>
      <c r="F869" s="17">
        <v>42090</v>
      </c>
      <c r="G869" s="8" t="s">
        <v>3296</v>
      </c>
      <c r="H869" s="8" t="s">
        <v>3297</v>
      </c>
      <c r="I869" s="8" t="s">
        <v>46</v>
      </c>
      <c r="J869" s="16" t="s">
        <v>3298</v>
      </c>
      <c r="K869" s="2" t="s">
        <v>958</v>
      </c>
      <c r="L869" s="8" t="s">
        <v>3299</v>
      </c>
      <c r="M869" s="8" t="s">
        <v>27</v>
      </c>
      <c r="N869" s="8" t="s">
        <v>3300</v>
      </c>
      <c r="O869" s="8" t="s">
        <v>404</v>
      </c>
      <c r="P869" s="8" t="s">
        <v>405</v>
      </c>
      <c r="Q869" s="12" t="s">
        <v>3301</v>
      </c>
      <c r="R869" s="8" t="s">
        <v>29</v>
      </c>
      <c r="S869" s="7" t="s">
        <v>28</v>
      </c>
      <c r="T869" s="6"/>
      <c r="U869" s="8"/>
    </row>
    <row r="870" spans="1:24" ht="13.5" customHeight="1">
      <c r="A870" s="8" t="s">
        <v>3308</v>
      </c>
      <c r="B870" s="16">
        <v>35</v>
      </c>
      <c r="C870" s="8" t="s">
        <v>20</v>
      </c>
      <c r="D870" s="8" t="s">
        <v>48</v>
      </c>
      <c r="F870" s="17">
        <v>42089</v>
      </c>
      <c r="G870" s="8" t="s">
        <v>3309</v>
      </c>
      <c r="H870" s="8" t="s">
        <v>227</v>
      </c>
      <c r="I870" s="8" t="s">
        <v>45</v>
      </c>
      <c r="J870" s="16" t="s">
        <v>3310</v>
      </c>
      <c r="K870" s="2" t="s">
        <v>98</v>
      </c>
      <c r="L870" s="8" t="s">
        <v>99</v>
      </c>
      <c r="M870" s="8" t="s">
        <v>27</v>
      </c>
      <c r="N870" s="8" t="s">
        <v>3311</v>
      </c>
      <c r="O870" s="8" t="s">
        <v>404</v>
      </c>
      <c r="P870" s="8" t="s">
        <v>405</v>
      </c>
      <c r="Q870" s="12" t="s">
        <v>3312</v>
      </c>
      <c r="R870" s="8" t="s">
        <v>559</v>
      </c>
      <c r="S870" s="7" t="s">
        <v>28</v>
      </c>
      <c r="T870" s="6"/>
      <c r="U870" s="8"/>
      <c r="V870" s="8"/>
      <c r="W870" s="8"/>
      <c r="X870" s="8"/>
    </row>
    <row r="871" spans="1:24" ht="13.5" customHeight="1">
      <c r="A871" s="8" t="s">
        <v>3319</v>
      </c>
      <c r="B871" s="16">
        <v>53</v>
      </c>
      <c r="C871" s="8" t="s">
        <v>115</v>
      </c>
      <c r="D871" s="8" t="s">
        <v>37</v>
      </c>
      <c r="E871" s="8" t="s">
        <v>3320</v>
      </c>
      <c r="F871" s="17">
        <v>42089</v>
      </c>
      <c r="G871" s="8" t="s">
        <v>3321</v>
      </c>
      <c r="H871" s="8" t="s">
        <v>3322</v>
      </c>
      <c r="I871" s="8" t="s">
        <v>367</v>
      </c>
      <c r="J871" s="16" t="s">
        <v>3323</v>
      </c>
      <c r="K871" s="2" t="s">
        <v>3324</v>
      </c>
      <c r="L871" s="8" t="s">
        <v>3325</v>
      </c>
      <c r="M871" s="8" t="s">
        <v>27</v>
      </c>
      <c r="N871" s="8" t="s">
        <v>3326</v>
      </c>
      <c r="O871" s="8" t="s">
        <v>404</v>
      </c>
      <c r="P871" s="8" t="s">
        <v>405</v>
      </c>
      <c r="Q871" s="12" t="s">
        <v>3327</v>
      </c>
      <c r="R871" s="8" t="s">
        <v>29</v>
      </c>
      <c r="S871" s="7" t="s">
        <v>35</v>
      </c>
      <c r="T871" s="6"/>
      <c r="U871" s="8"/>
    </row>
    <row r="872" spans="1:24" ht="13.5" customHeight="1">
      <c r="A872" s="8" t="s">
        <v>3313</v>
      </c>
      <c r="B872" s="16">
        <v>29</v>
      </c>
      <c r="C872" s="8" t="s">
        <v>20</v>
      </c>
      <c r="D872" s="8" t="s">
        <v>30</v>
      </c>
      <c r="E872" s="8" t="s">
        <v>3314</v>
      </c>
      <c r="F872" s="17">
        <v>42089</v>
      </c>
      <c r="G872" s="8" t="s">
        <v>3315</v>
      </c>
      <c r="H872" s="8" t="s">
        <v>33</v>
      </c>
      <c r="I872" s="8" t="s">
        <v>32</v>
      </c>
      <c r="J872" s="16" t="s">
        <v>3316</v>
      </c>
      <c r="K872" s="2" t="s">
        <v>33</v>
      </c>
      <c r="L872" s="8" t="s">
        <v>835</v>
      </c>
      <c r="M872" s="8" t="s">
        <v>383</v>
      </c>
      <c r="N872" s="8" t="s">
        <v>3317</v>
      </c>
      <c r="O872" s="8" t="s">
        <v>404</v>
      </c>
      <c r="P872" s="8" t="s">
        <v>405</v>
      </c>
      <c r="Q872" s="12" t="s">
        <v>3318</v>
      </c>
      <c r="R872" s="8" t="s">
        <v>29</v>
      </c>
      <c r="S872" s="7" t="s">
        <v>18</v>
      </c>
      <c r="T872" s="6"/>
      <c r="U872" s="8"/>
    </row>
    <row r="873" spans="1:24" ht="13.5" customHeight="1">
      <c r="A873" s="8" t="s">
        <v>3328</v>
      </c>
      <c r="B873" s="16">
        <v>27</v>
      </c>
      <c r="C873" s="8" t="s">
        <v>20</v>
      </c>
      <c r="D873" s="8" t="s">
        <v>85</v>
      </c>
      <c r="F873" s="17">
        <v>42088</v>
      </c>
      <c r="G873" s="8" t="s">
        <v>3329</v>
      </c>
      <c r="H873" s="8" t="s">
        <v>3330</v>
      </c>
      <c r="I873" s="8" t="s">
        <v>32</v>
      </c>
      <c r="J873" s="16" t="s">
        <v>3331</v>
      </c>
      <c r="K873" s="2" t="s">
        <v>3332</v>
      </c>
      <c r="L873" s="8" t="s">
        <v>3333</v>
      </c>
      <c r="M873" s="8" t="s">
        <v>27</v>
      </c>
      <c r="N873" s="8" t="s">
        <v>3334</v>
      </c>
      <c r="O873" s="8" t="s">
        <v>404</v>
      </c>
      <c r="P873" s="8" t="s">
        <v>405</v>
      </c>
      <c r="Q873" s="12" t="s">
        <v>3335</v>
      </c>
      <c r="R873" s="8" t="s">
        <v>29</v>
      </c>
      <c r="S873" s="7" t="s">
        <v>28</v>
      </c>
      <c r="T873" s="6"/>
      <c r="U873" s="8"/>
    </row>
    <row r="874" spans="1:24" ht="13.5" customHeight="1">
      <c r="A874" s="8" t="s">
        <v>3336</v>
      </c>
      <c r="B874" s="16">
        <v>28</v>
      </c>
      <c r="C874" s="8" t="s">
        <v>20</v>
      </c>
      <c r="D874" s="8" t="s">
        <v>48</v>
      </c>
      <c r="F874" s="17">
        <v>42088</v>
      </c>
      <c r="G874" s="8" t="s">
        <v>3337</v>
      </c>
      <c r="H874" s="8" t="s">
        <v>98</v>
      </c>
      <c r="I874" s="8" t="s">
        <v>45</v>
      </c>
      <c r="J874" s="16" t="s">
        <v>3338</v>
      </c>
      <c r="K874" s="2" t="s">
        <v>98</v>
      </c>
      <c r="L874" s="8" t="s">
        <v>99</v>
      </c>
      <c r="M874" s="8" t="s">
        <v>27</v>
      </c>
      <c r="N874" s="8" t="s">
        <v>3339</v>
      </c>
      <c r="O874" s="8" t="s">
        <v>404</v>
      </c>
      <c r="P874" s="8" t="s">
        <v>405</v>
      </c>
      <c r="Q874" s="12" t="s">
        <v>3340</v>
      </c>
      <c r="R874" s="8" t="s">
        <v>29</v>
      </c>
      <c r="S874" s="7" t="s">
        <v>28</v>
      </c>
      <c r="T874" s="6"/>
      <c r="U874" s="8"/>
    </row>
    <row r="875" spans="1:24" ht="13.5" customHeight="1">
      <c r="A875" s="8" t="s">
        <v>3357</v>
      </c>
      <c r="B875" s="16">
        <v>63</v>
      </c>
      <c r="C875" s="8" t="s">
        <v>20</v>
      </c>
      <c r="D875" s="8" t="s">
        <v>37</v>
      </c>
      <c r="E875" s="8" t="s">
        <v>3358</v>
      </c>
      <c r="F875" s="17">
        <v>42087</v>
      </c>
      <c r="G875" s="8" t="s">
        <v>3359</v>
      </c>
      <c r="H875" s="8" t="s">
        <v>3360</v>
      </c>
      <c r="I875" s="8" t="s">
        <v>124</v>
      </c>
      <c r="J875" s="16" t="s">
        <v>3361</v>
      </c>
      <c r="K875" s="2" t="s">
        <v>3362</v>
      </c>
      <c r="L875" s="8" t="s">
        <v>3363</v>
      </c>
      <c r="M875" s="8" t="s">
        <v>3364</v>
      </c>
      <c r="N875" s="8" t="s">
        <v>3365</v>
      </c>
      <c r="O875" s="8" t="s">
        <v>404</v>
      </c>
      <c r="P875" s="8" t="s">
        <v>405</v>
      </c>
      <c r="Q875" s="12" t="s">
        <v>3366</v>
      </c>
      <c r="R875" s="8" t="s">
        <v>29</v>
      </c>
      <c r="S875" s="7" t="s">
        <v>28</v>
      </c>
      <c r="T875" s="6"/>
      <c r="U875" s="8"/>
    </row>
    <row r="876" spans="1:24" ht="13.5" customHeight="1">
      <c r="A876" s="8" t="s">
        <v>3341</v>
      </c>
      <c r="B876" s="16">
        <v>23</v>
      </c>
      <c r="C876" s="8" t="s">
        <v>20</v>
      </c>
      <c r="D876" s="8" t="s">
        <v>85</v>
      </c>
      <c r="E876" s="8" t="s">
        <v>3342</v>
      </c>
      <c r="F876" s="17">
        <v>42087</v>
      </c>
      <c r="G876" s="8" t="s">
        <v>3343</v>
      </c>
      <c r="H876" s="8" t="s">
        <v>1933</v>
      </c>
      <c r="I876" s="8" t="s">
        <v>175</v>
      </c>
      <c r="J876" s="16" t="s">
        <v>3344</v>
      </c>
      <c r="K876" s="2" t="s">
        <v>3345</v>
      </c>
      <c r="L876" s="8" t="s">
        <v>3346</v>
      </c>
      <c r="M876" s="8" t="s">
        <v>27</v>
      </c>
      <c r="N876" s="8" t="s">
        <v>3347</v>
      </c>
      <c r="O876" s="8" t="s">
        <v>404</v>
      </c>
      <c r="P876" s="8" t="s">
        <v>405</v>
      </c>
      <c r="Q876" s="12" t="s">
        <v>3348</v>
      </c>
      <c r="R876" s="8" t="s">
        <v>29</v>
      </c>
      <c r="S876" s="7" t="s">
        <v>18</v>
      </c>
      <c r="T876" s="6"/>
      <c r="U876" s="8"/>
    </row>
    <row r="877" spans="1:24" ht="13.5" customHeight="1">
      <c r="A877" s="8" t="s">
        <v>3367</v>
      </c>
      <c r="B877" s="16">
        <v>57</v>
      </c>
      <c r="C877" s="8" t="s">
        <v>20</v>
      </c>
      <c r="D877" s="8" t="s">
        <v>37</v>
      </c>
      <c r="E877" s="8" t="s">
        <v>3368</v>
      </c>
      <c r="F877" s="17">
        <v>42087</v>
      </c>
      <c r="G877" s="8" t="s">
        <v>3369</v>
      </c>
      <c r="H877" s="8" t="s">
        <v>612</v>
      </c>
      <c r="I877" s="8" t="s">
        <v>45</v>
      </c>
      <c r="J877" s="16" t="s">
        <v>3370</v>
      </c>
      <c r="K877" s="2" t="s">
        <v>613</v>
      </c>
      <c r="L877" s="8" t="s">
        <v>735</v>
      </c>
      <c r="M877" s="8" t="s">
        <v>27</v>
      </c>
      <c r="N877" s="8" t="s">
        <v>3371</v>
      </c>
      <c r="O877" s="8" t="s">
        <v>1018</v>
      </c>
      <c r="P877" s="8" t="s">
        <v>405</v>
      </c>
      <c r="Q877" s="12" t="s">
        <v>3372</v>
      </c>
      <c r="R877" s="8" t="s">
        <v>559</v>
      </c>
      <c r="S877" s="7" t="s">
        <v>28</v>
      </c>
      <c r="T877" s="6"/>
      <c r="U877" s="8"/>
    </row>
    <row r="878" spans="1:24" ht="13.5" customHeight="1">
      <c r="A878" s="8" t="s">
        <v>3373</v>
      </c>
      <c r="B878" s="16">
        <v>37</v>
      </c>
      <c r="C878" s="8" t="s">
        <v>20</v>
      </c>
      <c r="D878" s="8" t="s">
        <v>37</v>
      </c>
      <c r="E878" s="8" t="s">
        <v>3374</v>
      </c>
      <c r="F878" s="17">
        <v>42087</v>
      </c>
      <c r="G878" s="8" t="s">
        <v>3375</v>
      </c>
      <c r="H878" s="8" t="s">
        <v>3376</v>
      </c>
      <c r="I878" s="8" t="s">
        <v>442</v>
      </c>
      <c r="J878" s="16" t="s">
        <v>3377</v>
      </c>
      <c r="K878" s="2" t="s">
        <v>3376</v>
      </c>
      <c r="L878" s="8" t="s">
        <v>3378</v>
      </c>
      <c r="M878" s="8" t="s">
        <v>27</v>
      </c>
      <c r="N878" s="8" t="s">
        <v>3379</v>
      </c>
      <c r="O878" s="8" t="s">
        <v>404</v>
      </c>
      <c r="P878" s="8" t="s">
        <v>405</v>
      </c>
      <c r="Q878" s="12" t="s">
        <v>3380</v>
      </c>
      <c r="R878" s="8" t="s">
        <v>29</v>
      </c>
      <c r="S878" s="7" t="s">
        <v>28</v>
      </c>
      <c r="T878" s="6"/>
      <c r="U878" s="8"/>
    </row>
    <row r="879" spans="1:24" ht="13.5" customHeight="1">
      <c r="A879" s="8" t="s">
        <v>3349</v>
      </c>
      <c r="B879" s="16">
        <v>29</v>
      </c>
      <c r="C879" s="8" t="s">
        <v>20</v>
      </c>
      <c r="D879" s="8" t="s">
        <v>85</v>
      </c>
      <c r="E879" s="8" t="s">
        <v>3350</v>
      </c>
      <c r="F879" s="17">
        <v>42087</v>
      </c>
      <c r="G879" s="8" t="s">
        <v>3351</v>
      </c>
      <c r="H879" s="8" t="s">
        <v>2725</v>
      </c>
      <c r="I879" s="8" t="s">
        <v>247</v>
      </c>
      <c r="J879" s="16" t="s">
        <v>3352</v>
      </c>
      <c r="K879" s="2" t="s">
        <v>3353</v>
      </c>
      <c r="L879" s="8" t="s">
        <v>3354</v>
      </c>
      <c r="M879" s="8" t="s">
        <v>27</v>
      </c>
      <c r="N879" s="8" t="s">
        <v>3355</v>
      </c>
      <c r="O879" s="8" t="s">
        <v>404</v>
      </c>
      <c r="P879" s="8" t="s">
        <v>405</v>
      </c>
      <c r="Q879" s="12" t="s">
        <v>3356</v>
      </c>
      <c r="R879" s="8" t="s">
        <v>29</v>
      </c>
      <c r="S879" s="7" t="s">
        <v>18</v>
      </c>
      <c r="T879" s="6"/>
      <c r="U879" s="8"/>
    </row>
    <row r="880" spans="1:24" ht="13.5" customHeight="1">
      <c r="A880" s="8" t="s">
        <v>3381</v>
      </c>
      <c r="B880" s="16" t="s">
        <v>29</v>
      </c>
      <c r="C880" s="8" t="s">
        <v>20</v>
      </c>
      <c r="D880" s="8" t="s">
        <v>30</v>
      </c>
      <c r="F880" s="17">
        <v>42086</v>
      </c>
      <c r="G880" s="8" t="s">
        <v>3382</v>
      </c>
      <c r="H880" s="8" t="s">
        <v>3383</v>
      </c>
      <c r="I880" s="8" t="s">
        <v>306</v>
      </c>
      <c r="J880" s="16">
        <v>98660</v>
      </c>
      <c r="K880" s="2" t="s">
        <v>574</v>
      </c>
      <c r="L880" s="8" t="s">
        <v>3384</v>
      </c>
      <c r="M880" s="8" t="s">
        <v>2312</v>
      </c>
      <c r="N880" s="8" t="s">
        <v>3385</v>
      </c>
      <c r="P880" s="8" t="s">
        <v>405</v>
      </c>
      <c r="Q880" s="12" t="str">
        <f>HYPERLINK("http://www.oregonlive.com/clark-county/index.ssf/2015/03/clark_county_jail_inmate_dies_1.html","http://www.oregonlive.com/clark-county/index.ssf/2015/03/clark_county_jail_inmate_dies_1.html")</f>
        <v>http://www.oregonlive.com/clark-county/index.ssf/2015/03/clark_county_jail_inmate_dies_1.html</v>
      </c>
      <c r="S880" s="7" t="s">
        <v>18</v>
      </c>
      <c r="T880" s="6"/>
      <c r="U880" s="8"/>
    </row>
    <row r="881" spans="1:24" ht="13.5" customHeight="1">
      <c r="A881" s="8" t="s">
        <v>3410</v>
      </c>
      <c r="B881" s="16">
        <v>36</v>
      </c>
      <c r="C881" s="8" t="s">
        <v>20</v>
      </c>
      <c r="D881" s="8" t="s">
        <v>37</v>
      </c>
      <c r="E881" s="8" t="s">
        <v>3411</v>
      </c>
      <c r="F881" s="17">
        <v>42085</v>
      </c>
      <c r="G881" s="8" t="s">
        <v>3412</v>
      </c>
      <c r="H881" s="8" t="s">
        <v>1577</v>
      </c>
      <c r="I881" s="8" t="s">
        <v>118</v>
      </c>
      <c r="J881" s="16" t="s">
        <v>3413</v>
      </c>
      <c r="K881" s="2" t="s">
        <v>1579</v>
      </c>
      <c r="L881" s="8" t="s">
        <v>18230</v>
      </c>
      <c r="M881" s="8" t="s">
        <v>27</v>
      </c>
      <c r="N881" s="8" t="s">
        <v>3414</v>
      </c>
      <c r="O881" s="8" t="s">
        <v>404</v>
      </c>
      <c r="P881" s="8" t="s">
        <v>405</v>
      </c>
      <c r="Q881" s="12" t="s">
        <v>3415</v>
      </c>
      <c r="R881" s="8" t="s">
        <v>29</v>
      </c>
      <c r="S881" s="7" t="s">
        <v>28</v>
      </c>
      <c r="T881" s="6"/>
      <c r="U881" s="8"/>
    </row>
    <row r="882" spans="1:24" ht="13.5" customHeight="1">
      <c r="A882" s="8" t="s">
        <v>3386</v>
      </c>
      <c r="B882" s="16">
        <v>21</v>
      </c>
      <c r="C882" s="8" t="s">
        <v>20</v>
      </c>
      <c r="D882" s="8" t="s">
        <v>85</v>
      </c>
      <c r="E882" s="8" t="s">
        <v>3387</v>
      </c>
      <c r="F882" s="17">
        <v>42085</v>
      </c>
      <c r="G882" s="8" t="s">
        <v>3388</v>
      </c>
      <c r="H882" s="8" t="s">
        <v>3389</v>
      </c>
      <c r="I882" s="8" t="s">
        <v>427</v>
      </c>
      <c r="J882" s="16" t="s">
        <v>3390</v>
      </c>
      <c r="K882" s="2" t="s">
        <v>1716</v>
      </c>
      <c r="L882" s="8" t="s">
        <v>3391</v>
      </c>
      <c r="M882" s="8" t="s">
        <v>27</v>
      </c>
      <c r="N882" s="8" t="s">
        <v>3392</v>
      </c>
      <c r="O882" s="8" t="s">
        <v>404</v>
      </c>
      <c r="P882" s="8" t="s">
        <v>405</v>
      </c>
      <c r="Q882" s="12" t="s">
        <v>3393</v>
      </c>
      <c r="R882" s="8" t="s">
        <v>29</v>
      </c>
      <c r="S882" s="7" t="s">
        <v>18</v>
      </c>
      <c r="T882" s="6"/>
      <c r="U882" s="8"/>
    </row>
    <row r="883" spans="1:24" ht="13.5" customHeight="1">
      <c r="A883" s="8" t="s">
        <v>3394</v>
      </c>
      <c r="B883" s="16">
        <v>24</v>
      </c>
      <c r="C883" s="8" t="s">
        <v>20</v>
      </c>
      <c r="D883" s="8" t="s">
        <v>30</v>
      </c>
      <c r="F883" s="17">
        <v>42085</v>
      </c>
      <c r="G883" s="8" t="s">
        <v>3395</v>
      </c>
      <c r="H883" s="8" t="s">
        <v>613</v>
      </c>
      <c r="I883" s="8" t="s">
        <v>45</v>
      </c>
      <c r="J883" s="16" t="s">
        <v>3396</v>
      </c>
      <c r="K883" s="2" t="s">
        <v>613</v>
      </c>
      <c r="L883" s="8" t="s">
        <v>3397</v>
      </c>
      <c r="M883" s="8" t="s">
        <v>27</v>
      </c>
      <c r="N883" s="8" t="s">
        <v>3398</v>
      </c>
      <c r="O883" s="8" t="s">
        <v>554</v>
      </c>
      <c r="P883" s="8" t="s">
        <v>405</v>
      </c>
      <c r="Q883" s="12" t="s">
        <v>3399</v>
      </c>
      <c r="R883" s="8" t="s">
        <v>29</v>
      </c>
      <c r="S883" s="7" t="s">
        <v>28</v>
      </c>
      <c r="T883" s="6"/>
      <c r="U883" s="8"/>
    </row>
    <row r="884" spans="1:24" ht="13.5" customHeight="1">
      <c r="A884" s="8" t="s">
        <v>3416</v>
      </c>
      <c r="B884" s="16">
        <v>43</v>
      </c>
      <c r="C884" s="8" t="s">
        <v>20</v>
      </c>
      <c r="D884" s="8" t="s">
        <v>37</v>
      </c>
      <c r="F884" s="17">
        <v>42085</v>
      </c>
      <c r="G884" s="8" t="s">
        <v>3417</v>
      </c>
      <c r="H884" s="8" t="s">
        <v>2513</v>
      </c>
      <c r="I884" s="8" t="s">
        <v>399</v>
      </c>
      <c r="J884" s="16" t="s">
        <v>3418</v>
      </c>
      <c r="K884" s="2" t="s">
        <v>2513</v>
      </c>
      <c r="L884" s="8" t="s">
        <v>3419</v>
      </c>
      <c r="M884" s="8" t="s">
        <v>383</v>
      </c>
      <c r="N884" s="8" t="s">
        <v>3420</v>
      </c>
      <c r="O884" s="8" t="s">
        <v>3421</v>
      </c>
      <c r="P884" s="8" t="s">
        <v>405</v>
      </c>
      <c r="Q884" s="12" t="s">
        <v>3422</v>
      </c>
      <c r="R884" s="8" t="s">
        <v>29</v>
      </c>
      <c r="S884" s="7" t="s">
        <v>18</v>
      </c>
      <c r="T884" s="6"/>
      <c r="U884" s="8"/>
    </row>
    <row r="885" spans="1:24" ht="13.5" customHeight="1">
      <c r="A885" s="8" t="s">
        <v>3400</v>
      </c>
      <c r="B885" s="16">
        <v>47</v>
      </c>
      <c r="C885" s="8" t="s">
        <v>20</v>
      </c>
      <c r="D885" s="8" t="s">
        <v>37</v>
      </c>
      <c r="E885" s="8" t="s">
        <v>3401</v>
      </c>
      <c r="F885" s="17">
        <v>42085</v>
      </c>
      <c r="G885" s="8" t="s">
        <v>3402</v>
      </c>
      <c r="H885" s="8" t="s">
        <v>3403</v>
      </c>
      <c r="I885" s="8" t="s">
        <v>319</v>
      </c>
      <c r="J885" s="16" t="s">
        <v>3404</v>
      </c>
      <c r="K885" s="2" t="s">
        <v>3405</v>
      </c>
      <c r="L885" s="8" t="s">
        <v>3406</v>
      </c>
      <c r="M885" s="8" t="s">
        <v>3407</v>
      </c>
      <c r="N885" s="8" t="s">
        <v>3408</v>
      </c>
      <c r="O885" s="8" t="s">
        <v>404</v>
      </c>
      <c r="P885" s="8" t="s">
        <v>405</v>
      </c>
      <c r="Q885" s="12" t="s">
        <v>3409</v>
      </c>
      <c r="R885" s="8" t="s">
        <v>972</v>
      </c>
      <c r="S885" s="7" t="s">
        <v>18</v>
      </c>
      <c r="T885" s="6"/>
      <c r="U885" s="8"/>
      <c r="V885" s="8"/>
      <c r="W885" s="8"/>
      <c r="X885" s="8"/>
    </row>
    <row r="886" spans="1:24" ht="13.5" customHeight="1">
      <c r="A886" s="8" t="s">
        <v>3445</v>
      </c>
      <c r="B886" s="16">
        <v>21</v>
      </c>
      <c r="C886" s="8" t="s">
        <v>20</v>
      </c>
      <c r="D886" s="8" t="s">
        <v>37</v>
      </c>
      <c r="F886" s="17">
        <v>42084</v>
      </c>
      <c r="G886" s="8" t="s">
        <v>3446</v>
      </c>
      <c r="H886" s="8" t="s">
        <v>2051</v>
      </c>
      <c r="I886" s="8" t="s">
        <v>124</v>
      </c>
      <c r="J886" s="16" t="s">
        <v>2052</v>
      </c>
      <c r="K886" s="2" t="s">
        <v>181</v>
      </c>
      <c r="L886" s="8" t="s">
        <v>3447</v>
      </c>
      <c r="M886" s="8" t="s">
        <v>27</v>
      </c>
      <c r="N886" s="8" t="s">
        <v>3448</v>
      </c>
      <c r="O886" s="8" t="s">
        <v>404</v>
      </c>
      <c r="P886" s="8" t="s">
        <v>405</v>
      </c>
      <c r="Q886" s="12" t="s">
        <v>3449</v>
      </c>
      <c r="R886" s="8" t="s">
        <v>559</v>
      </c>
      <c r="S886" s="7" t="s">
        <v>28</v>
      </c>
      <c r="T886" s="6"/>
      <c r="U886" s="8"/>
    </row>
    <row r="887" spans="1:24" ht="13.5" customHeight="1">
      <c r="A887" s="8" t="s">
        <v>3431</v>
      </c>
      <c r="B887" s="16">
        <v>60</v>
      </c>
      <c r="C887" s="8" t="s">
        <v>20</v>
      </c>
      <c r="D887" s="8" t="s">
        <v>30</v>
      </c>
      <c r="F887" s="17">
        <v>42084</v>
      </c>
      <c r="G887" s="8" t="s">
        <v>3432</v>
      </c>
      <c r="H887" s="8" t="s">
        <v>3433</v>
      </c>
      <c r="I887" s="8" t="s">
        <v>220</v>
      </c>
      <c r="J887" s="16" t="s">
        <v>3434</v>
      </c>
      <c r="K887" s="2" t="s">
        <v>3435</v>
      </c>
      <c r="L887" s="8" t="s">
        <v>3436</v>
      </c>
      <c r="M887" s="8" t="s">
        <v>27</v>
      </c>
      <c r="N887" s="8" t="s">
        <v>3437</v>
      </c>
      <c r="O887" s="8" t="s">
        <v>1018</v>
      </c>
      <c r="P887" s="8" t="s">
        <v>405</v>
      </c>
      <c r="Q887" s="12" t="s">
        <v>3438</v>
      </c>
      <c r="R887" s="8" t="s">
        <v>559</v>
      </c>
      <c r="S887" s="7" t="s">
        <v>28</v>
      </c>
      <c r="T887" s="6"/>
      <c r="U887" s="8"/>
    </row>
    <row r="888" spans="1:24" ht="13.5" customHeight="1">
      <c r="A888" s="8" t="s">
        <v>3450</v>
      </c>
      <c r="B888" s="16">
        <v>44</v>
      </c>
      <c r="C888" s="8" t="s">
        <v>20</v>
      </c>
      <c r="D888" s="8" t="s">
        <v>37</v>
      </c>
      <c r="E888" s="8" t="s">
        <v>3451</v>
      </c>
      <c r="F888" s="17">
        <v>42084</v>
      </c>
      <c r="G888" s="8" t="s">
        <v>3452</v>
      </c>
      <c r="H888" s="8" t="s">
        <v>3453</v>
      </c>
      <c r="I888" s="8" t="s">
        <v>427</v>
      </c>
      <c r="J888" s="16" t="s">
        <v>3454</v>
      </c>
      <c r="K888" s="2" t="s">
        <v>2605</v>
      </c>
      <c r="L888" s="8" t="s">
        <v>3455</v>
      </c>
      <c r="M888" s="8" t="s">
        <v>27</v>
      </c>
      <c r="N888" s="8" t="s">
        <v>3456</v>
      </c>
      <c r="O888" s="8" t="s">
        <v>554</v>
      </c>
      <c r="P888" s="8" t="s">
        <v>405</v>
      </c>
      <c r="Q888" s="12" t="s">
        <v>3457</v>
      </c>
      <c r="R888" s="8" t="s">
        <v>29</v>
      </c>
      <c r="S888" s="7" t="s">
        <v>28</v>
      </c>
      <c r="T888" s="6"/>
      <c r="U888" s="8"/>
    </row>
    <row r="889" spans="1:24" ht="13.5" customHeight="1">
      <c r="A889" s="8" t="s">
        <v>3439</v>
      </c>
      <c r="B889" s="16">
        <v>42</v>
      </c>
      <c r="C889" s="8" t="s">
        <v>20</v>
      </c>
      <c r="D889" s="8" t="s">
        <v>37</v>
      </c>
      <c r="F889" s="17">
        <v>42084</v>
      </c>
      <c r="G889" s="8" t="s">
        <v>3440</v>
      </c>
      <c r="H889" s="8" t="s">
        <v>1300</v>
      </c>
      <c r="I889" s="8" t="s">
        <v>69</v>
      </c>
      <c r="J889" s="16" t="s">
        <v>3441</v>
      </c>
      <c r="K889" s="2" t="s">
        <v>1301</v>
      </c>
      <c r="L889" s="8" t="s">
        <v>12726</v>
      </c>
      <c r="M889" s="8" t="s">
        <v>27</v>
      </c>
      <c r="N889" s="8" t="s">
        <v>3443</v>
      </c>
      <c r="O889" s="8" t="s">
        <v>1018</v>
      </c>
      <c r="P889" s="8" t="s">
        <v>405</v>
      </c>
      <c r="Q889" s="12" t="s">
        <v>3444</v>
      </c>
      <c r="R889" s="8" t="s">
        <v>29</v>
      </c>
      <c r="S889" s="7" t="s">
        <v>28</v>
      </c>
      <c r="T889" s="6"/>
      <c r="U889" s="8"/>
    </row>
    <row r="890" spans="1:24" ht="13.5" customHeight="1">
      <c r="A890" s="8" t="s">
        <v>3458</v>
      </c>
      <c r="B890" s="16">
        <v>37</v>
      </c>
      <c r="C890" s="8" t="s">
        <v>20</v>
      </c>
      <c r="D890" s="8" t="s">
        <v>37</v>
      </c>
      <c r="E890" s="8" t="s">
        <v>3459</v>
      </c>
      <c r="F890" s="17">
        <v>42084</v>
      </c>
      <c r="G890" s="8" t="s">
        <v>3460</v>
      </c>
      <c r="H890" s="8" t="s">
        <v>3461</v>
      </c>
      <c r="I890" s="8" t="s">
        <v>45</v>
      </c>
      <c r="J890" s="16" t="s">
        <v>3462</v>
      </c>
      <c r="K890" s="2" t="s">
        <v>3463</v>
      </c>
      <c r="L890" s="8" t="s">
        <v>3464</v>
      </c>
      <c r="M890" s="8" t="s">
        <v>27</v>
      </c>
      <c r="N890" s="8" t="s">
        <v>3465</v>
      </c>
      <c r="O890" s="8" t="s">
        <v>404</v>
      </c>
      <c r="P890" s="8" t="s">
        <v>405</v>
      </c>
      <c r="Q890" s="12" t="s">
        <v>3466</v>
      </c>
      <c r="R890" s="8" t="s">
        <v>559</v>
      </c>
      <c r="S890" s="7" t="s">
        <v>35</v>
      </c>
      <c r="T890" s="6"/>
      <c r="U890" s="8"/>
    </row>
    <row r="891" spans="1:24" ht="13.5" customHeight="1">
      <c r="A891" s="8" t="s">
        <v>3423</v>
      </c>
      <c r="B891" s="16">
        <v>20</v>
      </c>
      <c r="C891" s="8" t="s">
        <v>20</v>
      </c>
      <c r="D891" s="8" t="s">
        <v>85</v>
      </c>
      <c r="E891" s="8" t="s">
        <v>3424</v>
      </c>
      <c r="F891" s="17">
        <v>42084</v>
      </c>
      <c r="G891" s="8" t="s">
        <v>3425</v>
      </c>
      <c r="H891" s="8" t="s">
        <v>3426</v>
      </c>
      <c r="I891" s="8" t="s">
        <v>62</v>
      </c>
      <c r="J891" s="16" t="s">
        <v>3427</v>
      </c>
      <c r="K891" s="2" t="s">
        <v>2114</v>
      </c>
      <c r="L891" s="8" t="s">
        <v>3428</v>
      </c>
      <c r="M891" s="8" t="s">
        <v>383</v>
      </c>
      <c r="N891" s="8" t="s">
        <v>3429</v>
      </c>
      <c r="O891" s="8" t="s">
        <v>1018</v>
      </c>
      <c r="P891" s="8" t="s">
        <v>405</v>
      </c>
      <c r="Q891" s="12" t="s">
        <v>3430</v>
      </c>
      <c r="R891" s="8" t="s">
        <v>100</v>
      </c>
      <c r="S891" s="7" t="s">
        <v>18</v>
      </c>
      <c r="T891" s="6"/>
      <c r="U891" s="8"/>
    </row>
    <row r="892" spans="1:24" ht="13.5" customHeight="1">
      <c r="A892" s="8" t="s">
        <v>3473</v>
      </c>
      <c r="B892" s="16">
        <v>28</v>
      </c>
      <c r="C892" s="8" t="s">
        <v>20</v>
      </c>
      <c r="D892" s="8" t="s">
        <v>30</v>
      </c>
      <c r="F892" s="17">
        <v>42083</v>
      </c>
      <c r="G892" s="8" t="s">
        <v>3468</v>
      </c>
      <c r="H892" s="8" t="s">
        <v>762</v>
      </c>
      <c r="I892" s="8" t="s">
        <v>427</v>
      </c>
      <c r="J892" s="16" t="s">
        <v>3469</v>
      </c>
      <c r="K892" s="2" t="s">
        <v>762</v>
      </c>
      <c r="L892" s="8" t="s">
        <v>3470</v>
      </c>
      <c r="M892" s="8" t="s">
        <v>383</v>
      </c>
      <c r="N892" s="8" t="s">
        <v>3474</v>
      </c>
      <c r="O892" s="8" t="s">
        <v>404</v>
      </c>
      <c r="P892" s="8" t="s">
        <v>405</v>
      </c>
      <c r="Q892" s="12" t="s">
        <v>3472</v>
      </c>
      <c r="R892" s="8" t="s">
        <v>972</v>
      </c>
      <c r="S892" s="7" t="s">
        <v>28</v>
      </c>
      <c r="T892" s="6"/>
      <c r="U892" s="8"/>
    </row>
    <row r="893" spans="1:24" ht="13.5" customHeight="1">
      <c r="A893" s="8" t="s">
        <v>3467</v>
      </c>
      <c r="B893" s="16">
        <v>28</v>
      </c>
      <c r="C893" s="8" t="s">
        <v>20</v>
      </c>
      <c r="D893" s="8" t="s">
        <v>48</v>
      </c>
      <c r="F893" s="17">
        <v>42083</v>
      </c>
      <c r="G893" s="8" t="s">
        <v>3468</v>
      </c>
      <c r="H893" s="8" t="s">
        <v>762</v>
      </c>
      <c r="I893" s="8" t="s">
        <v>427</v>
      </c>
      <c r="J893" s="16" t="s">
        <v>3469</v>
      </c>
      <c r="K893" s="2" t="s">
        <v>762</v>
      </c>
      <c r="L893" s="8" t="s">
        <v>3470</v>
      </c>
      <c r="M893" s="8" t="s">
        <v>383</v>
      </c>
      <c r="N893" s="8" t="s">
        <v>3471</v>
      </c>
      <c r="O893" s="8" t="s">
        <v>404</v>
      </c>
      <c r="P893" s="8" t="s">
        <v>405</v>
      </c>
      <c r="Q893" s="12" t="s">
        <v>3472</v>
      </c>
      <c r="R893" s="8" t="s">
        <v>559</v>
      </c>
      <c r="S893" s="7" t="s">
        <v>18</v>
      </c>
      <c r="T893" s="6"/>
      <c r="U893" s="8"/>
    </row>
    <row r="894" spans="1:24" ht="13.5" customHeight="1">
      <c r="A894" s="8" t="s">
        <v>3475</v>
      </c>
      <c r="B894" s="16">
        <v>63</v>
      </c>
      <c r="C894" s="8" t="s">
        <v>20</v>
      </c>
      <c r="D894" s="8" t="s">
        <v>37</v>
      </c>
      <c r="E894" s="8" t="s">
        <v>3476</v>
      </c>
      <c r="F894" s="17">
        <v>42083</v>
      </c>
      <c r="G894" s="8" t="s">
        <v>3477</v>
      </c>
      <c r="H894" s="8" t="s">
        <v>3478</v>
      </c>
      <c r="I894" s="8" t="s">
        <v>25</v>
      </c>
      <c r="J894" s="16" t="s">
        <v>3479</v>
      </c>
      <c r="K894" s="2" t="s">
        <v>1795</v>
      </c>
      <c r="L894" s="8" t="s">
        <v>3480</v>
      </c>
      <c r="M894" s="8" t="s">
        <v>27</v>
      </c>
      <c r="N894" s="8" t="s">
        <v>3481</v>
      </c>
      <c r="O894" s="8" t="s">
        <v>554</v>
      </c>
      <c r="P894" s="8" t="s">
        <v>405</v>
      </c>
      <c r="Q894" s="12" t="s">
        <v>3476</v>
      </c>
      <c r="R894" s="8" t="s">
        <v>559</v>
      </c>
      <c r="S894" s="7" t="s">
        <v>28</v>
      </c>
      <c r="T894" s="6"/>
      <c r="U894" s="8"/>
    </row>
    <row r="895" spans="1:24" ht="13.5" customHeight="1">
      <c r="A895" s="8" t="s">
        <v>3482</v>
      </c>
      <c r="B895" s="16">
        <v>34</v>
      </c>
      <c r="C895" s="8" t="s">
        <v>20</v>
      </c>
      <c r="D895" s="8" t="s">
        <v>37</v>
      </c>
      <c r="E895" s="8" t="s">
        <v>3483</v>
      </c>
      <c r="F895" s="17">
        <v>42083</v>
      </c>
      <c r="G895" s="8" t="s">
        <v>3484</v>
      </c>
      <c r="H895" s="8" t="s">
        <v>3485</v>
      </c>
      <c r="I895" s="8" t="s">
        <v>399</v>
      </c>
      <c r="J895" s="16" t="s">
        <v>3486</v>
      </c>
      <c r="K895" s="2" t="s">
        <v>2674</v>
      </c>
      <c r="L895" s="8" t="s">
        <v>2062</v>
      </c>
      <c r="M895" s="8" t="s">
        <v>27</v>
      </c>
      <c r="N895" s="8" t="s">
        <v>3487</v>
      </c>
      <c r="O895" s="8" t="s">
        <v>404</v>
      </c>
      <c r="P895" s="8" t="s">
        <v>405</v>
      </c>
      <c r="Q895" s="12" t="s">
        <v>3488</v>
      </c>
      <c r="R895" s="8" t="s">
        <v>29</v>
      </c>
      <c r="S895" s="7" t="s">
        <v>28</v>
      </c>
      <c r="T895" s="6"/>
      <c r="U895" s="8"/>
    </row>
    <row r="896" spans="1:24" ht="13.5" customHeight="1">
      <c r="A896" s="8" t="s">
        <v>3501</v>
      </c>
      <c r="B896" s="16">
        <v>29</v>
      </c>
      <c r="C896" s="8" t="s">
        <v>20</v>
      </c>
      <c r="D896" s="8" t="s">
        <v>37</v>
      </c>
      <c r="E896" s="8" t="s">
        <v>3502</v>
      </c>
      <c r="F896" s="17">
        <v>42082</v>
      </c>
      <c r="G896" s="8" t="s">
        <v>3503</v>
      </c>
      <c r="H896" s="8" t="s">
        <v>3504</v>
      </c>
      <c r="I896" s="8" t="s">
        <v>69</v>
      </c>
      <c r="J896" s="16" t="s">
        <v>3505</v>
      </c>
      <c r="K896" s="2" t="s">
        <v>3506</v>
      </c>
      <c r="L896" s="8" t="s">
        <v>3507</v>
      </c>
      <c r="M896" s="8" t="s">
        <v>27</v>
      </c>
      <c r="N896" s="8" t="s">
        <v>3508</v>
      </c>
      <c r="O896" s="8" t="s">
        <v>1018</v>
      </c>
      <c r="P896" s="8" t="s">
        <v>405</v>
      </c>
      <c r="Q896" s="12" t="s">
        <v>3509</v>
      </c>
      <c r="R896" s="8" t="s">
        <v>972</v>
      </c>
      <c r="S896" s="7" t="s">
        <v>35</v>
      </c>
      <c r="T896" s="6"/>
      <c r="U896" s="8"/>
    </row>
    <row r="897" spans="1:21" ht="13.5" customHeight="1">
      <c r="A897" s="8" t="s">
        <v>3489</v>
      </c>
      <c r="B897" s="16">
        <v>18</v>
      </c>
      <c r="C897" s="8" t="s">
        <v>20</v>
      </c>
      <c r="D897" s="8" t="s">
        <v>85</v>
      </c>
      <c r="F897" s="17">
        <v>42082</v>
      </c>
      <c r="G897" s="8" t="s">
        <v>3490</v>
      </c>
      <c r="H897" s="8" t="s">
        <v>992</v>
      </c>
      <c r="I897" s="8" t="s">
        <v>69</v>
      </c>
      <c r="J897" s="16" t="s">
        <v>3491</v>
      </c>
      <c r="K897" s="2" t="s">
        <v>105</v>
      </c>
      <c r="L897" s="8" t="s">
        <v>3492</v>
      </c>
      <c r="M897" s="8" t="s">
        <v>27</v>
      </c>
      <c r="N897" s="8" t="s">
        <v>3493</v>
      </c>
      <c r="O897" s="8" t="s">
        <v>1018</v>
      </c>
      <c r="P897" s="8" t="s">
        <v>405</v>
      </c>
      <c r="Q897" s="12" t="s">
        <v>3494</v>
      </c>
      <c r="R897" s="8" t="s">
        <v>29</v>
      </c>
      <c r="S897" s="7" t="s">
        <v>18</v>
      </c>
      <c r="T897" s="6"/>
      <c r="U897" s="8"/>
    </row>
    <row r="898" spans="1:21" ht="13.5" customHeight="1">
      <c r="A898" s="8" t="s">
        <v>3510</v>
      </c>
      <c r="B898" s="16">
        <v>20</v>
      </c>
      <c r="C898" s="8" t="s">
        <v>20</v>
      </c>
      <c r="D898" s="8" t="s">
        <v>85</v>
      </c>
      <c r="E898" s="8" t="s">
        <v>3511</v>
      </c>
      <c r="F898" s="17">
        <v>42082</v>
      </c>
      <c r="G898" s="8" t="s">
        <v>3512</v>
      </c>
      <c r="H898" s="8" t="s">
        <v>3513</v>
      </c>
      <c r="I898" s="8" t="s">
        <v>306</v>
      </c>
      <c r="J898" s="16" t="s">
        <v>3514</v>
      </c>
      <c r="K898" s="2" t="s">
        <v>3515</v>
      </c>
      <c r="L898" s="8" t="s">
        <v>3516</v>
      </c>
      <c r="M898" s="8" t="s">
        <v>27</v>
      </c>
      <c r="N898" s="8" t="s">
        <v>3517</v>
      </c>
      <c r="O898" s="8" t="s">
        <v>1018</v>
      </c>
      <c r="P898" s="8" t="s">
        <v>405</v>
      </c>
      <c r="Q898" s="12" t="s">
        <v>3518</v>
      </c>
      <c r="R898" s="8" t="s">
        <v>972</v>
      </c>
      <c r="S898" s="7" t="s">
        <v>18</v>
      </c>
      <c r="T898" s="6"/>
      <c r="U898" s="8"/>
    </row>
    <row r="899" spans="1:21" ht="13.5" customHeight="1">
      <c r="A899" s="8" t="s">
        <v>3495</v>
      </c>
      <c r="B899" s="16">
        <v>16</v>
      </c>
      <c r="C899" s="8" t="s">
        <v>20</v>
      </c>
      <c r="D899" s="8" t="s">
        <v>85</v>
      </c>
      <c r="E899" s="8" t="s">
        <v>3496</v>
      </c>
      <c r="F899" s="17">
        <v>42082</v>
      </c>
      <c r="G899" s="8" t="s">
        <v>3497</v>
      </c>
      <c r="H899" s="8" t="s">
        <v>657</v>
      </c>
      <c r="I899" s="8" t="s">
        <v>62</v>
      </c>
      <c r="J899" s="16" t="s">
        <v>3498</v>
      </c>
      <c r="K899" s="2" t="s">
        <v>658</v>
      </c>
      <c r="L899" s="8" t="s">
        <v>659</v>
      </c>
      <c r="M899" s="8" t="s">
        <v>27</v>
      </c>
      <c r="N899" s="8" t="s">
        <v>3499</v>
      </c>
      <c r="O899" s="8" t="s">
        <v>404</v>
      </c>
      <c r="P899" s="8" t="s">
        <v>405</v>
      </c>
      <c r="Q899" s="12" t="s">
        <v>3500</v>
      </c>
      <c r="R899" s="8" t="s">
        <v>29</v>
      </c>
      <c r="S899" s="7" t="s">
        <v>28</v>
      </c>
      <c r="T899" s="6"/>
      <c r="U899" s="8"/>
    </row>
    <row r="900" spans="1:21" ht="13.5" customHeight="1">
      <c r="A900" s="8" t="s">
        <v>3519</v>
      </c>
      <c r="B900" s="16">
        <v>36</v>
      </c>
      <c r="C900" s="8" t="s">
        <v>20</v>
      </c>
      <c r="D900" s="8" t="s">
        <v>37</v>
      </c>
      <c r="E900" s="8" t="s">
        <v>3520</v>
      </c>
      <c r="F900" s="17">
        <v>42082</v>
      </c>
      <c r="G900" s="8" t="s">
        <v>3521</v>
      </c>
      <c r="H900" s="8" t="s">
        <v>686</v>
      </c>
      <c r="I900" s="8" t="s">
        <v>45</v>
      </c>
      <c r="J900" s="16" t="s">
        <v>3522</v>
      </c>
      <c r="K900" s="2" t="s">
        <v>687</v>
      </c>
      <c r="L900" s="8" t="s">
        <v>688</v>
      </c>
      <c r="M900" s="8" t="s">
        <v>27</v>
      </c>
      <c r="N900" s="8" t="s">
        <v>3523</v>
      </c>
      <c r="O900" s="8" t="s">
        <v>554</v>
      </c>
      <c r="P900" s="8" t="s">
        <v>405</v>
      </c>
      <c r="Q900" s="12" t="s">
        <v>3524</v>
      </c>
      <c r="R900" s="8" t="s">
        <v>559</v>
      </c>
      <c r="S900" s="7" t="s">
        <v>28</v>
      </c>
      <c r="T900" s="6"/>
      <c r="U900" s="8"/>
    </row>
    <row r="901" spans="1:21" ht="13.5" customHeight="1">
      <c r="A901" s="8" t="s">
        <v>3525</v>
      </c>
      <c r="B901" s="16">
        <v>39</v>
      </c>
      <c r="C901" s="8" t="s">
        <v>20</v>
      </c>
      <c r="D901" s="8" t="s">
        <v>37</v>
      </c>
      <c r="E901" s="8" t="s">
        <v>3526</v>
      </c>
      <c r="F901" s="17">
        <v>42082</v>
      </c>
      <c r="G901" s="8" t="s">
        <v>3527</v>
      </c>
      <c r="H901" s="8" t="s">
        <v>3528</v>
      </c>
      <c r="I901" s="8" t="s">
        <v>94</v>
      </c>
      <c r="J901" s="16" t="s">
        <v>3529</v>
      </c>
      <c r="K901" s="2" t="s">
        <v>2087</v>
      </c>
      <c r="L901" s="8" t="s">
        <v>348</v>
      </c>
      <c r="M901" s="8" t="s">
        <v>27</v>
      </c>
      <c r="N901" s="8" t="s">
        <v>3530</v>
      </c>
      <c r="O901" s="8" t="s">
        <v>1018</v>
      </c>
      <c r="P901" s="8" t="s">
        <v>405</v>
      </c>
      <c r="Q901" s="12" t="s">
        <v>3531</v>
      </c>
      <c r="R901" s="8" t="s">
        <v>559</v>
      </c>
      <c r="S901" s="7" t="s">
        <v>28</v>
      </c>
      <c r="T901" s="6"/>
      <c r="U901" s="8"/>
    </row>
    <row r="902" spans="1:21" ht="13.5" customHeight="1">
      <c r="A902" s="8" t="s">
        <v>3547</v>
      </c>
      <c r="B902" s="16">
        <v>31</v>
      </c>
      <c r="C902" s="8" t="s">
        <v>20</v>
      </c>
      <c r="D902" s="8" t="s">
        <v>37</v>
      </c>
      <c r="E902" s="8" t="s">
        <v>3548</v>
      </c>
      <c r="F902" s="17">
        <v>42081</v>
      </c>
      <c r="G902" s="8" t="s">
        <v>3549</v>
      </c>
      <c r="H902" s="8" t="s">
        <v>3550</v>
      </c>
      <c r="I902" s="8" t="s">
        <v>798</v>
      </c>
      <c r="J902" s="16" t="s">
        <v>3551</v>
      </c>
      <c r="K902" s="2" t="s">
        <v>3552</v>
      </c>
      <c r="L902" s="8" t="s">
        <v>3553</v>
      </c>
      <c r="M902" s="8" t="s">
        <v>27</v>
      </c>
      <c r="N902" s="8" t="s">
        <v>3554</v>
      </c>
      <c r="O902" s="8" t="s">
        <v>1018</v>
      </c>
      <c r="P902" s="8" t="s">
        <v>405</v>
      </c>
      <c r="Q902" s="12" t="s">
        <v>3555</v>
      </c>
      <c r="R902" s="8" t="s">
        <v>29</v>
      </c>
      <c r="S902" s="7" t="s">
        <v>28</v>
      </c>
      <c r="T902" s="6"/>
      <c r="U902" s="8"/>
    </row>
    <row r="903" spans="1:21" ht="13.5" customHeight="1">
      <c r="A903" s="8" t="s">
        <v>3539</v>
      </c>
      <c r="B903" s="16">
        <v>64</v>
      </c>
      <c r="C903" s="8" t="s">
        <v>20</v>
      </c>
      <c r="D903" s="8" t="s">
        <v>37</v>
      </c>
      <c r="E903" s="8" t="s">
        <v>20921</v>
      </c>
      <c r="F903" s="17">
        <v>42081</v>
      </c>
      <c r="G903" s="8" t="s">
        <v>3540</v>
      </c>
      <c r="H903" s="8" t="s">
        <v>3541</v>
      </c>
      <c r="I903" s="8" t="s">
        <v>62</v>
      </c>
      <c r="J903" s="16" t="s">
        <v>3542</v>
      </c>
      <c r="K903" s="2" t="s">
        <v>3543</v>
      </c>
      <c r="L903" s="8" t="s">
        <v>3544</v>
      </c>
      <c r="M903" s="8" t="s">
        <v>27</v>
      </c>
      <c r="N903" s="8" t="s">
        <v>3545</v>
      </c>
      <c r="O903" s="8" t="s">
        <v>404</v>
      </c>
      <c r="P903" s="8" t="s">
        <v>405</v>
      </c>
      <c r="Q903" s="12" t="s">
        <v>3546</v>
      </c>
      <c r="R903" s="8" t="s">
        <v>559</v>
      </c>
      <c r="S903" s="7" t="s">
        <v>28</v>
      </c>
      <c r="T903" s="6"/>
      <c r="U903" s="8"/>
    </row>
    <row r="904" spans="1:21" ht="13.5" customHeight="1">
      <c r="A904" s="8" t="s">
        <v>3532</v>
      </c>
      <c r="B904" s="16">
        <v>24</v>
      </c>
      <c r="C904" s="8" t="s">
        <v>20</v>
      </c>
      <c r="D904" s="8" t="s">
        <v>141</v>
      </c>
      <c r="F904" s="17">
        <v>42081</v>
      </c>
      <c r="G904" s="8" t="s">
        <v>3533</v>
      </c>
      <c r="H904" s="8" t="s">
        <v>3534</v>
      </c>
      <c r="I904" s="8" t="s">
        <v>124</v>
      </c>
      <c r="J904" s="16" t="s">
        <v>3535</v>
      </c>
      <c r="K904" s="2" t="s">
        <v>2190</v>
      </c>
      <c r="L904" s="8" t="s">
        <v>3536</v>
      </c>
      <c r="M904" s="8" t="s">
        <v>27</v>
      </c>
      <c r="N904" s="8" t="s">
        <v>3537</v>
      </c>
      <c r="O904" s="8" t="s">
        <v>1018</v>
      </c>
      <c r="P904" s="8" t="s">
        <v>405</v>
      </c>
      <c r="Q904" s="12" t="s">
        <v>3538</v>
      </c>
      <c r="R904" s="8" t="s">
        <v>29</v>
      </c>
      <c r="S904" s="7" t="s">
        <v>28</v>
      </c>
      <c r="T904" s="6"/>
      <c r="U904" s="8"/>
    </row>
    <row r="905" spans="1:21" ht="13.5" customHeight="1">
      <c r="A905" s="8" t="s">
        <v>3556</v>
      </c>
      <c r="B905" s="16">
        <v>49</v>
      </c>
      <c r="C905" s="8" t="s">
        <v>115</v>
      </c>
      <c r="D905" s="8" t="s">
        <v>37</v>
      </c>
      <c r="E905" s="8" t="s">
        <v>3557</v>
      </c>
      <c r="F905" s="17">
        <v>42081</v>
      </c>
      <c r="G905" s="8" t="s">
        <v>3558</v>
      </c>
      <c r="H905" s="8" t="s">
        <v>3559</v>
      </c>
      <c r="I905" s="8" t="s">
        <v>124</v>
      </c>
      <c r="J905" s="16" t="s">
        <v>3560</v>
      </c>
      <c r="K905" s="2" t="s">
        <v>639</v>
      </c>
      <c r="L905" s="8" t="s">
        <v>3363</v>
      </c>
      <c r="M905" s="8" t="s">
        <v>27</v>
      </c>
      <c r="N905" s="8" t="s">
        <v>3561</v>
      </c>
      <c r="O905" s="8" t="s">
        <v>404</v>
      </c>
      <c r="P905" s="8" t="s">
        <v>405</v>
      </c>
      <c r="Q905" s="12" t="s">
        <v>3562</v>
      </c>
      <c r="R905" s="8" t="s">
        <v>100</v>
      </c>
      <c r="S905" s="7" t="s">
        <v>28</v>
      </c>
      <c r="T905" s="6"/>
      <c r="U905" s="8"/>
    </row>
    <row r="906" spans="1:21" ht="13.5" customHeight="1">
      <c r="A906" s="8" t="s">
        <v>3608</v>
      </c>
      <c r="B906" s="16">
        <v>24</v>
      </c>
      <c r="C906" s="8" t="s">
        <v>115</v>
      </c>
      <c r="D906" s="8" t="s">
        <v>37</v>
      </c>
      <c r="E906" s="8" t="s">
        <v>3609</v>
      </c>
      <c r="F906" s="17">
        <v>42080</v>
      </c>
      <c r="G906" s="8" t="s">
        <v>3610</v>
      </c>
      <c r="H906" s="8" t="s">
        <v>953</v>
      </c>
      <c r="I906" s="8" t="s">
        <v>45</v>
      </c>
      <c r="J906" s="16" t="s">
        <v>3611</v>
      </c>
      <c r="K906" s="2" t="s">
        <v>953</v>
      </c>
      <c r="L906" s="8" t="s">
        <v>954</v>
      </c>
      <c r="M906" s="8" t="s">
        <v>27</v>
      </c>
      <c r="N906" s="8" t="s">
        <v>3612</v>
      </c>
      <c r="O906" s="8" t="s">
        <v>1018</v>
      </c>
      <c r="P906" s="8" t="s">
        <v>405</v>
      </c>
      <c r="Q906" s="12" t="s">
        <v>3613</v>
      </c>
      <c r="R906" s="8" t="s">
        <v>29</v>
      </c>
      <c r="S906" s="7" t="s">
        <v>383</v>
      </c>
      <c r="T906" s="6"/>
      <c r="U906" s="8"/>
    </row>
    <row r="907" spans="1:21" ht="13.5" customHeight="1">
      <c r="A907" s="8" t="s">
        <v>3595</v>
      </c>
      <c r="B907" s="16">
        <v>49</v>
      </c>
      <c r="C907" s="8" t="s">
        <v>20</v>
      </c>
      <c r="D907" s="8" t="s">
        <v>37</v>
      </c>
      <c r="F907" s="17">
        <v>42080</v>
      </c>
      <c r="G907" s="8" t="s">
        <v>3596</v>
      </c>
      <c r="H907" s="8" t="s">
        <v>2037</v>
      </c>
      <c r="I907" s="8" t="s">
        <v>118</v>
      </c>
      <c r="J907" s="16" t="s">
        <v>3597</v>
      </c>
      <c r="K907" s="2" t="s">
        <v>437</v>
      </c>
      <c r="L907" s="8" t="s">
        <v>2039</v>
      </c>
      <c r="M907" s="8" t="s">
        <v>27</v>
      </c>
      <c r="N907" s="8" t="s">
        <v>3598</v>
      </c>
      <c r="O907" s="8" t="s">
        <v>1018</v>
      </c>
      <c r="P907" s="8" t="s">
        <v>405</v>
      </c>
      <c r="Q907" s="12" t="s">
        <v>3599</v>
      </c>
      <c r="R907" s="8" t="s">
        <v>29</v>
      </c>
      <c r="S907" s="7" t="s">
        <v>28</v>
      </c>
      <c r="T907" s="6"/>
      <c r="U907" s="8"/>
    </row>
    <row r="908" spans="1:21" ht="13.5" customHeight="1">
      <c r="A908" s="8" t="s">
        <v>3563</v>
      </c>
      <c r="B908" s="16">
        <v>35</v>
      </c>
      <c r="C908" s="8" t="s">
        <v>20</v>
      </c>
      <c r="D908" s="8" t="s">
        <v>85</v>
      </c>
      <c r="E908" s="8" t="s">
        <v>3564</v>
      </c>
      <c r="F908" s="17">
        <v>42080</v>
      </c>
      <c r="G908" s="8" t="s">
        <v>3565</v>
      </c>
      <c r="H908" s="8" t="s">
        <v>3566</v>
      </c>
      <c r="I908" s="8" t="s">
        <v>175</v>
      </c>
      <c r="J908" s="16" t="s">
        <v>3567</v>
      </c>
      <c r="K908" s="2" t="s">
        <v>3568</v>
      </c>
      <c r="L908" s="8" t="s">
        <v>3569</v>
      </c>
      <c r="M908" s="8" t="s">
        <v>1706</v>
      </c>
      <c r="N908" s="8" t="s">
        <v>3570</v>
      </c>
      <c r="O908" s="8" t="s">
        <v>404</v>
      </c>
      <c r="P908" s="8" t="s">
        <v>405</v>
      </c>
      <c r="Q908" s="12" t="s">
        <v>3571</v>
      </c>
      <c r="R908" s="8" t="s">
        <v>972</v>
      </c>
      <c r="S908" s="7" t="s">
        <v>18</v>
      </c>
      <c r="T908" s="6"/>
      <c r="U908" s="8"/>
    </row>
    <row r="909" spans="1:21" ht="13.5" customHeight="1">
      <c r="A909" s="8" t="s">
        <v>3579</v>
      </c>
      <c r="B909" s="16">
        <v>47</v>
      </c>
      <c r="C909" s="8" t="s">
        <v>20</v>
      </c>
      <c r="D909" s="8" t="s">
        <v>30</v>
      </c>
      <c r="F909" s="17">
        <v>42080</v>
      </c>
      <c r="G909" s="8" t="s">
        <v>3580</v>
      </c>
      <c r="H909" s="8" t="s">
        <v>3581</v>
      </c>
      <c r="I909" s="8" t="s">
        <v>25</v>
      </c>
      <c r="J909" s="16" t="s">
        <v>3582</v>
      </c>
      <c r="K909" s="2" t="s">
        <v>2179</v>
      </c>
      <c r="L909" s="8" t="s">
        <v>3583</v>
      </c>
      <c r="M909" s="8" t="s">
        <v>383</v>
      </c>
      <c r="N909" s="8" t="s">
        <v>3584</v>
      </c>
      <c r="O909" s="8" t="s">
        <v>404</v>
      </c>
      <c r="P909" s="8" t="s">
        <v>405</v>
      </c>
      <c r="Q909" s="12" t="s">
        <v>3585</v>
      </c>
      <c r="R909" s="8" t="s">
        <v>29</v>
      </c>
      <c r="S909" s="7" t="s">
        <v>18</v>
      </c>
      <c r="T909" s="6"/>
      <c r="U909" s="8"/>
    </row>
    <row r="910" spans="1:21" ht="13.5" customHeight="1">
      <c r="A910" s="8" t="s">
        <v>3586</v>
      </c>
      <c r="B910" s="16">
        <v>24</v>
      </c>
      <c r="C910" s="8" t="s">
        <v>20</v>
      </c>
      <c r="D910" s="8" t="s">
        <v>37</v>
      </c>
      <c r="E910" s="8" t="s">
        <v>3587</v>
      </c>
      <c r="F910" s="17">
        <v>42080</v>
      </c>
      <c r="G910" s="8" t="s">
        <v>3588</v>
      </c>
      <c r="H910" s="8" t="s">
        <v>3589</v>
      </c>
      <c r="I910" s="8" t="s">
        <v>370</v>
      </c>
      <c r="J910" s="16" t="s">
        <v>3590</v>
      </c>
      <c r="K910" s="2" t="s">
        <v>3591</v>
      </c>
      <c r="L910" s="8" t="s">
        <v>3592</v>
      </c>
      <c r="M910" s="8" t="s">
        <v>27</v>
      </c>
      <c r="N910" s="8" t="s">
        <v>3593</v>
      </c>
      <c r="O910" s="8" t="s">
        <v>404</v>
      </c>
      <c r="P910" s="8" t="s">
        <v>405</v>
      </c>
      <c r="Q910" s="12" t="s">
        <v>3594</v>
      </c>
      <c r="R910" s="8" t="s">
        <v>559</v>
      </c>
      <c r="S910" s="7" t="s">
        <v>28</v>
      </c>
      <c r="T910" s="6"/>
      <c r="U910" s="8"/>
    </row>
    <row r="911" spans="1:21" ht="13.5" customHeight="1">
      <c r="A911" s="8" t="s">
        <v>3600</v>
      </c>
      <c r="B911" s="16">
        <v>20</v>
      </c>
      <c r="C911" s="8" t="s">
        <v>20</v>
      </c>
      <c r="D911" s="8" t="s">
        <v>37</v>
      </c>
      <c r="E911" s="8" t="s">
        <v>3601</v>
      </c>
      <c r="F911" s="17">
        <v>42080</v>
      </c>
      <c r="G911" s="8" t="s">
        <v>3602</v>
      </c>
      <c r="H911" s="8" t="s">
        <v>3603</v>
      </c>
      <c r="I911" s="8" t="s">
        <v>73</v>
      </c>
      <c r="J911" s="16" t="s">
        <v>3604</v>
      </c>
      <c r="K911" s="2" t="s">
        <v>1881</v>
      </c>
      <c r="L911" s="8" t="s">
        <v>3605</v>
      </c>
      <c r="M911" s="8" t="s">
        <v>27</v>
      </c>
      <c r="N911" s="8" t="s">
        <v>3606</v>
      </c>
      <c r="O911" s="8" t="s">
        <v>1018</v>
      </c>
      <c r="P911" s="8" t="s">
        <v>405</v>
      </c>
      <c r="Q911" s="12" t="s">
        <v>3607</v>
      </c>
      <c r="R911" s="8" t="s">
        <v>29</v>
      </c>
      <c r="S911" s="7" t="s">
        <v>28</v>
      </c>
      <c r="T911" s="6"/>
      <c r="U911" s="8"/>
    </row>
    <row r="912" spans="1:21" ht="13.5" customHeight="1">
      <c r="A912" s="8" t="s">
        <v>3572</v>
      </c>
      <c r="B912" s="16">
        <v>22</v>
      </c>
      <c r="C912" s="8" t="s">
        <v>20</v>
      </c>
      <c r="D912" s="8" t="s">
        <v>48</v>
      </c>
      <c r="E912" s="8" t="s">
        <v>3573</v>
      </c>
      <c r="F912" s="17">
        <v>42080</v>
      </c>
      <c r="G912" s="8" t="s">
        <v>3574</v>
      </c>
      <c r="H912" s="8" t="s">
        <v>1658</v>
      </c>
      <c r="I912" s="8" t="s">
        <v>45</v>
      </c>
      <c r="J912" s="16" t="s">
        <v>3575</v>
      </c>
      <c r="K912" s="2" t="s">
        <v>1658</v>
      </c>
      <c r="L912" s="8" t="s">
        <v>3576</v>
      </c>
      <c r="M912" s="8" t="s">
        <v>27</v>
      </c>
      <c r="N912" s="8" t="s">
        <v>3577</v>
      </c>
      <c r="O912" s="8" t="s">
        <v>1018</v>
      </c>
      <c r="P912" s="8" t="s">
        <v>405</v>
      </c>
      <c r="Q912" s="12" t="s">
        <v>3578</v>
      </c>
      <c r="R912" s="8" t="s">
        <v>29</v>
      </c>
      <c r="S912" s="7" t="s">
        <v>28</v>
      </c>
      <c r="T912" s="6"/>
      <c r="U912" s="8"/>
    </row>
    <row r="913" spans="1:34" ht="13.5" customHeight="1">
      <c r="A913" s="8" t="s">
        <v>3634</v>
      </c>
      <c r="B913" s="16">
        <v>28</v>
      </c>
      <c r="C913" s="8" t="s">
        <v>20</v>
      </c>
      <c r="D913" s="8" t="s">
        <v>37</v>
      </c>
      <c r="E913" s="8" t="s">
        <v>3635</v>
      </c>
      <c r="F913" s="17">
        <v>42079</v>
      </c>
      <c r="G913" s="8" t="s">
        <v>3636</v>
      </c>
      <c r="H913" s="8" t="s">
        <v>3637</v>
      </c>
      <c r="I913" s="8" t="s">
        <v>135</v>
      </c>
      <c r="J913" s="16" t="s">
        <v>3638</v>
      </c>
      <c r="K913" s="2" t="s">
        <v>3639</v>
      </c>
      <c r="L913" s="8" t="s">
        <v>4976</v>
      </c>
      <c r="M913" s="8" t="s">
        <v>27</v>
      </c>
      <c r="N913" s="8" t="s">
        <v>3640</v>
      </c>
      <c r="O913" s="8" t="s">
        <v>1018</v>
      </c>
      <c r="P913" s="8" t="s">
        <v>405</v>
      </c>
      <c r="Q913" s="12" t="s">
        <v>3641</v>
      </c>
      <c r="R913" s="8" t="s">
        <v>559</v>
      </c>
      <c r="S913" s="7" t="s">
        <v>28</v>
      </c>
      <c r="T913" s="6"/>
      <c r="U913" s="8"/>
    </row>
    <row r="914" spans="1:34" ht="13.5" customHeight="1">
      <c r="A914" s="8" t="s">
        <v>3614</v>
      </c>
      <c r="B914" s="16">
        <v>61</v>
      </c>
      <c r="C914" s="8" t="s">
        <v>20</v>
      </c>
      <c r="D914" s="8" t="s">
        <v>48</v>
      </c>
      <c r="F914" s="17">
        <v>42079</v>
      </c>
      <c r="G914" s="8" t="s">
        <v>3615</v>
      </c>
      <c r="H914" s="8" t="s">
        <v>3616</v>
      </c>
      <c r="I914" s="8" t="s">
        <v>62</v>
      </c>
      <c r="J914" s="16" t="s">
        <v>3617</v>
      </c>
      <c r="K914" s="2" t="s">
        <v>3618</v>
      </c>
      <c r="L914" s="8" t="s">
        <v>3619</v>
      </c>
      <c r="M914" s="8" t="s">
        <v>383</v>
      </c>
      <c r="N914" s="8" t="s">
        <v>3620</v>
      </c>
      <c r="O914" s="8" t="s">
        <v>1018</v>
      </c>
      <c r="P914" s="8" t="s">
        <v>405</v>
      </c>
      <c r="Q914" s="12" t="s">
        <v>3621</v>
      </c>
      <c r="R914" s="8" t="s">
        <v>100</v>
      </c>
      <c r="S914" s="7" t="s">
        <v>28</v>
      </c>
      <c r="T914" s="6"/>
      <c r="U914" s="8"/>
    </row>
    <row r="915" spans="1:34" ht="13.5" customHeight="1">
      <c r="A915" s="8" t="s">
        <v>3622</v>
      </c>
      <c r="B915" s="16">
        <v>38</v>
      </c>
      <c r="C915" s="8" t="s">
        <v>20</v>
      </c>
      <c r="D915" s="8" t="s">
        <v>950</v>
      </c>
      <c r="E915" s="8" t="s">
        <v>3623</v>
      </c>
      <c r="F915" s="17">
        <v>42079</v>
      </c>
      <c r="G915" s="8" t="s">
        <v>3624</v>
      </c>
      <c r="H915" s="8" t="s">
        <v>2388</v>
      </c>
      <c r="I915" s="8" t="s">
        <v>878</v>
      </c>
      <c r="J915" s="16" t="s">
        <v>3625</v>
      </c>
      <c r="K915" s="2" t="s">
        <v>2388</v>
      </c>
      <c r="L915" s="8" t="s">
        <v>3626</v>
      </c>
      <c r="M915" s="8" t="s">
        <v>3407</v>
      </c>
      <c r="N915" s="8" t="s">
        <v>3627</v>
      </c>
      <c r="O915" s="8" t="s">
        <v>404</v>
      </c>
      <c r="P915" s="8" t="s">
        <v>405</v>
      </c>
      <c r="Q915" s="12" t="s">
        <v>3628</v>
      </c>
      <c r="R915" s="8" t="s">
        <v>972</v>
      </c>
      <c r="S915" s="7" t="s">
        <v>18</v>
      </c>
      <c r="T915" s="6"/>
      <c r="U915" s="8"/>
    </row>
    <row r="916" spans="1:34" ht="13.5" customHeight="1">
      <c r="A916" s="8" t="s">
        <v>3629</v>
      </c>
      <c r="B916" s="16">
        <v>52</v>
      </c>
      <c r="C916" s="8" t="s">
        <v>20</v>
      </c>
      <c r="D916" s="8" t="s">
        <v>37</v>
      </c>
      <c r="F916" s="17">
        <v>42079</v>
      </c>
      <c r="G916" s="8" t="s">
        <v>3630</v>
      </c>
      <c r="H916" s="8" t="s">
        <v>843</v>
      </c>
      <c r="I916" s="8" t="s">
        <v>370</v>
      </c>
      <c r="J916" s="16" t="s">
        <v>3631</v>
      </c>
      <c r="K916" s="2" t="s">
        <v>843</v>
      </c>
      <c r="L916" s="8" t="s">
        <v>844</v>
      </c>
      <c r="M916" s="8" t="s">
        <v>27</v>
      </c>
      <c r="N916" s="8" t="s">
        <v>3632</v>
      </c>
      <c r="O916" s="8" t="s">
        <v>404</v>
      </c>
      <c r="P916" s="8" t="s">
        <v>405</v>
      </c>
      <c r="Q916" s="12" t="s">
        <v>3633</v>
      </c>
      <c r="R916" s="8" t="s">
        <v>29</v>
      </c>
      <c r="S916" s="7" t="s">
        <v>35</v>
      </c>
      <c r="T916" s="6"/>
      <c r="U916" s="8"/>
    </row>
    <row r="917" spans="1:34" ht="13.5" customHeight="1">
      <c r="A917" s="8" t="s">
        <v>3650</v>
      </c>
      <c r="B917" s="16">
        <v>36</v>
      </c>
      <c r="C917" s="8" t="s">
        <v>20</v>
      </c>
      <c r="D917" s="8" t="s">
        <v>37</v>
      </c>
      <c r="E917" s="8" t="s">
        <v>3651</v>
      </c>
      <c r="F917" s="17">
        <v>42078</v>
      </c>
      <c r="G917" s="8" t="s">
        <v>3652</v>
      </c>
      <c r="H917" s="8" t="s">
        <v>3653</v>
      </c>
      <c r="I917" s="8" t="s">
        <v>675</v>
      </c>
      <c r="J917" s="16" t="s">
        <v>3654</v>
      </c>
      <c r="K917" s="2" t="s">
        <v>2339</v>
      </c>
      <c r="L917" s="8" t="s">
        <v>3260</v>
      </c>
      <c r="M917" s="8" t="s">
        <v>27</v>
      </c>
      <c r="N917" s="8" t="s">
        <v>3655</v>
      </c>
      <c r="O917" s="8" t="s">
        <v>1018</v>
      </c>
      <c r="P917" s="8" t="s">
        <v>1171</v>
      </c>
      <c r="Q917" s="12" t="s">
        <v>3656</v>
      </c>
      <c r="R917" s="8" t="s">
        <v>29</v>
      </c>
      <c r="S917" s="7" t="s">
        <v>28</v>
      </c>
      <c r="T917" s="6"/>
      <c r="U917" s="8"/>
    </row>
    <row r="918" spans="1:34" ht="13.5" customHeight="1">
      <c r="A918" s="8" t="s">
        <v>3642</v>
      </c>
      <c r="B918" s="16">
        <v>41</v>
      </c>
      <c r="C918" s="8" t="s">
        <v>20</v>
      </c>
      <c r="D918" s="8" t="s">
        <v>30</v>
      </c>
      <c r="F918" s="17">
        <v>42078</v>
      </c>
      <c r="G918" s="8" t="s">
        <v>3643</v>
      </c>
      <c r="H918" s="8" t="s">
        <v>3644</v>
      </c>
      <c r="I918" s="8" t="s">
        <v>41</v>
      </c>
      <c r="J918" s="16" t="s">
        <v>3645</v>
      </c>
      <c r="K918" s="2" t="s">
        <v>3646</v>
      </c>
      <c r="L918" s="8" t="s">
        <v>3647</v>
      </c>
      <c r="M918" s="8" t="s">
        <v>1706</v>
      </c>
      <c r="N918" s="8" t="s">
        <v>3648</v>
      </c>
      <c r="O918" s="8" t="s">
        <v>404</v>
      </c>
      <c r="P918" s="8" t="s">
        <v>405</v>
      </c>
      <c r="Q918" s="12" t="s">
        <v>3649</v>
      </c>
      <c r="R918" s="8" t="s">
        <v>559</v>
      </c>
      <c r="S918" s="7" t="s">
        <v>18</v>
      </c>
      <c r="T918" s="6"/>
      <c r="U918" s="8"/>
    </row>
    <row r="919" spans="1:34" ht="13.5" customHeight="1">
      <c r="A919" s="8" t="s">
        <v>3663</v>
      </c>
      <c r="B919" s="16">
        <v>26</v>
      </c>
      <c r="C919" s="8" t="s">
        <v>20</v>
      </c>
      <c r="D919" s="8" t="s">
        <v>37</v>
      </c>
      <c r="E919" s="8" t="s">
        <v>3664</v>
      </c>
      <c r="F919" s="17">
        <v>42077</v>
      </c>
      <c r="G919" s="8" t="s">
        <v>3665</v>
      </c>
      <c r="H919" s="8" t="s">
        <v>3666</v>
      </c>
      <c r="I919" s="8" t="s">
        <v>442</v>
      </c>
      <c r="J919" s="16" t="s">
        <v>3667</v>
      </c>
      <c r="K919" s="2" t="s">
        <v>3666</v>
      </c>
      <c r="L919" s="8" t="s">
        <v>3668</v>
      </c>
      <c r="M919" s="8" t="s">
        <v>27</v>
      </c>
      <c r="N919" s="8" t="s">
        <v>3669</v>
      </c>
      <c r="O919" s="8" t="s">
        <v>1018</v>
      </c>
      <c r="P919" s="8" t="s">
        <v>405</v>
      </c>
      <c r="Q919" s="12" t="s">
        <v>3670</v>
      </c>
      <c r="R919" s="8" t="s">
        <v>29</v>
      </c>
      <c r="S919" s="7" t="s">
        <v>28</v>
      </c>
      <c r="T919" s="6"/>
      <c r="U919" s="8"/>
    </row>
    <row r="920" spans="1:34" ht="13.5" customHeight="1">
      <c r="A920" s="8" t="s">
        <v>3657</v>
      </c>
      <c r="B920" s="16">
        <v>29</v>
      </c>
      <c r="C920" s="8" t="s">
        <v>20</v>
      </c>
      <c r="D920" s="8" t="s">
        <v>48</v>
      </c>
      <c r="E920" s="8" t="s">
        <v>3658</v>
      </c>
      <c r="F920" s="17">
        <v>42077</v>
      </c>
      <c r="G920" s="8" t="s">
        <v>3659</v>
      </c>
      <c r="H920" s="8" t="s">
        <v>579</v>
      </c>
      <c r="I920" s="8" t="s">
        <v>73</v>
      </c>
      <c r="J920" s="16" t="s">
        <v>3660</v>
      </c>
      <c r="K920" s="2" t="s">
        <v>580</v>
      </c>
      <c r="L920" s="8" t="s">
        <v>581</v>
      </c>
      <c r="M920" s="8" t="s">
        <v>27</v>
      </c>
      <c r="N920" s="8" t="s">
        <v>3661</v>
      </c>
      <c r="O920" s="8" t="s">
        <v>1018</v>
      </c>
      <c r="P920" s="8" t="s">
        <v>405</v>
      </c>
      <c r="Q920" s="12" t="s">
        <v>3662</v>
      </c>
      <c r="R920" s="8" t="s">
        <v>29</v>
      </c>
      <c r="S920" s="7" t="s">
        <v>28</v>
      </c>
      <c r="T920" s="6"/>
      <c r="U920" s="8"/>
    </row>
    <row r="921" spans="1:34" ht="13.5" customHeight="1">
      <c r="A921" s="8" t="s">
        <v>3685</v>
      </c>
      <c r="B921" s="16" t="s">
        <v>29</v>
      </c>
      <c r="C921" s="8" t="s">
        <v>20</v>
      </c>
      <c r="D921" s="8" t="s">
        <v>30</v>
      </c>
      <c r="F921" s="17">
        <v>42076</v>
      </c>
      <c r="G921" s="8" t="s">
        <v>3686</v>
      </c>
      <c r="H921" s="8" t="s">
        <v>419</v>
      </c>
      <c r="I921" s="8" t="s">
        <v>45</v>
      </c>
      <c r="J921" s="16" t="s">
        <v>3687</v>
      </c>
      <c r="K921" s="2" t="s">
        <v>313</v>
      </c>
      <c r="L921" s="8" t="s">
        <v>420</v>
      </c>
      <c r="M921" s="8" t="s">
        <v>27</v>
      </c>
      <c r="N921" s="8" t="s">
        <v>3688</v>
      </c>
      <c r="O921" s="8" t="s">
        <v>1018</v>
      </c>
      <c r="P921" s="8" t="s">
        <v>405</v>
      </c>
      <c r="Q921" s="12" t="s">
        <v>3689</v>
      </c>
      <c r="R921" s="8" t="s">
        <v>559</v>
      </c>
      <c r="S921" s="7" t="s">
        <v>28</v>
      </c>
      <c r="T921" s="6"/>
      <c r="U921" s="8"/>
    </row>
    <row r="922" spans="1:34" ht="13.5" customHeight="1">
      <c r="A922" s="8" t="s">
        <v>3695</v>
      </c>
      <c r="B922" s="16">
        <v>53</v>
      </c>
      <c r="C922" s="8" t="s">
        <v>20</v>
      </c>
      <c r="D922" s="8" t="s">
        <v>37</v>
      </c>
      <c r="E922" s="8" t="s">
        <v>3696</v>
      </c>
      <c r="F922" s="17">
        <v>42076</v>
      </c>
      <c r="G922" s="8" t="s">
        <v>3697</v>
      </c>
      <c r="H922" s="8" t="s">
        <v>3698</v>
      </c>
      <c r="I922" s="8" t="s">
        <v>152</v>
      </c>
      <c r="J922" s="16" t="s">
        <v>3699</v>
      </c>
      <c r="K922" s="2" t="s">
        <v>3700</v>
      </c>
      <c r="L922" s="8" t="s">
        <v>17722</v>
      </c>
      <c r="M922" s="8" t="s">
        <v>27</v>
      </c>
      <c r="N922" s="8" t="s">
        <v>3701</v>
      </c>
      <c r="O922" s="8" t="s">
        <v>1018</v>
      </c>
      <c r="P922" s="8" t="s">
        <v>405</v>
      </c>
      <c r="Q922" s="12" t="s">
        <v>3702</v>
      </c>
      <c r="R922" s="8" t="s">
        <v>559</v>
      </c>
      <c r="S922" s="7" t="s">
        <v>28</v>
      </c>
      <c r="T922" s="6"/>
      <c r="U922" s="8"/>
    </row>
    <row r="923" spans="1:34" ht="13.5" customHeight="1">
      <c r="A923" s="8" t="s">
        <v>3690</v>
      </c>
      <c r="B923" s="16">
        <v>59</v>
      </c>
      <c r="C923" s="8" t="s">
        <v>20</v>
      </c>
      <c r="D923" s="8" t="s">
        <v>37</v>
      </c>
      <c r="F923" s="17">
        <v>42076</v>
      </c>
      <c r="G923" s="8" t="s">
        <v>3691</v>
      </c>
      <c r="H923" s="8" t="s">
        <v>434</v>
      </c>
      <c r="I923" s="8" t="s">
        <v>435</v>
      </c>
      <c r="J923" s="16" t="s">
        <v>3692</v>
      </c>
      <c r="K923" s="2" t="s">
        <v>437</v>
      </c>
      <c r="L923" s="8" t="s">
        <v>5704</v>
      </c>
      <c r="M923" s="8" t="s">
        <v>27</v>
      </c>
      <c r="N923" s="8" t="s">
        <v>3693</v>
      </c>
      <c r="O923" s="8" t="s">
        <v>404</v>
      </c>
      <c r="P923" s="8" t="s">
        <v>405</v>
      </c>
      <c r="Q923" s="12" t="s">
        <v>3694</v>
      </c>
      <c r="R923" s="8" t="s">
        <v>29</v>
      </c>
      <c r="S923" s="7" t="s">
        <v>28</v>
      </c>
      <c r="T923" s="6"/>
      <c r="U923" s="8"/>
    </row>
    <row r="924" spans="1:34" ht="13.5" customHeight="1">
      <c r="A924" s="8" t="s">
        <v>3677</v>
      </c>
      <c r="B924" s="16">
        <v>41</v>
      </c>
      <c r="C924" s="8" t="s">
        <v>20</v>
      </c>
      <c r="D924" s="8" t="s">
        <v>48</v>
      </c>
      <c r="E924" s="8" t="s">
        <v>3678</v>
      </c>
      <c r="F924" s="17">
        <v>42076</v>
      </c>
      <c r="G924" s="8" t="s">
        <v>3679</v>
      </c>
      <c r="H924" s="8" t="s">
        <v>3680</v>
      </c>
      <c r="I924" s="8" t="s">
        <v>45</v>
      </c>
      <c r="J924" s="16" t="s">
        <v>3681</v>
      </c>
      <c r="K924" s="2" t="s">
        <v>3680</v>
      </c>
      <c r="L924" s="8" t="s">
        <v>3682</v>
      </c>
      <c r="M924" s="8" t="s">
        <v>27</v>
      </c>
      <c r="N924" s="8" t="s">
        <v>3683</v>
      </c>
      <c r="O924" s="8" t="s">
        <v>1018</v>
      </c>
      <c r="P924" s="8" t="s">
        <v>405</v>
      </c>
      <c r="Q924" s="12" t="s">
        <v>3684</v>
      </c>
      <c r="R924" s="8" t="s">
        <v>29</v>
      </c>
      <c r="S924" s="7" t="s">
        <v>28</v>
      </c>
      <c r="T924" s="6"/>
      <c r="U924" s="8"/>
    </row>
    <row r="925" spans="1:34" ht="13.5" customHeight="1">
      <c r="A925" s="8" t="s">
        <v>3671</v>
      </c>
      <c r="B925" s="16">
        <v>23</v>
      </c>
      <c r="C925" s="8" t="s">
        <v>20</v>
      </c>
      <c r="D925" s="8" t="s">
        <v>48</v>
      </c>
      <c r="E925" s="8" t="s">
        <v>3672</v>
      </c>
      <c r="F925" s="17">
        <v>42076</v>
      </c>
      <c r="G925" s="8" t="s">
        <v>3673</v>
      </c>
      <c r="H925" s="8" t="s">
        <v>2905</v>
      </c>
      <c r="I925" s="8" t="s">
        <v>45</v>
      </c>
      <c r="J925" s="16" t="s">
        <v>3674</v>
      </c>
      <c r="K925" s="2" t="s">
        <v>98</v>
      </c>
      <c r="L925" s="8" t="s">
        <v>99</v>
      </c>
      <c r="M925" s="8" t="s">
        <v>27</v>
      </c>
      <c r="N925" s="8" t="s">
        <v>3675</v>
      </c>
      <c r="O925" s="8" t="s">
        <v>404</v>
      </c>
      <c r="P925" s="8" t="s">
        <v>405</v>
      </c>
      <c r="Q925" s="12" t="s">
        <v>3676</v>
      </c>
      <c r="R925" s="8" t="s">
        <v>972</v>
      </c>
      <c r="S925" s="7" t="s">
        <v>18</v>
      </c>
      <c r="T925" s="6"/>
      <c r="U925" s="8"/>
    </row>
    <row r="926" spans="1:34" ht="13.5" customHeight="1">
      <c r="A926" s="8" t="s">
        <v>3715</v>
      </c>
      <c r="C926" s="8" t="s">
        <v>20</v>
      </c>
      <c r="D926" s="8" t="s">
        <v>48</v>
      </c>
      <c r="E926" s="8" t="s">
        <v>3716</v>
      </c>
      <c r="F926" s="17">
        <v>42075</v>
      </c>
      <c r="G926" s="8" t="s">
        <v>3717</v>
      </c>
      <c r="H926" s="8" t="s">
        <v>98</v>
      </c>
      <c r="I926" s="8" t="s">
        <v>45</v>
      </c>
      <c r="J926" s="16" t="s">
        <v>3718</v>
      </c>
      <c r="K926" s="2" t="s">
        <v>98</v>
      </c>
      <c r="L926" s="8" t="s">
        <v>5043</v>
      </c>
      <c r="M926" s="8" t="s">
        <v>27</v>
      </c>
      <c r="N926" s="8" t="s">
        <v>3719</v>
      </c>
      <c r="O926" s="8" t="s">
        <v>1018</v>
      </c>
      <c r="P926" s="8" t="s">
        <v>405</v>
      </c>
      <c r="Q926" s="12" t="s">
        <v>3720</v>
      </c>
      <c r="R926" s="8" t="s">
        <v>29</v>
      </c>
      <c r="S926" s="7" t="s">
        <v>18</v>
      </c>
      <c r="T926" s="6"/>
      <c r="U926" s="8"/>
    </row>
    <row r="927" spans="1:34" ht="13.5" customHeight="1">
      <c r="A927" s="8" t="s">
        <v>3707</v>
      </c>
      <c r="B927" s="16">
        <v>35</v>
      </c>
      <c r="C927" s="8" t="s">
        <v>20</v>
      </c>
      <c r="D927" s="8" t="s">
        <v>85</v>
      </c>
      <c r="F927" s="17">
        <v>42075</v>
      </c>
      <c r="G927" s="8" t="s">
        <v>3708</v>
      </c>
      <c r="H927" s="8" t="s">
        <v>119</v>
      </c>
      <c r="I927" s="8" t="s">
        <v>3709</v>
      </c>
      <c r="J927" s="16" t="s">
        <v>3710</v>
      </c>
      <c r="K927" s="2" t="s">
        <v>3711</v>
      </c>
      <c r="L927" s="8" t="s">
        <v>3712</v>
      </c>
      <c r="M927" s="8" t="s">
        <v>27</v>
      </c>
      <c r="N927" s="8" t="s">
        <v>3713</v>
      </c>
      <c r="O927" s="8" t="s">
        <v>404</v>
      </c>
      <c r="P927" s="8" t="s">
        <v>405</v>
      </c>
      <c r="Q927" s="12" t="s">
        <v>3714</v>
      </c>
      <c r="R927" s="8" t="s">
        <v>559</v>
      </c>
      <c r="S927" s="7" t="s">
        <v>18</v>
      </c>
      <c r="T927" s="6"/>
      <c r="U927" s="8"/>
    </row>
    <row r="928" spans="1:34" ht="13.5" customHeight="1">
      <c r="A928" s="8" t="s">
        <v>3703</v>
      </c>
      <c r="B928" s="16">
        <v>42</v>
      </c>
      <c r="C928" s="8" t="s">
        <v>20</v>
      </c>
      <c r="D928" s="8" t="s">
        <v>85</v>
      </c>
      <c r="E928" s="8" t="s">
        <v>3704</v>
      </c>
      <c r="F928" s="17">
        <v>42075</v>
      </c>
      <c r="G928" s="8" t="s">
        <v>3705</v>
      </c>
      <c r="H928" s="8" t="s">
        <v>851</v>
      </c>
      <c r="I928" s="8" t="s">
        <v>73</v>
      </c>
      <c r="J928" s="16">
        <v>76010</v>
      </c>
      <c r="K928" s="2" t="s">
        <v>74</v>
      </c>
      <c r="L928" s="8" t="s">
        <v>852</v>
      </c>
      <c r="M928" s="8" t="s">
        <v>2312</v>
      </c>
      <c r="N928" s="8" t="s">
        <v>3706</v>
      </c>
      <c r="P928" s="8" t="s">
        <v>405</v>
      </c>
      <c r="Q928" s="12" t="str">
        <f>HYPERLINK("http://crimeblog.dallasnews.com/2015/03/man-in-arlington-police-custody-hospitazlied.html/","http://crimeblog.dallasnews.com/2015/03/man-in-arlington-police-custody-hospitazlied.html/")</f>
        <v>http://crimeblog.dallasnews.com/2015/03/man-in-arlington-police-custody-hospitazlied.html/</v>
      </c>
      <c r="S928" s="7" t="s">
        <v>28</v>
      </c>
      <c r="T928" s="6"/>
      <c r="U928" s="8"/>
      <c r="Y928" s="8"/>
      <c r="Z928" s="8"/>
      <c r="AA928" s="8"/>
      <c r="AB928" s="8"/>
      <c r="AC928" s="8"/>
      <c r="AD928" s="8"/>
      <c r="AE928" s="8"/>
      <c r="AF928" s="8"/>
      <c r="AG928" s="8"/>
      <c r="AH928" s="8"/>
    </row>
    <row r="929" spans="1:39" ht="13.5" customHeight="1">
      <c r="A929" s="8" t="s">
        <v>3741</v>
      </c>
      <c r="B929" s="16">
        <v>25</v>
      </c>
      <c r="C929" s="8" t="s">
        <v>20</v>
      </c>
      <c r="D929" s="8" t="s">
        <v>48</v>
      </c>
      <c r="F929" s="17">
        <v>42074</v>
      </c>
      <c r="G929" s="8" t="s">
        <v>3742</v>
      </c>
      <c r="H929" s="8" t="s">
        <v>3743</v>
      </c>
      <c r="I929" s="8" t="s">
        <v>45</v>
      </c>
      <c r="J929" s="16" t="s">
        <v>3744</v>
      </c>
      <c r="K929" s="2" t="s">
        <v>98</v>
      </c>
      <c r="L929" s="8" t="s">
        <v>3745</v>
      </c>
      <c r="M929" s="8" t="s">
        <v>27</v>
      </c>
      <c r="N929" s="8" t="s">
        <v>3746</v>
      </c>
      <c r="O929" s="8" t="s">
        <v>1018</v>
      </c>
      <c r="P929" s="8" t="s">
        <v>405</v>
      </c>
      <c r="Q929" s="12" t="s">
        <v>3747</v>
      </c>
      <c r="R929" s="8" t="s">
        <v>29</v>
      </c>
      <c r="S929" s="7" t="s">
        <v>28</v>
      </c>
      <c r="T929" s="6"/>
      <c r="U929" s="8"/>
    </row>
    <row r="930" spans="1:39" ht="13.5" customHeight="1">
      <c r="A930" s="8" t="s">
        <v>3733</v>
      </c>
      <c r="B930" s="16">
        <v>39</v>
      </c>
      <c r="C930" s="8" t="s">
        <v>20</v>
      </c>
      <c r="D930" s="8" t="s">
        <v>48</v>
      </c>
      <c r="E930" s="8" t="s">
        <v>3734</v>
      </c>
      <c r="F930" s="17">
        <v>42074</v>
      </c>
      <c r="G930" s="8" t="s">
        <v>3735</v>
      </c>
      <c r="H930" s="8" t="s">
        <v>3736</v>
      </c>
      <c r="I930" s="8" t="s">
        <v>45</v>
      </c>
      <c r="J930" s="16" t="s">
        <v>3737</v>
      </c>
      <c r="K930" s="2" t="s">
        <v>1070</v>
      </c>
      <c r="L930" s="8" t="s">
        <v>3738</v>
      </c>
      <c r="M930" s="8" t="s">
        <v>27</v>
      </c>
      <c r="N930" s="8" t="s">
        <v>3739</v>
      </c>
      <c r="O930" s="8" t="s">
        <v>1018</v>
      </c>
      <c r="P930" s="8" t="s">
        <v>405</v>
      </c>
      <c r="Q930" s="12" t="s">
        <v>3740</v>
      </c>
      <c r="R930" s="8" t="s">
        <v>559</v>
      </c>
      <c r="S930" s="7" t="s">
        <v>28</v>
      </c>
      <c r="T930" s="6"/>
      <c r="U930" s="8"/>
    </row>
    <row r="931" spans="1:39" ht="13.5" customHeight="1">
      <c r="A931" s="8" t="s">
        <v>3748</v>
      </c>
      <c r="B931" s="16">
        <v>54</v>
      </c>
      <c r="C931" s="8" t="s">
        <v>20</v>
      </c>
      <c r="D931" s="8" t="s">
        <v>37</v>
      </c>
      <c r="E931" s="8" t="s">
        <v>3749</v>
      </c>
      <c r="F931" s="17">
        <v>42074</v>
      </c>
      <c r="G931" s="8" t="s">
        <v>3750</v>
      </c>
      <c r="H931" s="8" t="s">
        <v>3751</v>
      </c>
      <c r="I931" s="8" t="s">
        <v>94</v>
      </c>
      <c r="J931" s="16" t="s">
        <v>3752</v>
      </c>
      <c r="K931" s="2" t="s">
        <v>3753</v>
      </c>
      <c r="L931" s="8" t="s">
        <v>3754</v>
      </c>
      <c r="M931" s="8" t="s">
        <v>27</v>
      </c>
      <c r="N931" s="8" t="s">
        <v>3755</v>
      </c>
      <c r="O931" s="8" t="s">
        <v>1018</v>
      </c>
      <c r="P931" s="8" t="s">
        <v>405</v>
      </c>
      <c r="Q931" s="12" t="s">
        <v>3756</v>
      </c>
      <c r="R931" s="8" t="s">
        <v>559</v>
      </c>
      <c r="S931" s="7" t="s">
        <v>28</v>
      </c>
      <c r="T931" s="6"/>
      <c r="U931" s="8"/>
    </row>
    <row r="932" spans="1:39" ht="13.5" customHeight="1">
      <c r="A932" s="8" t="s">
        <v>3757</v>
      </c>
      <c r="B932" s="16">
        <v>31</v>
      </c>
      <c r="C932" s="8" t="s">
        <v>20</v>
      </c>
      <c r="D932" s="8" t="s">
        <v>37</v>
      </c>
      <c r="E932" s="8" t="s">
        <v>3758</v>
      </c>
      <c r="F932" s="17">
        <v>42074</v>
      </c>
      <c r="G932" s="8" t="s">
        <v>3759</v>
      </c>
      <c r="H932" s="8" t="s">
        <v>1204</v>
      </c>
      <c r="I932" s="8" t="s">
        <v>323</v>
      </c>
      <c r="J932" s="16" t="s">
        <v>3760</v>
      </c>
      <c r="K932" s="2" t="s">
        <v>1205</v>
      </c>
      <c r="L932" s="8" t="s">
        <v>1206</v>
      </c>
      <c r="M932" s="8" t="s">
        <v>27</v>
      </c>
      <c r="N932" s="8" t="s">
        <v>3761</v>
      </c>
      <c r="O932" s="8" t="s">
        <v>1018</v>
      </c>
      <c r="P932" s="8" t="s">
        <v>405</v>
      </c>
      <c r="Q932" s="12" t="s">
        <v>3762</v>
      </c>
      <c r="R932" s="8" t="s">
        <v>972</v>
      </c>
      <c r="S932" s="7" t="s">
        <v>28</v>
      </c>
      <c r="T932" s="6"/>
      <c r="U932" s="8"/>
    </row>
    <row r="933" spans="1:39" ht="13.5" customHeight="1">
      <c r="A933" s="8" t="s">
        <v>3763</v>
      </c>
      <c r="B933" s="16">
        <v>31</v>
      </c>
      <c r="C933" s="8" t="s">
        <v>20</v>
      </c>
      <c r="D933" s="8" t="s">
        <v>37</v>
      </c>
      <c r="E933" s="8" t="s">
        <v>3764</v>
      </c>
      <c r="F933" s="17">
        <v>42074</v>
      </c>
      <c r="G933" s="8" t="s">
        <v>3765</v>
      </c>
      <c r="H933" s="8" t="s">
        <v>3766</v>
      </c>
      <c r="I933" s="8" t="s">
        <v>124</v>
      </c>
      <c r="J933" s="16" t="s">
        <v>3767</v>
      </c>
      <c r="K933" s="2" t="s">
        <v>3768</v>
      </c>
      <c r="L933" s="8" t="s">
        <v>3769</v>
      </c>
      <c r="M933" s="8" t="s">
        <v>27</v>
      </c>
      <c r="N933" s="8" t="s">
        <v>3770</v>
      </c>
      <c r="O933" s="8" t="s">
        <v>1018</v>
      </c>
      <c r="P933" s="8" t="s">
        <v>405</v>
      </c>
      <c r="Q933" s="12" t="s">
        <v>3771</v>
      </c>
      <c r="R933" s="8" t="s">
        <v>972</v>
      </c>
      <c r="S933" s="7" t="s">
        <v>18</v>
      </c>
      <c r="T933" s="6"/>
      <c r="U933" s="8"/>
    </row>
    <row r="934" spans="1:39" ht="13.5" customHeight="1">
      <c r="A934" s="8" t="s">
        <v>3721</v>
      </c>
      <c r="B934" s="16">
        <v>37</v>
      </c>
      <c r="C934" s="8" t="s">
        <v>20</v>
      </c>
      <c r="D934" s="8" t="s">
        <v>85</v>
      </c>
      <c r="E934" s="8" t="s">
        <v>3722</v>
      </c>
      <c r="F934" s="17">
        <v>42074</v>
      </c>
      <c r="G934" s="8" t="s">
        <v>3723</v>
      </c>
      <c r="H934" s="8" t="s">
        <v>3724</v>
      </c>
      <c r="I934" s="8" t="s">
        <v>52</v>
      </c>
      <c r="J934" s="16" t="s">
        <v>3725</v>
      </c>
      <c r="K934" s="2" t="s">
        <v>702</v>
      </c>
      <c r="L934" s="8" t="s">
        <v>3726</v>
      </c>
      <c r="M934" s="8" t="s">
        <v>27</v>
      </c>
      <c r="N934" s="8" t="s">
        <v>3727</v>
      </c>
      <c r="O934" s="8" t="s">
        <v>1018</v>
      </c>
      <c r="P934" s="8" t="s">
        <v>405</v>
      </c>
      <c r="Q934" s="12" t="s">
        <v>3728</v>
      </c>
      <c r="R934" s="8" t="s">
        <v>29</v>
      </c>
      <c r="S934" s="7" t="s">
        <v>28</v>
      </c>
      <c r="T934" s="6"/>
      <c r="U934" s="8"/>
    </row>
    <row r="935" spans="1:39" ht="13.5" customHeight="1">
      <c r="A935" s="8" t="s">
        <v>3729</v>
      </c>
      <c r="B935" s="16">
        <v>64</v>
      </c>
      <c r="C935" s="8" t="s">
        <v>20</v>
      </c>
      <c r="D935" s="8" t="s">
        <v>85</v>
      </c>
      <c r="E935" s="8" t="s">
        <v>3730</v>
      </c>
      <c r="F935" s="17">
        <v>42074</v>
      </c>
      <c r="G935" s="8" t="s">
        <v>3731</v>
      </c>
      <c r="H935" s="8" t="s">
        <v>992</v>
      </c>
      <c r="I935" s="8" t="s">
        <v>69</v>
      </c>
      <c r="J935" s="16">
        <v>44105</v>
      </c>
      <c r="K935" s="2" t="s">
        <v>105</v>
      </c>
      <c r="L935" s="8" t="s">
        <v>3492</v>
      </c>
      <c r="M935" s="8" t="s">
        <v>27</v>
      </c>
      <c r="N935" s="8" t="s">
        <v>3732</v>
      </c>
      <c r="P935" s="8" t="s">
        <v>405</v>
      </c>
      <c r="Q935" s="12" t="str">
        <f>HYPERLINK("http://www.19actionnews.com/story/28380324/one-dead-after-officer-involved-shooting-in-cleveland","http://www.19actionnews.com/story/28380324/one-dead-after-officer-involved-shooting-in-cleveland")</f>
        <v>http://www.19actionnews.com/story/28380324/one-dead-after-officer-involved-shooting-in-cleveland</v>
      </c>
      <c r="S935" s="7" t="s">
        <v>28</v>
      </c>
      <c r="T935" s="6"/>
      <c r="U935" s="8"/>
    </row>
    <row r="936" spans="1:39" ht="13.5" customHeight="1">
      <c r="A936" s="8" t="s">
        <v>3778</v>
      </c>
      <c r="B936" s="16">
        <v>23</v>
      </c>
      <c r="C936" s="8" t="s">
        <v>20</v>
      </c>
      <c r="D936" s="8" t="s">
        <v>85</v>
      </c>
      <c r="F936" s="17">
        <v>42073</v>
      </c>
      <c r="G936" s="8" t="s">
        <v>3779</v>
      </c>
      <c r="H936" s="8" t="s">
        <v>3780</v>
      </c>
      <c r="I936" s="8" t="s">
        <v>175</v>
      </c>
      <c r="J936" s="16" t="s">
        <v>3781</v>
      </c>
      <c r="K936" s="2" t="s">
        <v>3782</v>
      </c>
      <c r="L936" s="8" t="s">
        <v>3783</v>
      </c>
      <c r="M936" s="8" t="s">
        <v>27</v>
      </c>
      <c r="N936" s="8" t="s">
        <v>3784</v>
      </c>
      <c r="O936" s="8" t="s">
        <v>1018</v>
      </c>
      <c r="P936" s="8" t="s">
        <v>405</v>
      </c>
      <c r="Q936" s="12" t="s">
        <v>3785</v>
      </c>
      <c r="R936" s="8" t="s">
        <v>29</v>
      </c>
      <c r="S936" s="7" t="s">
        <v>28</v>
      </c>
      <c r="T936" s="6"/>
      <c r="U936" s="8"/>
    </row>
    <row r="937" spans="1:39" ht="13.5" customHeight="1">
      <c r="A937" s="8" t="s">
        <v>3786</v>
      </c>
      <c r="B937" s="16">
        <v>31</v>
      </c>
      <c r="C937" s="8" t="s">
        <v>20</v>
      </c>
      <c r="D937" s="8" t="s">
        <v>85</v>
      </c>
      <c r="E937" s="8" t="s">
        <v>3787</v>
      </c>
      <c r="F937" s="17">
        <v>42073</v>
      </c>
      <c r="G937" s="8" t="s">
        <v>3788</v>
      </c>
      <c r="H937" s="8" t="s">
        <v>192</v>
      </c>
      <c r="I937" s="8" t="s">
        <v>25</v>
      </c>
      <c r="J937" s="16" t="s">
        <v>1697</v>
      </c>
      <c r="K937" s="2" t="s">
        <v>3789</v>
      </c>
      <c r="L937" s="8" t="s">
        <v>3790</v>
      </c>
      <c r="M937" s="8" t="s">
        <v>27</v>
      </c>
      <c r="N937" s="8" t="s">
        <v>3791</v>
      </c>
      <c r="O937" s="8" t="s">
        <v>1018</v>
      </c>
      <c r="P937" s="8" t="s">
        <v>405</v>
      </c>
      <c r="Q937" s="12" t="s">
        <v>3792</v>
      </c>
      <c r="R937" s="8" t="s">
        <v>29</v>
      </c>
      <c r="S937" s="7" t="s">
        <v>28</v>
      </c>
      <c r="T937" s="6"/>
      <c r="U937" s="8"/>
    </row>
    <row r="938" spans="1:39" ht="13.5" customHeight="1">
      <c r="A938" s="8" t="s">
        <v>3288</v>
      </c>
      <c r="B938" s="16" t="s">
        <v>29</v>
      </c>
      <c r="C938" s="8" t="s">
        <v>20</v>
      </c>
      <c r="D938" s="8" t="s">
        <v>30</v>
      </c>
      <c r="F938" s="17">
        <v>42073</v>
      </c>
      <c r="G938" s="8" t="s">
        <v>3800</v>
      </c>
      <c r="H938" s="8" t="s">
        <v>489</v>
      </c>
      <c r="I938" s="8" t="s">
        <v>45</v>
      </c>
      <c r="J938" s="16" t="s">
        <v>3801</v>
      </c>
      <c r="K938" s="2" t="s">
        <v>313</v>
      </c>
      <c r="L938" s="8" t="s">
        <v>490</v>
      </c>
      <c r="M938" s="8" t="s">
        <v>27</v>
      </c>
      <c r="N938" s="8" t="s">
        <v>3802</v>
      </c>
      <c r="O938" s="8" t="s">
        <v>1018</v>
      </c>
      <c r="P938" s="8" t="s">
        <v>405</v>
      </c>
      <c r="Q938" s="12" t="s">
        <v>3803</v>
      </c>
      <c r="R938" s="8" t="s">
        <v>559</v>
      </c>
      <c r="S938" s="7" t="s">
        <v>28</v>
      </c>
      <c r="T938" s="6"/>
      <c r="U938" s="8"/>
    </row>
    <row r="939" spans="1:39" ht="13.5" customHeight="1">
      <c r="A939" s="8" t="s">
        <v>3772</v>
      </c>
      <c r="B939" s="16">
        <v>29</v>
      </c>
      <c r="C939" s="8" t="s">
        <v>20</v>
      </c>
      <c r="D939" s="8" t="s">
        <v>85</v>
      </c>
      <c r="E939" s="8" t="s">
        <v>3773</v>
      </c>
      <c r="F939" s="17">
        <v>42073</v>
      </c>
      <c r="G939" s="8" t="s">
        <v>3774</v>
      </c>
      <c r="H939" s="8" t="s">
        <v>2614</v>
      </c>
      <c r="I939" s="8" t="s">
        <v>69</v>
      </c>
      <c r="J939" s="16" t="s">
        <v>3775</v>
      </c>
      <c r="K939" s="2" t="s">
        <v>2615</v>
      </c>
      <c r="L939" s="8" t="s">
        <v>2616</v>
      </c>
      <c r="M939" s="8" t="s">
        <v>1706</v>
      </c>
      <c r="N939" s="8" t="s">
        <v>3776</v>
      </c>
      <c r="O939" s="8" t="s">
        <v>404</v>
      </c>
      <c r="P939" s="8" t="s">
        <v>405</v>
      </c>
      <c r="Q939" s="12" t="s">
        <v>3777</v>
      </c>
      <c r="R939" s="8" t="s">
        <v>559</v>
      </c>
      <c r="S939" s="7" t="s">
        <v>18</v>
      </c>
      <c r="T939" s="6"/>
      <c r="U939" s="8"/>
    </row>
    <row r="940" spans="1:39" ht="13.5" customHeight="1">
      <c r="A940" s="8" t="s">
        <v>3793</v>
      </c>
      <c r="B940" s="16">
        <v>53</v>
      </c>
      <c r="C940" s="8" t="s">
        <v>20</v>
      </c>
      <c r="D940" s="8" t="s">
        <v>30</v>
      </c>
      <c r="F940" s="17">
        <v>42073</v>
      </c>
      <c r="G940" s="8" t="s">
        <v>3794</v>
      </c>
      <c r="H940" s="8" t="s">
        <v>3795</v>
      </c>
      <c r="I940" s="8" t="s">
        <v>94</v>
      </c>
      <c r="J940" s="16" t="s">
        <v>3796</v>
      </c>
      <c r="K940" s="2" t="s">
        <v>1795</v>
      </c>
      <c r="L940" s="8" t="s">
        <v>3797</v>
      </c>
      <c r="M940" s="8" t="s">
        <v>27</v>
      </c>
      <c r="N940" s="8" t="s">
        <v>3798</v>
      </c>
      <c r="O940" s="8" t="s">
        <v>404</v>
      </c>
      <c r="P940" s="8" t="s">
        <v>405</v>
      </c>
      <c r="Q940" s="12" t="s">
        <v>3799</v>
      </c>
      <c r="R940" s="8" t="s">
        <v>559</v>
      </c>
      <c r="S940" s="7" t="s">
        <v>28</v>
      </c>
      <c r="T940" s="6"/>
      <c r="U940" s="8"/>
    </row>
    <row r="941" spans="1:39" ht="13.5" customHeight="1">
      <c r="A941" s="8" t="s">
        <v>3816</v>
      </c>
      <c r="B941" s="16">
        <v>27</v>
      </c>
      <c r="C941" s="8" t="s">
        <v>20</v>
      </c>
      <c r="D941" s="8" t="s">
        <v>85</v>
      </c>
      <c r="E941" s="8" t="s">
        <v>3817</v>
      </c>
      <c r="F941" s="17">
        <v>42072</v>
      </c>
      <c r="G941" s="8" t="s">
        <v>3818</v>
      </c>
      <c r="H941" s="8" t="s">
        <v>3819</v>
      </c>
      <c r="I941" s="8" t="s">
        <v>175</v>
      </c>
      <c r="J941" s="16" t="s">
        <v>3820</v>
      </c>
      <c r="K941" s="2" t="s">
        <v>1317</v>
      </c>
      <c r="L941" s="8" t="s">
        <v>870</v>
      </c>
      <c r="M941" s="8" t="s">
        <v>27</v>
      </c>
      <c r="N941" s="8" t="s">
        <v>3821</v>
      </c>
      <c r="O941" s="8" t="s">
        <v>404</v>
      </c>
      <c r="P941" s="8" t="s">
        <v>405</v>
      </c>
      <c r="Q941" s="12" t="s">
        <v>3822</v>
      </c>
      <c r="R941" s="8" t="s">
        <v>559</v>
      </c>
      <c r="S941" s="7" t="s">
        <v>18</v>
      </c>
      <c r="T941" s="6"/>
      <c r="U941" s="8"/>
    </row>
    <row r="942" spans="1:39" ht="13.5" customHeight="1">
      <c r="A942" s="8" t="s">
        <v>3809</v>
      </c>
      <c r="B942" s="16">
        <v>30</v>
      </c>
      <c r="C942" s="8" t="s">
        <v>20</v>
      </c>
      <c r="D942" s="8" t="s">
        <v>85</v>
      </c>
      <c r="E942" s="8" t="s">
        <v>3810</v>
      </c>
      <c r="F942" s="17">
        <v>42072</v>
      </c>
      <c r="G942" s="8" t="s">
        <v>3811</v>
      </c>
      <c r="H942" s="8" t="s">
        <v>1784</v>
      </c>
      <c r="I942" s="8" t="s">
        <v>62</v>
      </c>
      <c r="J942" s="16" t="s">
        <v>3812</v>
      </c>
      <c r="K942" s="2" t="s">
        <v>1786</v>
      </c>
      <c r="L942" s="8" t="s">
        <v>3813</v>
      </c>
      <c r="M942" s="8" t="s">
        <v>27</v>
      </c>
      <c r="N942" s="8" t="s">
        <v>3814</v>
      </c>
      <c r="O942" s="8" t="s">
        <v>1018</v>
      </c>
      <c r="P942" s="8" t="s">
        <v>405</v>
      </c>
      <c r="Q942" s="12" t="s">
        <v>3815</v>
      </c>
      <c r="R942" s="8" t="s">
        <v>100</v>
      </c>
      <c r="S942" s="7" t="s">
        <v>28</v>
      </c>
      <c r="T942" s="6"/>
      <c r="U942" s="8"/>
    </row>
    <row r="943" spans="1:39" ht="13.5" customHeight="1">
      <c r="A943" s="8" t="s">
        <v>3804</v>
      </c>
      <c r="B943" s="16">
        <v>64</v>
      </c>
      <c r="C943" s="8" t="s">
        <v>115</v>
      </c>
      <c r="D943" s="8" t="s">
        <v>21</v>
      </c>
      <c r="F943" s="17">
        <v>42072</v>
      </c>
      <c r="G943" s="8" t="s">
        <v>3805</v>
      </c>
      <c r="H943" s="8" t="s">
        <v>1848</v>
      </c>
      <c r="I943" s="8" t="s">
        <v>81</v>
      </c>
      <c r="J943" s="16" t="s">
        <v>1849</v>
      </c>
      <c r="K943" s="2" t="s">
        <v>1850</v>
      </c>
      <c r="L943" s="8" t="s">
        <v>3806</v>
      </c>
      <c r="M943" s="8" t="s">
        <v>383</v>
      </c>
      <c r="N943" s="8" t="s">
        <v>3807</v>
      </c>
      <c r="O943" s="8" t="s">
        <v>404</v>
      </c>
      <c r="P943" s="8" t="s">
        <v>405</v>
      </c>
      <c r="Q943" s="12" t="s">
        <v>3808</v>
      </c>
      <c r="R943" s="8" t="s">
        <v>100</v>
      </c>
      <c r="S943" s="7" t="s">
        <v>18</v>
      </c>
      <c r="T943" s="6"/>
      <c r="U943" s="8"/>
      <c r="AI943" s="8"/>
      <c r="AJ943" s="8"/>
      <c r="AK943" s="8"/>
      <c r="AL943" s="8"/>
      <c r="AM943" s="8"/>
    </row>
    <row r="944" spans="1:39" ht="13.5" customHeight="1">
      <c r="A944" s="8" t="s">
        <v>3823</v>
      </c>
      <c r="B944" s="16">
        <v>46</v>
      </c>
      <c r="C944" s="8" t="s">
        <v>20</v>
      </c>
      <c r="D944" s="8" t="s">
        <v>37</v>
      </c>
      <c r="E944" s="8" t="s">
        <v>3824</v>
      </c>
      <c r="F944" s="17">
        <v>42072</v>
      </c>
      <c r="G944" s="8" t="s">
        <v>3825</v>
      </c>
      <c r="H944" s="8" t="s">
        <v>3826</v>
      </c>
      <c r="I944" s="8" t="s">
        <v>212</v>
      </c>
      <c r="J944" s="16" t="s">
        <v>3827</v>
      </c>
      <c r="K944" s="2" t="s">
        <v>3828</v>
      </c>
      <c r="L944" s="8" t="s">
        <v>3829</v>
      </c>
      <c r="M944" s="8" t="s">
        <v>27</v>
      </c>
      <c r="N944" s="8" t="s">
        <v>3830</v>
      </c>
      <c r="O944" s="8" t="s">
        <v>1018</v>
      </c>
      <c r="P944" s="8" t="s">
        <v>405</v>
      </c>
      <c r="Q944" s="12" t="s">
        <v>3831</v>
      </c>
      <c r="R944" s="8" t="s">
        <v>100</v>
      </c>
      <c r="S944" s="7" t="s">
        <v>28</v>
      </c>
      <c r="T944" s="6"/>
      <c r="U944" s="8"/>
    </row>
    <row r="945" spans="1:39" ht="13.5" customHeight="1">
      <c r="A945" s="8" t="s">
        <v>3832</v>
      </c>
      <c r="B945" s="16">
        <v>58</v>
      </c>
      <c r="C945" s="8" t="s">
        <v>20</v>
      </c>
      <c r="D945" s="8" t="s">
        <v>37</v>
      </c>
      <c r="E945" s="8" t="s">
        <v>3833</v>
      </c>
      <c r="F945" s="17">
        <v>42072</v>
      </c>
      <c r="G945" s="8" t="s">
        <v>3834</v>
      </c>
      <c r="H945" s="8" t="s">
        <v>3835</v>
      </c>
      <c r="I945" s="8" t="s">
        <v>370</v>
      </c>
      <c r="J945" s="16" t="s">
        <v>3836</v>
      </c>
      <c r="K945" s="2" t="s">
        <v>3837</v>
      </c>
      <c r="L945" s="8" t="s">
        <v>3838</v>
      </c>
      <c r="M945" s="8" t="s">
        <v>27</v>
      </c>
      <c r="N945" s="8" t="s">
        <v>3839</v>
      </c>
      <c r="O945" s="8" t="s">
        <v>1018</v>
      </c>
      <c r="P945" s="8" t="s">
        <v>405</v>
      </c>
      <c r="Q945" s="12" t="s">
        <v>3840</v>
      </c>
      <c r="R945" s="8" t="s">
        <v>972</v>
      </c>
      <c r="S945" s="7" t="s">
        <v>28</v>
      </c>
      <c r="T945" s="6"/>
      <c r="U945" s="8"/>
    </row>
    <row r="946" spans="1:39" ht="13.5" customHeight="1">
      <c r="A946" s="8" t="s">
        <v>3847</v>
      </c>
      <c r="B946" s="16">
        <v>40</v>
      </c>
      <c r="C946" s="8" t="s">
        <v>20</v>
      </c>
      <c r="D946" s="8" t="s">
        <v>48</v>
      </c>
      <c r="E946" s="8" t="s">
        <v>3848</v>
      </c>
      <c r="F946" s="17">
        <v>42071</v>
      </c>
      <c r="G946" s="8" t="s">
        <v>3849</v>
      </c>
      <c r="H946" s="8" t="s">
        <v>1104</v>
      </c>
      <c r="I946" s="8" t="s">
        <v>399</v>
      </c>
      <c r="J946" s="16" t="s">
        <v>3850</v>
      </c>
      <c r="K946" s="2" t="s">
        <v>1105</v>
      </c>
      <c r="L946" s="8" t="s">
        <v>1106</v>
      </c>
      <c r="M946" s="8" t="s">
        <v>27</v>
      </c>
      <c r="N946" s="8" t="s">
        <v>3851</v>
      </c>
      <c r="O946" s="8" t="s">
        <v>1018</v>
      </c>
      <c r="P946" s="8" t="s">
        <v>405</v>
      </c>
      <c r="Q946" s="12" t="s">
        <v>3852</v>
      </c>
      <c r="R946" s="8" t="s">
        <v>100</v>
      </c>
      <c r="S946" s="7" t="s">
        <v>28</v>
      </c>
      <c r="T946" s="6"/>
      <c r="U946" s="8"/>
    </row>
    <row r="947" spans="1:39" ht="13.5" customHeight="1">
      <c r="A947" s="8" t="s">
        <v>3853</v>
      </c>
      <c r="B947" s="16">
        <v>35</v>
      </c>
      <c r="C947" s="8" t="s">
        <v>20</v>
      </c>
      <c r="D947" s="8" t="s">
        <v>37</v>
      </c>
      <c r="E947" s="8" t="s">
        <v>3854</v>
      </c>
      <c r="F947" s="17">
        <v>42071</v>
      </c>
      <c r="G947" s="8" t="s">
        <v>3855</v>
      </c>
      <c r="H947" s="8" t="s">
        <v>3856</v>
      </c>
      <c r="I947" s="8" t="s">
        <v>228</v>
      </c>
      <c r="J947" s="16" t="s">
        <v>3857</v>
      </c>
      <c r="K947" s="2" t="s">
        <v>3858</v>
      </c>
      <c r="L947" s="8" t="s">
        <v>3859</v>
      </c>
      <c r="M947" s="8" t="s">
        <v>27</v>
      </c>
      <c r="N947" s="8" t="s">
        <v>3860</v>
      </c>
      <c r="O947" s="8" t="s">
        <v>1018</v>
      </c>
      <c r="P947" s="8" t="s">
        <v>405</v>
      </c>
      <c r="Q947" s="12" t="s">
        <v>3861</v>
      </c>
      <c r="R947" s="8" t="s">
        <v>100</v>
      </c>
      <c r="S947" s="7" t="s">
        <v>28</v>
      </c>
      <c r="T947" s="6"/>
      <c r="U947" s="8"/>
    </row>
    <row r="948" spans="1:39" ht="13.5" customHeight="1">
      <c r="A948" s="8" t="s">
        <v>3841</v>
      </c>
      <c r="B948" s="16">
        <v>43</v>
      </c>
      <c r="C948" s="8" t="s">
        <v>115</v>
      </c>
      <c r="D948" s="8" t="s">
        <v>85</v>
      </c>
      <c r="E948" s="8" t="s">
        <v>3842</v>
      </c>
      <c r="F948" s="17">
        <v>42071</v>
      </c>
      <c r="G948" s="8" t="s">
        <v>3843</v>
      </c>
      <c r="H948" s="8" t="s">
        <v>1896</v>
      </c>
      <c r="I948" s="8" t="s">
        <v>45</v>
      </c>
      <c r="J948" s="16" t="s">
        <v>3844</v>
      </c>
      <c r="K948" s="2" t="s">
        <v>1070</v>
      </c>
      <c r="L948" s="8" t="s">
        <v>1898</v>
      </c>
      <c r="M948" s="8" t="s">
        <v>27</v>
      </c>
      <c r="N948" s="8" t="s">
        <v>3845</v>
      </c>
      <c r="O948" s="8" t="s">
        <v>1018</v>
      </c>
      <c r="P948" s="8" t="s">
        <v>405</v>
      </c>
      <c r="Q948" s="12" t="s">
        <v>3846</v>
      </c>
      <c r="R948" s="8" t="s">
        <v>559</v>
      </c>
      <c r="S948" s="7" t="s">
        <v>28</v>
      </c>
      <c r="T948" s="6"/>
      <c r="U948" s="8"/>
      <c r="Y948" s="8"/>
      <c r="Z948" s="8"/>
      <c r="AA948" s="8"/>
      <c r="AB948" s="8"/>
      <c r="AC948" s="8"/>
      <c r="AD948" s="8"/>
      <c r="AE948" s="8"/>
      <c r="AF948" s="8"/>
      <c r="AG948" s="8"/>
      <c r="AH948" s="8"/>
    </row>
    <row r="949" spans="1:39" ht="13.5" customHeight="1">
      <c r="A949" s="8" t="s">
        <v>3862</v>
      </c>
      <c r="B949" s="16">
        <v>29</v>
      </c>
      <c r="C949" s="8" t="s">
        <v>20</v>
      </c>
      <c r="D949" s="8" t="s">
        <v>37</v>
      </c>
      <c r="E949" s="8" t="s">
        <v>3863</v>
      </c>
      <c r="F949" s="17">
        <v>42070</v>
      </c>
      <c r="G949" s="8" t="s">
        <v>3864</v>
      </c>
      <c r="H949" s="8" t="s">
        <v>638</v>
      </c>
      <c r="I949" s="8" t="s">
        <v>124</v>
      </c>
      <c r="J949" s="16" t="s">
        <v>2833</v>
      </c>
      <c r="K949" s="2" t="s">
        <v>3865</v>
      </c>
      <c r="L949" s="8" t="s">
        <v>640</v>
      </c>
      <c r="M949" s="8" t="s">
        <v>27</v>
      </c>
      <c r="N949" s="8" t="s">
        <v>3866</v>
      </c>
      <c r="O949" s="8" t="s">
        <v>404</v>
      </c>
      <c r="P949" s="8" t="s">
        <v>405</v>
      </c>
      <c r="Q949" s="12" t="s">
        <v>3867</v>
      </c>
      <c r="R949" s="8" t="s">
        <v>29</v>
      </c>
      <c r="S949" s="7" t="s">
        <v>35</v>
      </c>
      <c r="T949" s="6"/>
      <c r="U949" s="8"/>
    </row>
    <row r="950" spans="1:39" ht="13.5" customHeight="1">
      <c r="A950" s="8" t="s">
        <v>20888</v>
      </c>
      <c r="B950" s="16">
        <v>74</v>
      </c>
      <c r="C950" s="8" t="s">
        <v>20</v>
      </c>
      <c r="D950" s="8" t="s">
        <v>85</v>
      </c>
      <c r="E950" s="8" t="s">
        <v>20889</v>
      </c>
      <c r="F950" s="17">
        <v>42070</v>
      </c>
      <c r="G950" s="8" t="s">
        <v>20890</v>
      </c>
      <c r="H950" s="8" t="s">
        <v>20891</v>
      </c>
      <c r="I950" s="8" t="s">
        <v>228</v>
      </c>
      <c r="J950" s="3" t="s">
        <v>20892</v>
      </c>
      <c r="K950" s="3" t="s">
        <v>2007</v>
      </c>
      <c r="L950" s="3" t="s">
        <v>6114</v>
      </c>
      <c r="M950" s="3" t="s">
        <v>383</v>
      </c>
      <c r="N950" s="3" t="s">
        <v>20893</v>
      </c>
      <c r="O950" s="3" t="s">
        <v>1018</v>
      </c>
      <c r="P950" s="8" t="s">
        <v>405</v>
      </c>
      <c r="Q950" s="20" t="s">
        <v>20894</v>
      </c>
      <c r="R950" s="3" t="s">
        <v>100</v>
      </c>
      <c r="S950" s="3" t="s">
        <v>383</v>
      </c>
      <c r="T950" s="3"/>
      <c r="U950" s="3"/>
      <c r="V950" s="24"/>
      <c r="W950" s="24"/>
      <c r="X950" s="24"/>
      <c r="Y950" s="24"/>
      <c r="Z950" s="24"/>
      <c r="AA950" s="24"/>
      <c r="AB950" s="24"/>
      <c r="AC950" s="24"/>
      <c r="AD950" s="24"/>
      <c r="AE950" s="24"/>
      <c r="AF950" s="24"/>
      <c r="AG950" s="24"/>
      <c r="AH950" s="24"/>
      <c r="AI950" s="24"/>
      <c r="AJ950" s="24"/>
      <c r="AK950" s="24"/>
      <c r="AL950" s="24"/>
      <c r="AM950" s="24"/>
    </row>
    <row r="951" spans="1:39" ht="13.5" customHeight="1">
      <c r="A951" s="8" t="s">
        <v>3877</v>
      </c>
      <c r="B951" s="16">
        <v>62</v>
      </c>
      <c r="C951" s="8" t="s">
        <v>20</v>
      </c>
      <c r="D951" s="8" t="s">
        <v>85</v>
      </c>
      <c r="E951" s="8" t="s">
        <v>3878</v>
      </c>
      <c r="F951" s="17">
        <v>42069</v>
      </c>
      <c r="G951" s="8" t="s">
        <v>3879</v>
      </c>
      <c r="H951" s="8" t="s">
        <v>1933</v>
      </c>
      <c r="I951" s="8" t="s">
        <v>175</v>
      </c>
      <c r="J951" s="16" t="s">
        <v>3880</v>
      </c>
      <c r="K951" s="2" t="s">
        <v>1572</v>
      </c>
      <c r="L951" s="8" t="s">
        <v>2566</v>
      </c>
      <c r="M951" s="8" t="s">
        <v>383</v>
      </c>
      <c r="N951" s="8" t="s">
        <v>3881</v>
      </c>
      <c r="O951" s="8" t="s">
        <v>1018</v>
      </c>
      <c r="P951" s="8" t="s">
        <v>1171</v>
      </c>
      <c r="Q951" s="12" t="s">
        <v>3882</v>
      </c>
      <c r="R951" s="8" t="s">
        <v>100</v>
      </c>
      <c r="S951" s="7" t="s">
        <v>18</v>
      </c>
      <c r="T951" s="6"/>
      <c r="U951" s="8"/>
      <c r="Y951" s="8"/>
      <c r="Z951" s="8"/>
      <c r="AA951" s="8"/>
      <c r="AB951" s="8"/>
      <c r="AC951" s="8"/>
      <c r="AD951" s="8"/>
      <c r="AE951" s="8"/>
      <c r="AF951" s="8"/>
      <c r="AG951" s="8"/>
      <c r="AH951" s="8"/>
    </row>
    <row r="952" spans="1:39" ht="13.5" customHeight="1">
      <c r="A952" s="8" t="s">
        <v>3890</v>
      </c>
      <c r="B952" s="16">
        <v>48</v>
      </c>
      <c r="C952" s="8" t="s">
        <v>20</v>
      </c>
      <c r="D952" s="8" t="s">
        <v>85</v>
      </c>
      <c r="E952" s="8" t="s">
        <v>3891</v>
      </c>
      <c r="F952" s="17">
        <v>42069</v>
      </c>
      <c r="G952" s="8" t="s">
        <v>3892</v>
      </c>
      <c r="H952" s="8" t="s">
        <v>3893</v>
      </c>
      <c r="I952" s="8" t="s">
        <v>62</v>
      </c>
      <c r="J952" s="16" t="s">
        <v>3894</v>
      </c>
      <c r="K952" s="2" t="s">
        <v>2114</v>
      </c>
      <c r="L952" s="8" t="s">
        <v>3428</v>
      </c>
      <c r="M952" s="8" t="s">
        <v>27</v>
      </c>
      <c r="N952" s="8" t="s">
        <v>3895</v>
      </c>
      <c r="O952" s="8" t="s">
        <v>404</v>
      </c>
      <c r="P952" s="8" t="s">
        <v>405</v>
      </c>
      <c r="Q952" s="12" t="s">
        <v>3896</v>
      </c>
      <c r="R952" s="8" t="s">
        <v>100</v>
      </c>
      <c r="S952" s="7" t="s">
        <v>35</v>
      </c>
      <c r="T952" s="6"/>
      <c r="U952" s="8"/>
    </row>
    <row r="953" spans="1:39" ht="13.5" customHeight="1">
      <c r="A953" s="8" t="s">
        <v>3897</v>
      </c>
      <c r="B953" s="16">
        <v>33</v>
      </c>
      <c r="C953" s="8" t="s">
        <v>20</v>
      </c>
      <c r="D953" s="8" t="s">
        <v>48</v>
      </c>
      <c r="F953" s="17">
        <v>42069</v>
      </c>
      <c r="G953" s="8" t="s">
        <v>3898</v>
      </c>
      <c r="H953" s="8" t="s">
        <v>865</v>
      </c>
      <c r="I953" s="8" t="s">
        <v>73</v>
      </c>
      <c r="J953" s="16" t="s">
        <v>3899</v>
      </c>
      <c r="K953" s="2" t="s">
        <v>865</v>
      </c>
      <c r="L953" s="8" t="s">
        <v>866</v>
      </c>
      <c r="M953" s="8" t="s">
        <v>27</v>
      </c>
      <c r="N953" s="8" t="s">
        <v>3900</v>
      </c>
      <c r="O953" s="8" t="s">
        <v>1018</v>
      </c>
      <c r="P953" s="8" t="s">
        <v>405</v>
      </c>
      <c r="Q953" s="12" t="s">
        <v>3901</v>
      </c>
      <c r="R953" s="8" t="s">
        <v>29</v>
      </c>
      <c r="S953" s="7" t="s">
        <v>28</v>
      </c>
      <c r="T953" s="6"/>
      <c r="U953" s="8"/>
    </row>
    <row r="954" spans="1:39" ht="13.5" customHeight="1">
      <c r="A954" s="8" t="s">
        <v>3868</v>
      </c>
      <c r="B954" s="16">
        <v>37</v>
      </c>
      <c r="C954" s="8" t="s">
        <v>20</v>
      </c>
      <c r="D954" s="8" t="s">
        <v>85</v>
      </c>
      <c r="E954" s="8" t="s">
        <v>3869</v>
      </c>
      <c r="F954" s="17">
        <v>42069</v>
      </c>
      <c r="G954" s="8" t="s">
        <v>3870</v>
      </c>
      <c r="H954" s="8" t="s">
        <v>3871</v>
      </c>
      <c r="I954" s="8" t="s">
        <v>212</v>
      </c>
      <c r="J954" s="16" t="s">
        <v>3872</v>
      </c>
      <c r="K954" s="2" t="s">
        <v>3873</v>
      </c>
      <c r="L954" s="8" t="s">
        <v>3874</v>
      </c>
      <c r="M954" s="8" t="s">
        <v>27</v>
      </c>
      <c r="N954" s="8" t="s">
        <v>3875</v>
      </c>
      <c r="O954" s="8" t="s">
        <v>1018</v>
      </c>
      <c r="P954" s="8" t="s">
        <v>405</v>
      </c>
      <c r="Q954" s="12" t="s">
        <v>3876</v>
      </c>
      <c r="R954" s="8" t="s">
        <v>29</v>
      </c>
      <c r="S954" s="7" t="s">
        <v>18</v>
      </c>
      <c r="T954" s="6"/>
      <c r="U954" s="8"/>
      <c r="Y954" s="8"/>
      <c r="Z954" s="8"/>
      <c r="AA954" s="8"/>
      <c r="AB954" s="8"/>
      <c r="AC954" s="8"/>
      <c r="AD954" s="8"/>
      <c r="AE954" s="8"/>
      <c r="AF954" s="8"/>
      <c r="AG954" s="8"/>
      <c r="AH954" s="8"/>
    </row>
    <row r="955" spans="1:39" ht="13.5" customHeight="1">
      <c r="A955" s="8" t="s">
        <v>3902</v>
      </c>
      <c r="B955" s="16">
        <v>34</v>
      </c>
      <c r="C955" s="8" t="s">
        <v>20</v>
      </c>
      <c r="D955" s="8" t="s">
        <v>37</v>
      </c>
      <c r="E955" s="8" t="s">
        <v>3903</v>
      </c>
      <c r="F955" s="17">
        <v>42069</v>
      </c>
      <c r="G955" s="8" t="s">
        <v>3904</v>
      </c>
      <c r="H955" s="8" t="s">
        <v>3905</v>
      </c>
      <c r="I955" s="8" t="s">
        <v>73</v>
      </c>
      <c r="J955" s="16">
        <v>75482</v>
      </c>
      <c r="K955" s="2" t="s">
        <v>3906</v>
      </c>
      <c r="L955" s="8" t="s">
        <v>3907</v>
      </c>
      <c r="M955" s="8" t="s">
        <v>395</v>
      </c>
      <c r="N955" s="8" t="s">
        <v>3908</v>
      </c>
      <c r="P955" s="8" t="s">
        <v>405</v>
      </c>
      <c r="Q955" s="12" t="str">
        <f>HYPERLINK("http://www.ksstradio.com/2015/03/09/texas-rangers-investigate-death-of-inmate/","http://www.ksstradio.com/2015/03/09/texas-rangers-investigate-death-of-inmate/")</f>
        <v>http://www.ksstradio.com/2015/03/09/texas-rangers-investigate-death-of-inmate/</v>
      </c>
      <c r="S955" s="7" t="s">
        <v>18</v>
      </c>
      <c r="T955" s="6"/>
      <c r="U955" s="8"/>
    </row>
    <row r="956" spans="1:39" ht="13.5" customHeight="1">
      <c r="A956" s="8" t="s">
        <v>3883</v>
      </c>
      <c r="B956" s="16">
        <v>19</v>
      </c>
      <c r="C956" s="8" t="s">
        <v>20</v>
      </c>
      <c r="D956" s="8" t="s">
        <v>85</v>
      </c>
      <c r="E956" s="8" t="s">
        <v>3884</v>
      </c>
      <c r="F956" s="17">
        <v>42069</v>
      </c>
      <c r="G956" s="8" t="s">
        <v>3885</v>
      </c>
      <c r="H956" s="8" t="s">
        <v>2179</v>
      </c>
      <c r="I956" s="8" t="s">
        <v>442</v>
      </c>
      <c r="J956" s="16" t="s">
        <v>3886</v>
      </c>
      <c r="K956" s="2" t="s">
        <v>2179</v>
      </c>
      <c r="L956" s="8" t="s">
        <v>3887</v>
      </c>
      <c r="M956" s="8" t="s">
        <v>27</v>
      </c>
      <c r="N956" s="8" t="s">
        <v>3888</v>
      </c>
      <c r="O956" s="8" t="s">
        <v>404</v>
      </c>
      <c r="P956" s="8" t="s">
        <v>405</v>
      </c>
      <c r="Q956" s="12" t="s">
        <v>3889</v>
      </c>
      <c r="R956" s="8" t="s">
        <v>100</v>
      </c>
      <c r="S956" s="7" t="s">
        <v>18</v>
      </c>
      <c r="T956" s="6"/>
      <c r="U956" s="8"/>
    </row>
    <row r="957" spans="1:39" ht="13.5" customHeight="1">
      <c r="A957" s="8" t="s">
        <v>3916</v>
      </c>
      <c r="B957" s="16">
        <v>34</v>
      </c>
      <c r="C957" s="8" t="s">
        <v>20</v>
      </c>
      <c r="D957" s="8" t="s">
        <v>48</v>
      </c>
      <c r="F957" s="17">
        <v>42068</v>
      </c>
      <c r="G957" s="8" t="s">
        <v>3917</v>
      </c>
      <c r="H957" s="8" t="s">
        <v>3918</v>
      </c>
      <c r="I957" s="8" t="s">
        <v>45</v>
      </c>
      <c r="J957" s="16" t="s">
        <v>3919</v>
      </c>
      <c r="K957" s="2" t="s">
        <v>98</v>
      </c>
      <c r="L957" s="8" t="s">
        <v>99</v>
      </c>
      <c r="M957" s="8" t="s">
        <v>27</v>
      </c>
      <c r="N957" s="8" t="s">
        <v>3920</v>
      </c>
      <c r="O957" s="8" t="s">
        <v>1018</v>
      </c>
      <c r="P957" s="8" t="s">
        <v>405</v>
      </c>
      <c r="Q957" s="12" t="s">
        <v>3921</v>
      </c>
      <c r="R957" s="8" t="s">
        <v>100</v>
      </c>
      <c r="S957" s="7" t="s">
        <v>18</v>
      </c>
      <c r="T957" s="6"/>
      <c r="U957" s="8"/>
    </row>
    <row r="958" spans="1:39" ht="13.5" customHeight="1">
      <c r="A958" s="8" t="s">
        <v>3909</v>
      </c>
      <c r="B958" s="16">
        <v>45</v>
      </c>
      <c r="C958" s="8" t="s">
        <v>20</v>
      </c>
      <c r="D958" s="8" t="s">
        <v>85</v>
      </c>
      <c r="E958" s="8" t="s">
        <v>3910</v>
      </c>
      <c r="F958" s="17">
        <v>42068</v>
      </c>
      <c r="G958" s="8" t="s">
        <v>3911</v>
      </c>
      <c r="H958" s="8" t="s">
        <v>895</v>
      </c>
      <c r="I958" s="8" t="s">
        <v>442</v>
      </c>
      <c r="J958" s="16" t="s">
        <v>3912</v>
      </c>
      <c r="K958" s="2" t="s">
        <v>895</v>
      </c>
      <c r="L958" s="8" t="s">
        <v>3913</v>
      </c>
      <c r="M958" s="8" t="s">
        <v>27</v>
      </c>
      <c r="N958" s="8" t="s">
        <v>3914</v>
      </c>
      <c r="O958" s="8" t="s">
        <v>1018</v>
      </c>
      <c r="P958" s="8" t="s">
        <v>405</v>
      </c>
      <c r="Q958" s="12" t="s">
        <v>3915</v>
      </c>
      <c r="R958" s="8" t="s">
        <v>29</v>
      </c>
      <c r="S958" s="7" t="s">
        <v>28</v>
      </c>
      <c r="T958" s="6"/>
      <c r="U958" s="8"/>
    </row>
    <row r="959" spans="1:39" ht="13.5" customHeight="1">
      <c r="A959" s="8" t="s">
        <v>3922</v>
      </c>
      <c r="B959" s="16">
        <v>34</v>
      </c>
      <c r="C959" s="8" t="s">
        <v>20</v>
      </c>
      <c r="D959" s="8" t="s">
        <v>37</v>
      </c>
      <c r="E959" s="8" t="s">
        <v>3923</v>
      </c>
      <c r="F959" s="17">
        <v>42068</v>
      </c>
      <c r="G959" s="8" t="s">
        <v>3924</v>
      </c>
      <c r="H959" s="8" t="s">
        <v>2339</v>
      </c>
      <c r="I959" s="8" t="s">
        <v>467</v>
      </c>
      <c r="J959" s="16" t="s">
        <v>3925</v>
      </c>
      <c r="K959" s="2" t="s">
        <v>1507</v>
      </c>
      <c r="L959" s="8" t="s">
        <v>3926</v>
      </c>
      <c r="M959" s="8" t="s">
        <v>27</v>
      </c>
      <c r="N959" s="8" t="s">
        <v>3927</v>
      </c>
      <c r="O959" s="8" t="s">
        <v>1018</v>
      </c>
      <c r="P959" s="8" t="s">
        <v>405</v>
      </c>
      <c r="Q959" s="12" t="s">
        <v>3928</v>
      </c>
      <c r="R959" s="8" t="s">
        <v>29</v>
      </c>
      <c r="S959" s="7" t="s">
        <v>28</v>
      </c>
      <c r="T959" s="6"/>
      <c r="U959" s="8"/>
    </row>
    <row r="960" spans="1:39" ht="13.5" customHeight="1">
      <c r="A960" s="8" t="s">
        <v>3929</v>
      </c>
      <c r="B960" s="16">
        <v>28</v>
      </c>
      <c r="C960" s="8" t="s">
        <v>20</v>
      </c>
      <c r="D960" s="8" t="s">
        <v>21</v>
      </c>
      <c r="F960" s="17">
        <v>42067</v>
      </c>
      <c r="G960" s="8" t="s">
        <v>3930</v>
      </c>
      <c r="H960" s="8" t="s">
        <v>1777</v>
      </c>
      <c r="I960" s="8" t="s">
        <v>45</v>
      </c>
      <c r="J960" s="16" t="s">
        <v>3931</v>
      </c>
      <c r="K960" s="2" t="s">
        <v>1779</v>
      </c>
      <c r="L960" s="8" t="s">
        <v>3932</v>
      </c>
      <c r="M960" s="8" t="s">
        <v>27</v>
      </c>
      <c r="N960" s="8" t="s">
        <v>3933</v>
      </c>
      <c r="O960" s="8" t="s">
        <v>554</v>
      </c>
      <c r="P960" s="8" t="s">
        <v>405</v>
      </c>
      <c r="Q960" s="12" t="s">
        <v>3934</v>
      </c>
      <c r="R960" s="8" t="s">
        <v>29</v>
      </c>
      <c r="S960" s="7" t="s">
        <v>28</v>
      </c>
      <c r="T960" s="6"/>
      <c r="U960" s="8"/>
      <c r="AI960" s="8"/>
      <c r="AJ960" s="8"/>
      <c r="AK960" s="8"/>
      <c r="AL960" s="8"/>
      <c r="AM960" s="8"/>
    </row>
    <row r="961" spans="1:34" ht="13.5" customHeight="1">
      <c r="A961" s="8" t="s">
        <v>3935</v>
      </c>
      <c r="B961" s="16">
        <v>26</v>
      </c>
      <c r="C961" s="8" t="s">
        <v>20</v>
      </c>
      <c r="D961" s="8" t="s">
        <v>48</v>
      </c>
      <c r="E961" s="8" t="s">
        <v>3936</v>
      </c>
      <c r="F961" s="17">
        <v>42067</v>
      </c>
      <c r="G961" s="8" t="s">
        <v>3937</v>
      </c>
      <c r="H961" s="8" t="s">
        <v>3938</v>
      </c>
      <c r="I961" s="8" t="s">
        <v>62</v>
      </c>
      <c r="J961" s="16" t="s">
        <v>3939</v>
      </c>
      <c r="K961" s="2" t="s">
        <v>3940</v>
      </c>
      <c r="L961" s="8" t="s">
        <v>264</v>
      </c>
      <c r="M961" s="8" t="s">
        <v>27</v>
      </c>
      <c r="N961" s="8" t="s">
        <v>3941</v>
      </c>
      <c r="O961" s="8" t="s">
        <v>1018</v>
      </c>
      <c r="P961" s="8" t="s">
        <v>405</v>
      </c>
      <c r="Q961" s="12" t="s">
        <v>3942</v>
      </c>
      <c r="R961" s="8" t="s">
        <v>29</v>
      </c>
      <c r="S961" s="7" t="s">
        <v>18</v>
      </c>
      <c r="T961" s="6"/>
      <c r="U961" s="8"/>
    </row>
    <row r="962" spans="1:34" ht="13.5" customHeight="1">
      <c r="A962" s="8" t="s">
        <v>3943</v>
      </c>
      <c r="B962" s="16">
        <v>25</v>
      </c>
      <c r="C962" s="8" t="s">
        <v>20</v>
      </c>
      <c r="D962" s="8" t="s">
        <v>85</v>
      </c>
      <c r="E962" s="8" t="s">
        <v>3944</v>
      </c>
      <c r="F962" s="17">
        <v>42066</v>
      </c>
      <c r="G962" s="8" t="s">
        <v>3945</v>
      </c>
      <c r="H962" s="8" t="s">
        <v>3946</v>
      </c>
      <c r="I962" s="8" t="s">
        <v>52</v>
      </c>
      <c r="J962" s="16" t="s">
        <v>3947</v>
      </c>
      <c r="K962" s="2" t="s">
        <v>3948</v>
      </c>
      <c r="L962" s="8" t="s">
        <v>703</v>
      </c>
      <c r="M962" s="8" t="s">
        <v>27</v>
      </c>
      <c r="N962" s="8" t="s">
        <v>3949</v>
      </c>
      <c r="O962" s="8" t="s">
        <v>1018</v>
      </c>
      <c r="P962" s="8" t="s">
        <v>405</v>
      </c>
      <c r="Q962" s="12" t="s">
        <v>3950</v>
      </c>
      <c r="R962" s="8" t="s">
        <v>100</v>
      </c>
      <c r="S962" s="7" t="s">
        <v>28</v>
      </c>
      <c r="T962" s="6"/>
      <c r="U962" s="8"/>
    </row>
    <row r="963" spans="1:34" ht="13.5" customHeight="1">
      <c r="A963" s="8" t="s">
        <v>3951</v>
      </c>
      <c r="B963" s="16">
        <v>25</v>
      </c>
      <c r="C963" s="8" t="s">
        <v>20</v>
      </c>
      <c r="D963" s="8" t="s">
        <v>37</v>
      </c>
      <c r="E963" s="8" t="s">
        <v>3952</v>
      </c>
      <c r="F963" s="17">
        <v>42066</v>
      </c>
      <c r="G963" s="8" t="s">
        <v>3953</v>
      </c>
      <c r="H963" s="8" t="s">
        <v>3954</v>
      </c>
      <c r="I963" s="8" t="s">
        <v>124</v>
      </c>
      <c r="J963" s="16" t="s">
        <v>3955</v>
      </c>
      <c r="K963" s="2" t="s">
        <v>639</v>
      </c>
      <c r="L963" s="8" t="s">
        <v>3956</v>
      </c>
      <c r="M963" s="8" t="s">
        <v>27</v>
      </c>
      <c r="N963" s="8" t="s">
        <v>3957</v>
      </c>
      <c r="O963" s="8" t="s">
        <v>1018</v>
      </c>
      <c r="P963" s="8" t="s">
        <v>405</v>
      </c>
      <c r="Q963" s="12" t="s">
        <v>3958</v>
      </c>
      <c r="R963" s="8" t="s">
        <v>100</v>
      </c>
      <c r="S963" s="7" t="s">
        <v>28</v>
      </c>
      <c r="T963" s="6"/>
      <c r="U963" s="8"/>
    </row>
    <row r="964" spans="1:34" ht="13.5" customHeight="1">
      <c r="A964" s="8" t="s">
        <v>3959</v>
      </c>
      <c r="B964" s="16">
        <v>20</v>
      </c>
      <c r="C964" s="8" t="s">
        <v>20</v>
      </c>
      <c r="D964" s="8" t="s">
        <v>85</v>
      </c>
      <c r="E964" s="8" t="s">
        <v>3960</v>
      </c>
      <c r="F964" s="17">
        <v>42065</v>
      </c>
      <c r="G964" s="8" t="s">
        <v>3961</v>
      </c>
      <c r="H964" s="8" t="s">
        <v>3962</v>
      </c>
      <c r="I964" s="8" t="s">
        <v>44</v>
      </c>
      <c r="J964" s="16" t="s">
        <v>3963</v>
      </c>
      <c r="K964" s="2" t="s">
        <v>3964</v>
      </c>
      <c r="L964" s="8" t="s">
        <v>3965</v>
      </c>
      <c r="M964" s="8" t="s">
        <v>27</v>
      </c>
      <c r="N964" s="8" t="s">
        <v>3966</v>
      </c>
      <c r="O964" s="8" t="s">
        <v>1018</v>
      </c>
      <c r="P964" s="8" t="s">
        <v>405</v>
      </c>
      <c r="Q964" s="12" t="s">
        <v>3967</v>
      </c>
      <c r="R964" s="8" t="s">
        <v>29</v>
      </c>
      <c r="S964" s="7" t="s">
        <v>28</v>
      </c>
      <c r="T964" s="6"/>
      <c r="U964" s="8"/>
    </row>
    <row r="965" spans="1:34" ht="13.5" customHeight="1">
      <c r="A965" s="8" t="s">
        <v>3968</v>
      </c>
      <c r="B965" s="16">
        <v>43</v>
      </c>
      <c r="C965" s="8" t="s">
        <v>20</v>
      </c>
      <c r="D965" s="8" t="s">
        <v>85</v>
      </c>
      <c r="E965" s="8" t="s">
        <v>3969</v>
      </c>
      <c r="F965" s="17">
        <v>42064</v>
      </c>
      <c r="G965" s="8" t="s">
        <v>3970</v>
      </c>
      <c r="H965" s="8" t="s">
        <v>98</v>
      </c>
      <c r="I965" s="8" t="s">
        <v>45</v>
      </c>
      <c r="J965" s="16" t="s">
        <v>3971</v>
      </c>
      <c r="K965" s="2" t="s">
        <v>98</v>
      </c>
      <c r="L965" s="8" t="s">
        <v>99</v>
      </c>
      <c r="M965" s="8" t="s">
        <v>27</v>
      </c>
      <c r="N965" s="8" t="s">
        <v>3972</v>
      </c>
      <c r="O965" s="8" t="s">
        <v>404</v>
      </c>
      <c r="P965" s="8" t="s">
        <v>405</v>
      </c>
      <c r="Q965" s="12" t="s">
        <v>3973</v>
      </c>
      <c r="R965" s="8" t="s">
        <v>559</v>
      </c>
      <c r="S965" s="7" t="s">
        <v>18</v>
      </c>
      <c r="T965" s="6"/>
      <c r="U965" s="8"/>
    </row>
    <row r="966" spans="1:34" ht="13.5" customHeight="1">
      <c r="A966" s="8" t="s">
        <v>3974</v>
      </c>
      <c r="B966" s="16">
        <v>47</v>
      </c>
      <c r="C966" s="8" t="s">
        <v>20</v>
      </c>
      <c r="D966" s="8" t="s">
        <v>85</v>
      </c>
      <c r="E966" s="8" t="s">
        <v>3975</v>
      </c>
      <c r="F966" s="17">
        <v>42064</v>
      </c>
      <c r="G966" s="8" t="s">
        <v>3976</v>
      </c>
      <c r="H966" s="8" t="s">
        <v>1104</v>
      </c>
      <c r="I966" s="8" t="s">
        <v>399</v>
      </c>
      <c r="J966" s="16" t="s">
        <v>3977</v>
      </c>
      <c r="K966" s="2" t="s">
        <v>1105</v>
      </c>
      <c r="L966" s="8" t="s">
        <v>1106</v>
      </c>
      <c r="M966" s="8" t="s">
        <v>1706</v>
      </c>
      <c r="N966" s="8" t="s">
        <v>3978</v>
      </c>
      <c r="O966" s="8" t="s">
        <v>1018</v>
      </c>
      <c r="P966" s="8" t="s">
        <v>405</v>
      </c>
      <c r="Q966" s="12" t="s">
        <v>3979</v>
      </c>
      <c r="R966" s="8" t="s">
        <v>559</v>
      </c>
      <c r="S966" s="7" t="s">
        <v>18</v>
      </c>
      <c r="T966" s="6"/>
      <c r="U966" s="8"/>
    </row>
    <row r="967" spans="1:34" ht="13.5" customHeight="1">
      <c r="A967" s="8" t="s">
        <v>19658</v>
      </c>
      <c r="B967" s="16">
        <v>32</v>
      </c>
      <c r="C967" s="8" t="s">
        <v>20</v>
      </c>
      <c r="D967" s="8" t="s">
        <v>85</v>
      </c>
      <c r="F967" s="17">
        <v>42064</v>
      </c>
      <c r="G967" s="8" t="s">
        <v>19659</v>
      </c>
      <c r="H967" s="8" t="s">
        <v>19660</v>
      </c>
      <c r="I967" s="8" t="s">
        <v>52</v>
      </c>
      <c r="J967" s="16">
        <v>20695</v>
      </c>
      <c r="K967" s="2" t="s">
        <v>2863</v>
      </c>
      <c r="L967" s="8" t="s">
        <v>19661</v>
      </c>
      <c r="M967" s="8" t="s">
        <v>395</v>
      </c>
      <c r="N967" s="8" t="s">
        <v>19663</v>
      </c>
      <c r="O967" s="8" t="s">
        <v>404</v>
      </c>
      <c r="P967" s="8" t="s">
        <v>405</v>
      </c>
      <c r="Q967" s="12" t="s">
        <v>19662</v>
      </c>
      <c r="S967" s="9" t="s">
        <v>18</v>
      </c>
      <c r="T967" s="7"/>
      <c r="U967" s="7"/>
      <c r="V967" s="7"/>
      <c r="W967" s="8"/>
      <c r="X967" s="6"/>
    </row>
    <row r="968" spans="1:34" ht="13.5" customHeight="1">
      <c r="A968" s="8" t="s">
        <v>3996</v>
      </c>
      <c r="B968" s="16">
        <v>17</v>
      </c>
      <c r="C968" s="8" t="s">
        <v>20</v>
      </c>
      <c r="D968" s="8" t="s">
        <v>37</v>
      </c>
      <c r="E968" s="8" t="s">
        <v>3997</v>
      </c>
      <c r="F968" s="17">
        <v>42064</v>
      </c>
      <c r="G968" s="8" t="s">
        <v>3998</v>
      </c>
      <c r="H968" s="8" t="s">
        <v>3999</v>
      </c>
      <c r="I968" s="8" t="s">
        <v>57</v>
      </c>
      <c r="J968" s="16" t="s">
        <v>4000</v>
      </c>
      <c r="K968" s="2" t="s">
        <v>4001</v>
      </c>
      <c r="L968" s="8" t="s">
        <v>4002</v>
      </c>
      <c r="M968" s="8" t="s">
        <v>27</v>
      </c>
      <c r="N968" s="8" t="s">
        <v>4003</v>
      </c>
      <c r="O968" s="8" t="s">
        <v>404</v>
      </c>
      <c r="P968" s="8" t="s">
        <v>405</v>
      </c>
      <c r="Q968" s="12" t="s">
        <v>4004</v>
      </c>
      <c r="R968" s="8" t="s">
        <v>100</v>
      </c>
      <c r="S968" s="7" t="s">
        <v>28</v>
      </c>
      <c r="T968" s="6"/>
      <c r="U968" s="8"/>
    </row>
    <row r="969" spans="1:34" ht="13.5" customHeight="1">
      <c r="A969" s="8" t="s">
        <v>3980</v>
      </c>
      <c r="B969" s="16">
        <v>49</v>
      </c>
      <c r="C969" s="8" t="s">
        <v>20</v>
      </c>
      <c r="D969" s="8" t="s">
        <v>30</v>
      </c>
      <c r="F969" s="17">
        <v>42064</v>
      </c>
      <c r="G969" s="8" t="s">
        <v>3981</v>
      </c>
      <c r="H969" s="8" t="s">
        <v>3982</v>
      </c>
      <c r="I969" s="8" t="s">
        <v>675</v>
      </c>
      <c r="J969" s="16" t="s">
        <v>3983</v>
      </c>
      <c r="K969" s="2" t="s">
        <v>3984</v>
      </c>
      <c r="L969" s="8" t="s">
        <v>3985</v>
      </c>
      <c r="M969" s="8" t="s">
        <v>27</v>
      </c>
      <c r="N969" s="8" t="s">
        <v>3986</v>
      </c>
      <c r="O969" s="8" t="s">
        <v>1018</v>
      </c>
      <c r="P969" s="8" t="s">
        <v>405</v>
      </c>
      <c r="Q969" s="12" t="s">
        <v>3987</v>
      </c>
      <c r="R969" s="8" t="s">
        <v>29</v>
      </c>
      <c r="S969" s="7" t="s">
        <v>28</v>
      </c>
      <c r="T969" s="6"/>
      <c r="U969" s="8"/>
    </row>
    <row r="970" spans="1:34" ht="13.5" customHeight="1">
      <c r="A970" s="8" t="s">
        <v>3988</v>
      </c>
      <c r="B970" s="16">
        <v>63</v>
      </c>
      <c r="C970" s="8" t="s">
        <v>20</v>
      </c>
      <c r="D970" s="8" t="s">
        <v>30</v>
      </c>
      <c r="F970" s="17">
        <v>42064</v>
      </c>
      <c r="G970" s="8" t="s">
        <v>3989</v>
      </c>
      <c r="H970" s="8" t="s">
        <v>3990</v>
      </c>
      <c r="I970" s="8" t="s">
        <v>878</v>
      </c>
      <c r="J970" s="16" t="s">
        <v>3991</v>
      </c>
      <c r="K970" s="2" t="s">
        <v>3992</v>
      </c>
      <c r="L970" s="8" t="s">
        <v>3993</v>
      </c>
      <c r="M970" s="8" t="s">
        <v>383</v>
      </c>
      <c r="N970" s="8" t="s">
        <v>3994</v>
      </c>
      <c r="O970" s="8" t="s">
        <v>404</v>
      </c>
      <c r="P970" s="8" t="s">
        <v>405</v>
      </c>
      <c r="Q970" s="12" t="s">
        <v>3995</v>
      </c>
      <c r="R970" s="8" t="s">
        <v>29</v>
      </c>
      <c r="S970" s="7" t="s">
        <v>18</v>
      </c>
      <c r="T970" s="6"/>
      <c r="U970" s="8"/>
    </row>
    <row r="971" spans="1:34" ht="13.5" customHeight="1">
      <c r="A971" s="8" t="s">
        <v>4034</v>
      </c>
      <c r="B971" s="16">
        <v>24</v>
      </c>
      <c r="C971" s="8" t="s">
        <v>20</v>
      </c>
      <c r="D971" s="8" t="s">
        <v>37</v>
      </c>
      <c r="E971" s="8" t="s">
        <v>4035</v>
      </c>
      <c r="F971" s="17">
        <v>42063</v>
      </c>
      <c r="G971" s="8" t="s">
        <v>4036</v>
      </c>
      <c r="H971" s="8" t="s">
        <v>4037</v>
      </c>
      <c r="I971" s="8" t="s">
        <v>32</v>
      </c>
      <c r="J971" s="16" t="s">
        <v>4038</v>
      </c>
      <c r="K971" s="2" t="s">
        <v>255</v>
      </c>
      <c r="L971" s="8" t="s">
        <v>34</v>
      </c>
      <c r="M971" s="8" t="s">
        <v>27</v>
      </c>
      <c r="N971" s="8" t="s">
        <v>4039</v>
      </c>
      <c r="O971" s="8" t="s">
        <v>1018</v>
      </c>
      <c r="P971" s="8" t="s">
        <v>405</v>
      </c>
      <c r="Q971" s="12" t="s">
        <v>4040</v>
      </c>
      <c r="R971" s="8" t="s">
        <v>100</v>
      </c>
      <c r="S971" s="7" t="s">
        <v>28</v>
      </c>
      <c r="T971" s="6"/>
      <c r="U971" s="8"/>
      <c r="Y971" s="8"/>
      <c r="Z971" s="8"/>
      <c r="AA971" s="8"/>
      <c r="AB971" s="8"/>
      <c r="AC971" s="8"/>
      <c r="AD971" s="8"/>
      <c r="AE971" s="8"/>
      <c r="AF971" s="8"/>
      <c r="AG971" s="8"/>
      <c r="AH971" s="8"/>
    </row>
    <row r="972" spans="1:34" ht="13.5" customHeight="1">
      <c r="A972" s="8" t="s">
        <v>4034</v>
      </c>
      <c r="B972" s="16">
        <v>24</v>
      </c>
      <c r="C972" s="8" t="s">
        <v>20</v>
      </c>
      <c r="D972" s="8" t="s">
        <v>37</v>
      </c>
      <c r="E972" s="8" t="s">
        <v>4035</v>
      </c>
      <c r="F972" s="17">
        <v>42063</v>
      </c>
      <c r="G972" s="8" t="s">
        <v>4036</v>
      </c>
      <c r="H972" s="8" t="s">
        <v>4037</v>
      </c>
      <c r="I972" s="8" t="s">
        <v>32</v>
      </c>
      <c r="J972" s="16" t="s">
        <v>4038</v>
      </c>
      <c r="K972" s="2" t="s">
        <v>255</v>
      </c>
      <c r="L972" s="8" t="s">
        <v>34</v>
      </c>
      <c r="M972" s="8" t="s">
        <v>27</v>
      </c>
      <c r="N972" s="8" t="s">
        <v>4039</v>
      </c>
      <c r="O972" s="8" t="s">
        <v>1018</v>
      </c>
      <c r="P972" s="8" t="s">
        <v>405</v>
      </c>
      <c r="Q972" s="12" t="s">
        <v>4040</v>
      </c>
      <c r="R972" s="8" t="s">
        <v>100</v>
      </c>
      <c r="S972" s="7" t="s">
        <v>28</v>
      </c>
      <c r="T972" s="6"/>
      <c r="U972" s="8"/>
      <c r="Y972" s="8"/>
      <c r="Z972" s="8"/>
      <c r="AA972" s="8"/>
      <c r="AB972" s="8"/>
      <c r="AC972" s="8"/>
      <c r="AD972" s="8"/>
      <c r="AE972" s="8"/>
      <c r="AF972" s="8"/>
      <c r="AG972" s="8"/>
      <c r="AH972" s="8"/>
    </row>
    <row r="973" spans="1:34" ht="13.5" customHeight="1">
      <c r="A973" s="8" t="s">
        <v>4005</v>
      </c>
      <c r="B973" s="16">
        <v>28</v>
      </c>
      <c r="C973" s="8" t="s">
        <v>20</v>
      </c>
      <c r="D973" s="8" t="s">
        <v>85</v>
      </c>
      <c r="E973" s="8" t="s">
        <v>4006</v>
      </c>
      <c r="F973" s="17">
        <v>42063</v>
      </c>
      <c r="G973" s="8" t="s">
        <v>4007</v>
      </c>
      <c r="H973" s="8" t="s">
        <v>51</v>
      </c>
      <c r="I973" s="8" t="s">
        <v>435</v>
      </c>
      <c r="J973" s="16" t="s">
        <v>2882</v>
      </c>
      <c r="K973" s="2" t="s">
        <v>2883</v>
      </c>
      <c r="L973" s="8" t="s">
        <v>4008</v>
      </c>
      <c r="M973" s="8" t="s">
        <v>27</v>
      </c>
      <c r="N973" s="8" t="s">
        <v>4009</v>
      </c>
      <c r="O973" s="8" t="s">
        <v>1018</v>
      </c>
      <c r="P973" s="8" t="s">
        <v>405</v>
      </c>
      <c r="Q973" s="12" t="s">
        <v>4010</v>
      </c>
      <c r="R973" s="8" t="s">
        <v>100</v>
      </c>
      <c r="S973" s="7" t="s">
        <v>28</v>
      </c>
      <c r="T973" s="6"/>
      <c r="U973" s="8"/>
    </row>
    <row r="974" spans="1:34" ht="13.5" customHeight="1">
      <c r="A974" s="8" t="s">
        <v>4011</v>
      </c>
      <c r="B974" s="16">
        <v>40</v>
      </c>
      <c r="C974" s="8" t="s">
        <v>20</v>
      </c>
      <c r="D974" s="8" t="s">
        <v>85</v>
      </c>
      <c r="E974" s="8" t="s">
        <v>4012</v>
      </c>
      <c r="F974" s="17">
        <v>42063</v>
      </c>
      <c r="G974" s="8" t="s">
        <v>4013</v>
      </c>
      <c r="H974" s="8" t="s">
        <v>4014</v>
      </c>
      <c r="I974" s="8" t="s">
        <v>370</v>
      </c>
      <c r="J974" s="16" t="s">
        <v>4015</v>
      </c>
      <c r="K974" s="2" t="s">
        <v>4016</v>
      </c>
      <c r="L974" s="8" t="s">
        <v>4017</v>
      </c>
      <c r="M974" s="8" t="s">
        <v>27</v>
      </c>
      <c r="N974" s="8" t="s">
        <v>4018</v>
      </c>
      <c r="O974" s="8" t="s">
        <v>554</v>
      </c>
      <c r="P974" s="8" t="s">
        <v>405</v>
      </c>
      <c r="Q974" s="12" t="s">
        <v>4019</v>
      </c>
      <c r="R974" s="8" t="s">
        <v>100</v>
      </c>
      <c r="S974" s="7" t="s">
        <v>28</v>
      </c>
      <c r="T974" s="6"/>
      <c r="U974" s="8"/>
    </row>
    <row r="975" spans="1:34" ht="13.5" customHeight="1">
      <c r="A975" s="8" t="s">
        <v>4029</v>
      </c>
      <c r="B975" s="16">
        <v>28</v>
      </c>
      <c r="C975" s="8" t="s">
        <v>115</v>
      </c>
      <c r="D975" s="8" t="s">
        <v>48</v>
      </c>
      <c r="F975" s="17">
        <v>42063</v>
      </c>
      <c r="G975" s="8" t="s">
        <v>4030</v>
      </c>
      <c r="H975" s="8" t="s">
        <v>565</v>
      </c>
      <c r="I975" s="8" t="s">
        <v>124</v>
      </c>
      <c r="J975" s="16" t="s">
        <v>4031</v>
      </c>
      <c r="K975" s="2" t="s">
        <v>566</v>
      </c>
      <c r="L975" s="8" t="s">
        <v>567</v>
      </c>
      <c r="M975" s="8" t="s">
        <v>27</v>
      </c>
      <c r="N975" s="8" t="s">
        <v>4032</v>
      </c>
      <c r="O975" s="8" t="s">
        <v>1018</v>
      </c>
      <c r="P975" s="8" t="s">
        <v>405</v>
      </c>
      <c r="Q975" s="12" t="s">
        <v>4033</v>
      </c>
      <c r="R975" s="8" t="s">
        <v>100</v>
      </c>
      <c r="S975" s="7" t="s">
        <v>28</v>
      </c>
      <c r="T975" s="6"/>
      <c r="U975" s="8"/>
    </row>
    <row r="976" spans="1:34" ht="13.5" customHeight="1">
      <c r="A976" s="8" t="s">
        <v>4041</v>
      </c>
      <c r="B976" s="16">
        <v>37</v>
      </c>
      <c r="C976" s="8" t="s">
        <v>115</v>
      </c>
      <c r="D976" s="8" t="s">
        <v>37</v>
      </c>
      <c r="E976" s="8" t="s">
        <v>4042</v>
      </c>
      <c r="F976" s="17">
        <v>42063</v>
      </c>
      <c r="G976" s="8" t="s">
        <v>4043</v>
      </c>
      <c r="H976" s="8" t="s">
        <v>4044</v>
      </c>
      <c r="I976" s="8" t="s">
        <v>124</v>
      </c>
      <c r="J976" s="16" t="s">
        <v>4045</v>
      </c>
      <c r="K976" s="2" t="s">
        <v>4046</v>
      </c>
      <c r="L976" s="8" t="s">
        <v>4047</v>
      </c>
      <c r="M976" s="8" t="s">
        <v>27</v>
      </c>
      <c r="N976" s="8" t="s">
        <v>4048</v>
      </c>
      <c r="O976" s="8" t="s">
        <v>1018</v>
      </c>
      <c r="P976" s="8" t="s">
        <v>405</v>
      </c>
      <c r="Q976" s="12" t="s">
        <v>4049</v>
      </c>
      <c r="R976" s="8" t="s">
        <v>100</v>
      </c>
      <c r="S976" s="7" t="s">
        <v>28</v>
      </c>
      <c r="T976" s="6"/>
      <c r="U976" s="8"/>
    </row>
    <row r="977" spans="1:34" ht="13.5" customHeight="1">
      <c r="A977" s="8" t="s">
        <v>4020</v>
      </c>
      <c r="B977" s="16">
        <v>34</v>
      </c>
      <c r="C977" s="8" t="s">
        <v>20</v>
      </c>
      <c r="D977" s="8" t="s">
        <v>85</v>
      </c>
      <c r="E977" s="8" t="s">
        <v>4021</v>
      </c>
      <c r="F977" s="17">
        <v>42063</v>
      </c>
      <c r="G977" s="8" t="s">
        <v>4022</v>
      </c>
      <c r="H977" s="8" t="s">
        <v>4023</v>
      </c>
      <c r="I977" s="8" t="s">
        <v>435</v>
      </c>
      <c r="J977" s="16" t="s">
        <v>4024</v>
      </c>
      <c r="K977" s="2" t="s">
        <v>4025</v>
      </c>
      <c r="L977" s="8" t="s">
        <v>4026</v>
      </c>
      <c r="M977" s="8" t="s">
        <v>27</v>
      </c>
      <c r="N977" s="8" t="s">
        <v>4027</v>
      </c>
      <c r="O977" s="8" t="s">
        <v>404</v>
      </c>
      <c r="P977" s="8" t="s">
        <v>405</v>
      </c>
      <c r="Q977" s="12" t="s">
        <v>4028</v>
      </c>
      <c r="R977" s="8" t="s">
        <v>100</v>
      </c>
      <c r="S977" s="7" t="s">
        <v>18</v>
      </c>
      <c r="T977" s="6"/>
      <c r="U977" s="8"/>
    </row>
    <row r="978" spans="1:34" ht="13.5" customHeight="1">
      <c r="A978" s="8" t="s">
        <v>4050</v>
      </c>
      <c r="B978" s="16">
        <v>27</v>
      </c>
      <c r="C978" s="8" t="s">
        <v>20</v>
      </c>
      <c r="D978" s="8" t="s">
        <v>48</v>
      </c>
      <c r="E978" s="8" t="s">
        <v>4051</v>
      </c>
      <c r="F978" s="17">
        <v>42062</v>
      </c>
      <c r="G978" s="8" t="s">
        <v>4052</v>
      </c>
      <c r="H978" s="8" t="s">
        <v>3736</v>
      </c>
      <c r="I978" s="8" t="s">
        <v>45</v>
      </c>
      <c r="J978" s="16" t="s">
        <v>4053</v>
      </c>
      <c r="K978" s="2" t="s">
        <v>1070</v>
      </c>
      <c r="L978" s="8" t="s">
        <v>3738</v>
      </c>
      <c r="M978" s="8" t="s">
        <v>27</v>
      </c>
      <c r="N978" s="8" t="s">
        <v>4054</v>
      </c>
      <c r="O978" s="8" t="s">
        <v>404</v>
      </c>
      <c r="P978" s="8" t="s">
        <v>405</v>
      </c>
      <c r="Q978" s="12" t="s">
        <v>4055</v>
      </c>
      <c r="R978" s="8" t="s">
        <v>100</v>
      </c>
      <c r="S978" s="7" t="s">
        <v>18</v>
      </c>
      <c r="T978" s="6"/>
      <c r="U978" s="8"/>
    </row>
    <row r="979" spans="1:34" ht="13.5" customHeight="1">
      <c r="A979" s="8" t="s">
        <v>4056</v>
      </c>
      <c r="B979" s="16">
        <v>21</v>
      </c>
      <c r="C979" s="8" t="s">
        <v>20</v>
      </c>
      <c r="D979" s="8" t="s">
        <v>48</v>
      </c>
      <c r="F979" s="17">
        <v>42061</v>
      </c>
      <c r="G979" s="8" t="s">
        <v>4057</v>
      </c>
      <c r="H979" s="8" t="s">
        <v>953</v>
      </c>
      <c r="I979" s="8" t="s">
        <v>45</v>
      </c>
      <c r="J979" s="16" t="s">
        <v>4058</v>
      </c>
      <c r="K979" s="2" t="s">
        <v>953</v>
      </c>
      <c r="L979" s="8" t="s">
        <v>954</v>
      </c>
      <c r="M979" s="8" t="s">
        <v>27</v>
      </c>
      <c r="N979" s="8" t="s">
        <v>4059</v>
      </c>
      <c r="O979" s="8" t="s">
        <v>404</v>
      </c>
      <c r="P979" s="8" t="s">
        <v>405</v>
      </c>
      <c r="Q979" s="12" t="s">
        <v>4060</v>
      </c>
      <c r="R979" s="8" t="s">
        <v>100</v>
      </c>
      <c r="S979" s="7" t="s">
        <v>35</v>
      </c>
      <c r="T979" s="6"/>
      <c r="U979" s="8"/>
    </row>
    <row r="980" spans="1:34" ht="13.5" customHeight="1">
      <c r="A980" s="8" t="s">
        <v>4075</v>
      </c>
      <c r="B980" s="16">
        <v>34</v>
      </c>
      <c r="C980" s="8" t="s">
        <v>115</v>
      </c>
      <c r="D980" s="8" t="s">
        <v>37</v>
      </c>
      <c r="E980" s="8" t="s">
        <v>4076</v>
      </c>
      <c r="F980" s="17">
        <v>42061</v>
      </c>
      <c r="G980" s="8" t="s">
        <v>4077</v>
      </c>
      <c r="H980" s="8" t="s">
        <v>4078</v>
      </c>
      <c r="I980" s="8" t="s">
        <v>175</v>
      </c>
      <c r="J980" s="16" t="s">
        <v>4079</v>
      </c>
      <c r="K980" s="2" t="s">
        <v>4080</v>
      </c>
      <c r="L980" s="8" t="s">
        <v>4081</v>
      </c>
      <c r="M980" s="8" t="s">
        <v>27</v>
      </c>
      <c r="N980" s="8" t="s">
        <v>4082</v>
      </c>
      <c r="O980" s="8" t="s">
        <v>1018</v>
      </c>
      <c r="P980" s="8" t="s">
        <v>405</v>
      </c>
      <c r="Q980" s="12" t="s">
        <v>4083</v>
      </c>
      <c r="R980" s="8" t="s">
        <v>100</v>
      </c>
      <c r="S980" s="7" t="s">
        <v>28</v>
      </c>
      <c r="T980" s="6"/>
      <c r="U980" s="8"/>
    </row>
    <row r="981" spans="1:34" ht="13.5" customHeight="1">
      <c r="A981" s="8" t="s">
        <v>4068</v>
      </c>
      <c r="B981" s="16">
        <v>42</v>
      </c>
      <c r="C981" s="8" t="s">
        <v>20</v>
      </c>
      <c r="D981" s="8" t="s">
        <v>37</v>
      </c>
      <c r="F981" s="17">
        <v>42061</v>
      </c>
      <c r="G981" s="8" t="s">
        <v>4069</v>
      </c>
      <c r="H981" s="8" t="s">
        <v>4070</v>
      </c>
      <c r="I981" s="8" t="s">
        <v>62</v>
      </c>
      <c r="J981" s="16" t="s">
        <v>4071</v>
      </c>
      <c r="K981" s="2" t="s">
        <v>1881</v>
      </c>
      <c r="L981" s="8" t="s">
        <v>4072</v>
      </c>
      <c r="M981" s="8" t="s">
        <v>27</v>
      </c>
      <c r="N981" s="8" t="s">
        <v>4073</v>
      </c>
      <c r="O981" s="8" t="s">
        <v>404</v>
      </c>
      <c r="P981" s="8" t="s">
        <v>405</v>
      </c>
      <c r="Q981" s="12" t="s">
        <v>4074</v>
      </c>
      <c r="R981" s="8" t="s">
        <v>100</v>
      </c>
      <c r="S981" s="7" t="s">
        <v>28</v>
      </c>
      <c r="T981" s="6"/>
      <c r="U981" s="8"/>
    </row>
    <row r="982" spans="1:34" ht="13.5" customHeight="1">
      <c r="A982" s="8" t="s">
        <v>20906</v>
      </c>
      <c r="B982" s="16">
        <v>49</v>
      </c>
      <c r="C982" s="8" t="s">
        <v>20</v>
      </c>
      <c r="D982" s="8" t="s">
        <v>85</v>
      </c>
      <c r="F982" s="17">
        <v>42061</v>
      </c>
      <c r="G982" s="8" t="s">
        <v>4061</v>
      </c>
      <c r="H982" s="8" t="s">
        <v>4062</v>
      </c>
      <c r="I982" s="8" t="s">
        <v>675</v>
      </c>
      <c r="J982" s="16" t="s">
        <v>4063</v>
      </c>
      <c r="K982" s="2" t="s">
        <v>4064</v>
      </c>
      <c r="L982" s="8" t="s">
        <v>4065</v>
      </c>
      <c r="M982" s="8" t="s">
        <v>27</v>
      </c>
      <c r="N982" s="8" t="s">
        <v>4066</v>
      </c>
      <c r="O982" s="8" t="s">
        <v>405</v>
      </c>
      <c r="P982" s="8" t="s">
        <v>405</v>
      </c>
      <c r="Q982" s="12" t="s">
        <v>4067</v>
      </c>
      <c r="R982" s="8" t="s">
        <v>29</v>
      </c>
      <c r="S982" s="7" t="s">
        <v>28</v>
      </c>
      <c r="T982" s="8"/>
      <c r="U982" s="8"/>
    </row>
    <row r="983" spans="1:34" ht="13.5" customHeight="1">
      <c r="A983" s="8" t="s">
        <v>4104</v>
      </c>
      <c r="B983" s="16">
        <v>31</v>
      </c>
      <c r="C983" s="8" t="s">
        <v>20</v>
      </c>
      <c r="D983" s="8" t="s">
        <v>37</v>
      </c>
      <c r="E983" s="8" t="s">
        <v>4105</v>
      </c>
      <c r="F983" s="17">
        <v>42060</v>
      </c>
      <c r="H983" s="8" t="s">
        <v>4106</v>
      </c>
      <c r="I983" s="8" t="s">
        <v>220</v>
      </c>
      <c r="J983" s="16">
        <v>47802</v>
      </c>
      <c r="K983" s="2" t="s">
        <v>4107</v>
      </c>
      <c r="L983" s="8" t="s">
        <v>5487</v>
      </c>
      <c r="M983" s="8" t="s">
        <v>27</v>
      </c>
      <c r="N983" s="8" t="s">
        <v>4108</v>
      </c>
      <c r="P983" s="8" t="s">
        <v>405</v>
      </c>
      <c r="Q983" s="12"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983" s="7" t="s">
        <v>18</v>
      </c>
      <c r="T983" s="6"/>
      <c r="U983" s="8"/>
    </row>
    <row r="984" spans="1:34" ht="13.5" customHeight="1">
      <c r="A984" s="8" t="s">
        <v>4098</v>
      </c>
      <c r="B984" s="16">
        <v>43</v>
      </c>
      <c r="C984" s="8" t="s">
        <v>20</v>
      </c>
      <c r="D984" s="8" t="s">
        <v>37</v>
      </c>
      <c r="E984" s="8" t="s">
        <v>4099</v>
      </c>
      <c r="F984" s="17">
        <v>42060</v>
      </c>
      <c r="G984" s="8" t="s">
        <v>4100</v>
      </c>
      <c r="H984" s="8" t="s">
        <v>661</v>
      </c>
      <c r="I984" s="8" t="s">
        <v>272</v>
      </c>
      <c r="J984" s="16" t="s">
        <v>4101</v>
      </c>
      <c r="K984" s="2" t="s">
        <v>574</v>
      </c>
      <c r="L984" s="8" t="s">
        <v>575</v>
      </c>
      <c r="M984" s="8" t="s">
        <v>27</v>
      </c>
      <c r="N984" s="8" t="s">
        <v>4102</v>
      </c>
      <c r="O984" s="8" t="s">
        <v>1018</v>
      </c>
      <c r="P984" s="8" t="s">
        <v>405</v>
      </c>
      <c r="Q984" s="12" t="s">
        <v>4103</v>
      </c>
      <c r="R984" s="8" t="s">
        <v>29</v>
      </c>
      <c r="S984" s="7" t="s">
        <v>28</v>
      </c>
      <c r="T984" s="6"/>
      <c r="U984" s="8"/>
    </row>
    <row r="985" spans="1:34" ht="13.5" customHeight="1">
      <c r="A985" s="8" t="s">
        <v>4084</v>
      </c>
      <c r="B985" s="16">
        <v>37</v>
      </c>
      <c r="C985" s="8" t="s">
        <v>20</v>
      </c>
      <c r="D985" s="8" t="s">
        <v>85</v>
      </c>
      <c r="E985" s="8" t="s">
        <v>4085</v>
      </c>
      <c r="F985" s="17">
        <v>42060</v>
      </c>
      <c r="G985" s="8" t="s">
        <v>4086</v>
      </c>
      <c r="H985" s="8" t="s">
        <v>1104</v>
      </c>
      <c r="I985" s="8" t="s">
        <v>399</v>
      </c>
      <c r="J985" s="16" t="s">
        <v>4087</v>
      </c>
      <c r="K985" s="2" t="s">
        <v>1105</v>
      </c>
      <c r="L985" s="8" t="s">
        <v>1106</v>
      </c>
      <c r="M985" s="8" t="s">
        <v>27</v>
      </c>
      <c r="N985" s="8" t="s">
        <v>4088</v>
      </c>
      <c r="O985" s="8" t="s">
        <v>1018</v>
      </c>
      <c r="P985" s="8" t="s">
        <v>405</v>
      </c>
      <c r="Q985" s="12" t="s">
        <v>4089</v>
      </c>
      <c r="R985" s="8" t="s">
        <v>100</v>
      </c>
      <c r="S985" s="7" t="s">
        <v>383</v>
      </c>
      <c r="T985" s="6"/>
      <c r="U985" s="8"/>
    </row>
    <row r="986" spans="1:34" ht="13.5" customHeight="1">
      <c r="A986" s="8" t="s">
        <v>4090</v>
      </c>
      <c r="B986" s="16">
        <v>54</v>
      </c>
      <c r="C986" s="8" t="s">
        <v>20</v>
      </c>
      <c r="D986" s="8" t="s">
        <v>30</v>
      </c>
      <c r="F986" s="17">
        <v>42060</v>
      </c>
      <c r="G986" s="8" t="s">
        <v>4091</v>
      </c>
      <c r="H986" s="8" t="s">
        <v>4092</v>
      </c>
      <c r="I986" s="8" t="s">
        <v>408</v>
      </c>
      <c r="J986" s="16" t="s">
        <v>4093</v>
      </c>
      <c r="K986" s="2" t="s">
        <v>1301</v>
      </c>
      <c r="L986" s="8" t="s">
        <v>4094</v>
      </c>
      <c r="M986" s="8" t="s">
        <v>4095</v>
      </c>
      <c r="N986" s="8" t="s">
        <v>4096</v>
      </c>
      <c r="O986" s="8" t="s">
        <v>1018</v>
      </c>
      <c r="P986" s="8" t="s">
        <v>405</v>
      </c>
      <c r="Q986" s="12" t="s">
        <v>4097</v>
      </c>
      <c r="R986" s="8" t="s">
        <v>100</v>
      </c>
      <c r="S986" s="7" t="s">
        <v>18</v>
      </c>
      <c r="T986" s="6"/>
      <c r="U986" s="8"/>
    </row>
    <row r="987" spans="1:34" ht="13.5" customHeight="1">
      <c r="A987" s="8" t="s">
        <v>4109</v>
      </c>
      <c r="B987" s="16">
        <v>30</v>
      </c>
      <c r="C987" s="8" t="s">
        <v>20</v>
      </c>
      <c r="D987" s="8" t="s">
        <v>48</v>
      </c>
      <c r="E987" s="8" t="s">
        <v>4110</v>
      </c>
      <c r="F987" s="17">
        <v>42059</v>
      </c>
      <c r="G987" s="8" t="s">
        <v>4111</v>
      </c>
      <c r="H987" s="8" t="s">
        <v>441</v>
      </c>
      <c r="I987" s="8" t="s">
        <v>442</v>
      </c>
      <c r="J987" s="16" t="s">
        <v>4112</v>
      </c>
      <c r="K987" s="2" t="s">
        <v>4113</v>
      </c>
      <c r="L987" s="8" t="s">
        <v>4114</v>
      </c>
      <c r="M987" s="8" t="s">
        <v>27</v>
      </c>
      <c r="N987" s="8" t="s">
        <v>4115</v>
      </c>
      <c r="O987" s="8" t="s">
        <v>404</v>
      </c>
      <c r="P987" s="8" t="s">
        <v>405</v>
      </c>
      <c r="Q987" s="12" t="s">
        <v>4116</v>
      </c>
      <c r="R987" s="8" t="s">
        <v>559</v>
      </c>
      <c r="S987" s="7" t="s">
        <v>28</v>
      </c>
      <c r="T987" s="6"/>
      <c r="U987" s="8"/>
      <c r="Y987" s="8"/>
      <c r="Z987" s="8"/>
      <c r="AA987" s="8"/>
      <c r="AB987" s="8"/>
      <c r="AC987" s="8"/>
      <c r="AD987" s="8"/>
      <c r="AE987" s="8"/>
      <c r="AF987" s="8"/>
      <c r="AG987" s="8"/>
      <c r="AH987" s="8"/>
    </row>
    <row r="988" spans="1:34" ht="13.5" customHeight="1">
      <c r="A988" s="8" t="s">
        <v>4117</v>
      </c>
      <c r="B988" s="16">
        <v>18</v>
      </c>
      <c r="C988" s="8" t="s">
        <v>20</v>
      </c>
      <c r="D988" s="8" t="s">
        <v>85</v>
      </c>
      <c r="F988" s="17">
        <v>42058</v>
      </c>
      <c r="G988" s="8" t="s">
        <v>4118</v>
      </c>
      <c r="H988" s="8" t="s">
        <v>4119</v>
      </c>
      <c r="I988" s="8" t="s">
        <v>94</v>
      </c>
      <c r="J988" s="16" t="s">
        <v>4120</v>
      </c>
      <c r="K988" s="2" t="s">
        <v>4121</v>
      </c>
      <c r="L988" s="8" t="s">
        <v>4122</v>
      </c>
      <c r="M988" s="8" t="s">
        <v>27</v>
      </c>
      <c r="N988" s="8" t="s">
        <v>4123</v>
      </c>
      <c r="O988" s="8" t="s">
        <v>404</v>
      </c>
      <c r="P988" s="8" t="s">
        <v>405</v>
      </c>
      <c r="Q988" s="12" t="s">
        <v>4124</v>
      </c>
      <c r="R988" s="8" t="s">
        <v>100</v>
      </c>
      <c r="S988" s="7" t="s">
        <v>28</v>
      </c>
      <c r="T988" s="6"/>
      <c r="U988" s="8"/>
    </row>
    <row r="989" spans="1:34" ht="13.5" customHeight="1">
      <c r="A989" s="8" t="s">
        <v>4150</v>
      </c>
      <c r="B989" s="16">
        <v>39</v>
      </c>
      <c r="C989" s="8" t="s">
        <v>20</v>
      </c>
      <c r="D989" s="8" t="s">
        <v>37</v>
      </c>
      <c r="E989" s="8" t="s">
        <v>4151</v>
      </c>
      <c r="F989" s="17">
        <v>42058</v>
      </c>
      <c r="G989" s="8" t="s">
        <v>4152</v>
      </c>
      <c r="H989" s="8" t="s">
        <v>1643</v>
      </c>
      <c r="I989" s="8" t="s">
        <v>467</v>
      </c>
      <c r="J989" s="16" t="s">
        <v>4153</v>
      </c>
      <c r="K989" s="2" t="s">
        <v>946</v>
      </c>
      <c r="L989" s="8" t="s">
        <v>2273</v>
      </c>
      <c r="M989" s="8" t="s">
        <v>27</v>
      </c>
      <c r="N989" s="8" t="s">
        <v>4154</v>
      </c>
      <c r="O989" s="8" t="s">
        <v>1018</v>
      </c>
      <c r="P989" s="8" t="s">
        <v>405</v>
      </c>
      <c r="Q989" s="12" t="s">
        <v>4155</v>
      </c>
      <c r="R989" s="8" t="s">
        <v>100</v>
      </c>
      <c r="S989" s="7" t="s">
        <v>18</v>
      </c>
      <c r="T989" s="6"/>
      <c r="U989" s="8"/>
    </row>
    <row r="990" spans="1:34" ht="13.5" customHeight="1">
      <c r="A990" s="8" t="s">
        <v>4133</v>
      </c>
      <c r="B990" s="16">
        <v>42</v>
      </c>
      <c r="C990" s="8" t="s">
        <v>20</v>
      </c>
      <c r="D990" s="8" t="s">
        <v>37</v>
      </c>
      <c r="E990" s="8" t="s">
        <v>4134</v>
      </c>
      <c r="F990" s="17">
        <v>42058</v>
      </c>
      <c r="G990" s="8" t="s">
        <v>4135</v>
      </c>
      <c r="H990" s="8" t="s">
        <v>4136</v>
      </c>
      <c r="I990" s="8" t="s">
        <v>408</v>
      </c>
      <c r="J990" s="16" t="s">
        <v>4137</v>
      </c>
      <c r="K990" s="2" t="s">
        <v>4138</v>
      </c>
      <c r="L990" s="8" t="s">
        <v>4139</v>
      </c>
      <c r="M990" s="8" t="s">
        <v>27</v>
      </c>
      <c r="N990" s="8" t="s">
        <v>4140</v>
      </c>
      <c r="O990" s="8" t="s">
        <v>404</v>
      </c>
      <c r="P990" s="8" t="s">
        <v>405</v>
      </c>
      <c r="Q990" s="12" t="s">
        <v>4141</v>
      </c>
      <c r="R990" s="8" t="s">
        <v>100</v>
      </c>
      <c r="S990" s="7" t="s">
        <v>28</v>
      </c>
      <c r="T990" s="6"/>
      <c r="U990" s="8"/>
    </row>
    <row r="991" spans="1:34" ht="13.5" customHeight="1">
      <c r="A991" s="8" t="s">
        <v>4125</v>
      </c>
      <c r="B991" s="16">
        <v>47</v>
      </c>
      <c r="C991" s="8" t="s">
        <v>20</v>
      </c>
      <c r="D991" s="8" t="s">
        <v>30</v>
      </c>
      <c r="F991" s="17">
        <v>42058</v>
      </c>
      <c r="G991" s="8" t="s">
        <v>4126</v>
      </c>
      <c r="H991" s="8" t="s">
        <v>4127</v>
      </c>
      <c r="I991" s="8" t="s">
        <v>25</v>
      </c>
      <c r="J991" s="16" t="s">
        <v>4128</v>
      </c>
      <c r="K991" s="2" t="s">
        <v>4129</v>
      </c>
      <c r="L991" s="8" t="s">
        <v>4130</v>
      </c>
      <c r="M991" s="8" t="s">
        <v>27</v>
      </c>
      <c r="N991" s="8" t="s">
        <v>4131</v>
      </c>
      <c r="O991" s="8" t="s">
        <v>1018</v>
      </c>
      <c r="P991" s="8" t="s">
        <v>405</v>
      </c>
      <c r="Q991" s="12" t="s">
        <v>4132</v>
      </c>
      <c r="R991" s="8" t="s">
        <v>29</v>
      </c>
      <c r="S991" s="7" t="s">
        <v>28</v>
      </c>
      <c r="T991" s="6"/>
      <c r="U991" s="8"/>
    </row>
    <row r="992" spans="1:34" ht="13.5" customHeight="1">
      <c r="A992" s="8" t="s">
        <v>4142</v>
      </c>
      <c r="B992" s="16">
        <v>37</v>
      </c>
      <c r="C992" s="8" t="s">
        <v>20</v>
      </c>
      <c r="D992" s="8" t="s">
        <v>37</v>
      </c>
      <c r="E992" s="8" t="s">
        <v>4143</v>
      </c>
      <c r="F992" s="17">
        <v>42058</v>
      </c>
      <c r="G992" s="8" t="s">
        <v>4144</v>
      </c>
      <c r="H992" s="8" t="s">
        <v>4145</v>
      </c>
      <c r="I992" s="8" t="s">
        <v>175</v>
      </c>
      <c r="J992" s="16" t="s">
        <v>4146</v>
      </c>
      <c r="K992" s="2" t="s">
        <v>3345</v>
      </c>
      <c r="L992" s="8" t="s">
        <v>4147</v>
      </c>
      <c r="M992" s="8" t="s">
        <v>27</v>
      </c>
      <c r="N992" s="8" t="s">
        <v>4148</v>
      </c>
      <c r="O992" s="8" t="s">
        <v>1018</v>
      </c>
      <c r="P992" s="8" t="s">
        <v>405</v>
      </c>
      <c r="Q992" s="12" t="s">
        <v>4149</v>
      </c>
      <c r="R992" s="8" t="s">
        <v>100</v>
      </c>
      <c r="S992" s="7" t="s">
        <v>28</v>
      </c>
      <c r="T992" s="6"/>
      <c r="U992" s="8"/>
    </row>
    <row r="993" spans="1:21" ht="13.5" customHeight="1">
      <c r="A993" s="8" t="s">
        <v>4171</v>
      </c>
      <c r="B993" s="16">
        <v>40</v>
      </c>
      <c r="C993" s="8" t="s">
        <v>20</v>
      </c>
      <c r="D993" s="8" t="s">
        <v>37</v>
      </c>
      <c r="E993" s="8" t="s">
        <v>4172</v>
      </c>
      <c r="F993" s="17">
        <v>42057</v>
      </c>
      <c r="G993" s="8" t="s">
        <v>4173</v>
      </c>
      <c r="H993" s="8" t="s">
        <v>4174</v>
      </c>
      <c r="I993" s="8" t="s">
        <v>175</v>
      </c>
      <c r="J993" s="16" t="s">
        <v>4175</v>
      </c>
      <c r="K993" s="2" t="s">
        <v>4176</v>
      </c>
      <c r="L993" s="8" t="s">
        <v>4177</v>
      </c>
      <c r="M993" s="8" t="s">
        <v>27</v>
      </c>
      <c r="N993" s="8" t="s">
        <v>4178</v>
      </c>
      <c r="P993" s="8" t="s">
        <v>405</v>
      </c>
      <c r="Q993" s="12" t="s">
        <v>4179</v>
      </c>
      <c r="R993" s="8" t="s">
        <v>29</v>
      </c>
      <c r="S993" s="7" t="s">
        <v>28</v>
      </c>
      <c r="T993" s="6"/>
      <c r="U993" s="8"/>
    </row>
    <row r="994" spans="1:21" ht="13.5" customHeight="1">
      <c r="A994" s="8" t="s">
        <v>4164</v>
      </c>
      <c r="B994" s="16">
        <v>50</v>
      </c>
      <c r="C994" s="8" t="s">
        <v>20</v>
      </c>
      <c r="D994" s="8" t="s">
        <v>30</v>
      </c>
      <c r="F994" s="17">
        <v>42057</v>
      </c>
      <c r="G994" s="8" t="s">
        <v>4165</v>
      </c>
      <c r="H994" s="8" t="s">
        <v>4166</v>
      </c>
      <c r="I994" s="8" t="s">
        <v>62</v>
      </c>
      <c r="J994" s="16" t="s">
        <v>4167</v>
      </c>
      <c r="K994" s="2" t="s">
        <v>1786</v>
      </c>
      <c r="L994" s="8" t="s">
        <v>4168</v>
      </c>
      <c r="M994" s="8" t="s">
        <v>27</v>
      </c>
      <c r="N994" s="8" t="s">
        <v>4169</v>
      </c>
      <c r="O994" s="8" t="s">
        <v>1018</v>
      </c>
      <c r="P994" s="8" t="s">
        <v>405</v>
      </c>
      <c r="Q994" s="12" t="s">
        <v>4170</v>
      </c>
      <c r="R994" s="8" t="s">
        <v>100</v>
      </c>
      <c r="S994" s="7" t="s">
        <v>28</v>
      </c>
      <c r="T994" s="6"/>
      <c r="U994" s="8"/>
    </row>
    <row r="995" spans="1:21" ht="13.5" customHeight="1">
      <c r="A995" s="8" t="s">
        <v>4156</v>
      </c>
      <c r="B995" s="16">
        <v>39</v>
      </c>
      <c r="C995" s="8" t="s">
        <v>20</v>
      </c>
      <c r="D995" s="8" t="s">
        <v>85</v>
      </c>
      <c r="E995" s="8" t="s">
        <v>4157</v>
      </c>
      <c r="F995" s="17">
        <v>42057</v>
      </c>
      <c r="G995" s="8" t="s">
        <v>4158</v>
      </c>
      <c r="H995" s="8" t="s">
        <v>4159</v>
      </c>
      <c r="I995" s="8" t="s">
        <v>62</v>
      </c>
      <c r="J995" s="16" t="s">
        <v>4160</v>
      </c>
      <c r="K995" s="2" t="s">
        <v>1134</v>
      </c>
      <c r="L995" s="8" t="s">
        <v>4161</v>
      </c>
      <c r="M995" s="8" t="s">
        <v>1706</v>
      </c>
      <c r="N995" s="8" t="s">
        <v>4162</v>
      </c>
      <c r="O995" s="8" t="s">
        <v>1018</v>
      </c>
      <c r="P995" s="8" t="s">
        <v>405</v>
      </c>
      <c r="Q995" s="12" t="s">
        <v>4163</v>
      </c>
      <c r="R995" s="8" t="s">
        <v>100</v>
      </c>
      <c r="S995" s="7" t="s">
        <v>18</v>
      </c>
      <c r="T995" s="6"/>
      <c r="U995" s="8"/>
    </row>
    <row r="996" spans="1:21" ht="13.5" customHeight="1">
      <c r="A996" s="8" t="s">
        <v>4180</v>
      </c>
      <c r="B996" s="16">
        <v>41</v>
      </c>
      <c r="C996" s="8" t="s">
        <v>20</v>
      </c>
      <c r="D996" s="8" t="s">
        <v>37</v>
      </c>
      <c r="E996" s="8" t="s">
        <v>4181</v>
      </c>
      <c r="F996" s="17">
        <v>42056</v>
      </c>
      <c r="G996" s="8" t="s">
        <v>4182</v>
      </c>
      <c r="H996" s="8" t="s">
        <v>4183</v>
      </c>
      <c r="I996" s="8" t="s">
        <v>198</v>
      </c>
      <c r="J996" s="16" t="s">
        <v>4184</v>
      </c>
      <c r="K996" s="2" t="s">
        <v>2339</v>
      </c>
      <c r="L996" s="8" t="s">
        <v>3118</v>
      </c>
      <c r="M996" s="8" t="s">
        <v>27</v>
      </c>
      <c r="N996" s="8" t="s">
        <v>4185</v>
      </c>
      <c r="O996" s="8" t="s">
        <v>1018</v>
      </c>
      <c r="P996" s="8" t="s">
        <v>405</v>
      </c>
      <c r="Q996" s="12" t="s">
        <v>4186</v>
      </c>
      <c r="R996" s="8" t="s">
        <v>29</v>
      </c>
      <c r="S996" s="7" t="s">
        <v>28</v>
      </c>
      <c r="T996" s="6"/>
      <c r="U996" s="8"/>
    </row>
    <row r="997" spans="1:21" ht="13.5" customHeight="1">
      <c r="A997" s="8" t="s">
        <v>4187</v>
      </c>
      <c r="B997" s="16">
        <v>51</v>
      </c>
      <c r="C997" s="8" t="s">
        <v>20</v>
      </c>
      <c r="D997" s="8" t="s">
        <v>37</v>
      </c>
      <c r="E997" s="8" t="s">
        <v>4188</v>
      </c>
      <c r="F997" s="17">
        <v>42056</v>
      </c>
      <c r="G997" s="8" t="s">
        <v>4189</v>
      </c>
      <c r="H997" s="8" t="s">
        <v>219</v>
      </c>
      <c r="I997" s="8" t="s">
        <v>220</v>
      </c>
      <c r="J997" s="16" t="s">
        <v>4190</v>
      </c>
      <c r="K997" s="2" t="s">
        <v>424</v>
      </c>
      <c r="L997" s="8" t="s">
        <v>221</v>
      </c>
      <c r="M997" s="8" t="s">
        <v>27</v>
      </c>
      <c r="N997" s="8" t="s">
        <v>4191</v>
      </c>
      <c r="O997" s="8" t="s">
        <v>1018</v>
      </c>
      <c r="P997" s="8" t="s">
        <v>405</v>
      </c>
      <c r="Q997" s="12" t="str">
        <f>HYPERLINK("http://www.theindychannel.com/news/local-news/suspect-fatally-shot-by-impd-officer-on-east-side","http://www.theindychannel.com/news/local-news/suspect-fatally-shot-by-impd-officer-on-east-side")</f>
        <v>http://www.theindychannel.com/news/local-news/suspect-fatally-shot-by-impd-officer-on-east-side</v>
      </c>
      <c r="R997" s="8" t="s">
        <v>100</v>
      </c>
      <c r="S997" s="7" t="s">
        <v>35</v>
      </c>
      <c r="T997" s="6"/>
      <c r="U997" s="8"/>
    </row>
    <row r="998" spans="1:21" ht="13.5" customHeight="1">
      <c r="A998" s="8" t="s">
        <v>4208</v>
      </c>
      <c r="B998" s="16" t="s">
        <v>29</v>
      </c>
      <c r="C998" s="8" t="s">
        <v>20</v>
      </c>
      <c r="D998" s="8" t="s">
        <v>48</v>
      </c>
      <c r="F998" s="17">
        <v>42055</v>
      </c>
      <c r="H998" s="8" t="s">
        <v>731</v>
      </c>
      <c r="I998" s="8" t="s">
        <v>73</v>
      </c>
      <c r="P998" s="8" t="s">
        <v>405</v>
      </c>
      <c r="Q998" s="12" t="s">
        <v>4209</v>
      </c>
      <c r="S998" s="8"/>
      <c r="T998" s="6"/>
      <c r="U998" s="8"/>
    </row>
    <row r="999" spans="1:21" ht="13.5" customHeight="1">
      <c r="A999" s="8" t="s">
        <v>4224</v>
      </c>
      <c r="B999" s="16">
        <v>35</v>
      </c>
      <c r="C999" s="8" t="s">
        <v>20</v>
      </c>
      <c r="D999" s="8" t="s">
        <v>37</v>
      </c>
      <c r="E999" s="8" t="s">
        <v>4225</v>
      </c>
      <c r="F999" s="17">
        <v>42055</v>
      </c>
      <c r="G999" s="8" t="s">
        <v>4226</v>
      </c>
      <c r="H999" s="8" t="s">
        <v>305</v>
      </c>
      <c r="I999" s="8" t="s">
        <v>45</v>
      </c>
      <c r="J999" s="16" t="s">
        <v>4227</v>
      </c>
      <c r="K999" s="2" t="s">
        <v>1344</v>
      </c>
      <c r="L999" s="8" t="s">
        <v>4228</v>
      </c>
      <c r="M999" s="8" t="s">
        <v>1706</v>
      </c>
      <c r="N999" s="8" t="s">
        <v>4229</v>
      </c>
      <c r="O999" s="8" t="s">
        <v>1018</v>
      </c>
      <c r="P999" s="8" t="s">
        <v>405</v>
      </c>
      <c r="Q999" s="12" t="s">
        <v>4230</v>
      </c>
      <c r="S999" s="7" t="s">
        <v>18</v>
      </c>
      <c r="T999" s="6"/>
      <c r="U999" s="8"/>
    </row>
    <row r="1000" spans="1:21" ht="13.5" customHeight="1">
      <c r="A1000" s="8" t="s">
        <v>4218</v>
      </c>
      <c r="B1000" s="16">
        <v>77</v>
      </c>
      <c r="C1000" s="8" t="s">
        <v>20</v>
      </c>
      <c r="D1000" s="8" t="s">
        <v>37</v>
      </c>
      <c r="F1000" s="17">
        <v>42055</v>
      </c>
      <c r="G1000" s="8" t="s">
        <v>4219</v>
      </c>
      <c r="H1000" s="8" t="s">
        <v>4195</v>
      </c>
      <c r="I1000" s="8" t="s">
        <v>94</v>
      </c>
      <c r="J1000" s="16" t="s">
        <v>4220</v>
      </c>
      <c r="K1000" s="2" t="s">
        <v>1795</v>
      </c>
      <c r="L1000" s="8" t="s">
        <v>4221</v>
      </c>
      <c r="M1000" s="8" t="s">
        <v>27</v>
      </c>
      <c r="N1000" s="8" t="s">
        <v>4222</v>
      </c>
      <c r="O1000" s="8" t="s">
        <v>404</v>
      </c>
      <c r="P1000" s="8" t="s">
        <v>405</v>
      </c>
      <c r="Q1000" s="12" t="s">
        <v>4223</v>
      </c>
      <c r="R1000" s="8" t="s">
        <v>559</v>
      </c>
      <c r="S1000" s="7" t="s">
        <v>28</v>
      </c>
      <c r="T1000" s="6"/>
      <c r="U1000" s="8"/>
    </row>
    <row r="1001" spans="1:21" ht="13.5" customHeight="1">
      <c r="A1001" s="8" t="s">
        <v>4210</v>
      </c>
      <c r="B1001" s="16">
        <v>31</v>
      </c>
      <c r="C1001" s="8" t="s">
        <v>20</v>
      </c>
      <c r="D1001" s="8" t="s">
        <v>48</v>
      </c>
      <c r="E1001" s="8" t="s">
        <v>4211</v>
      </c>
      <c r="F1001" s="17">
        <v>42055</v>
      </c>
      <c r="G1001" s="8" t="s">
        <v>4212</v>
      </c>
      <c r="H1001" s="8" t="s">
        <v>4213</v>
      </c>
      <c r="I1001" s="8" t="s">
        <v>73</v>
      </c>
      <c r="J1001" s="16" t="s">
        <v>4214</v>
      </c>
      <c r="K1001" s="2" t="s">
        <v>74</v>
      </c>
      <c r="L1001" s="8" t="s">
        <v>4215</v>
      </c>
      <c r="M1001" s="8" t="s">
        <v>27</v>
      </c>
      <c r="N1001" s="8" t="s">
        <v>4216</v>
      </c>
      <c r="O1001" s="8" t="s">
        <v>404</v>
      </c>
      <c r="P1001" s="8" t="s">
        <v>405</v>
      </c>
      <c r="Q1001" s="12" t="s">
        <v>4217</v>
      </c>
      <c r="R1001" s="8" t="s">
        <v>29</v>
      </c>
      <c r="S1001" s="7" t="s">
        <v>35</v>
      </c>
      <c r="T1001" s="6"/>
      <c r="U1001" s="8"/>
    </row>
    <row r="1002" spans="1:21" ht="13.5" customHeight="1">
      <c r="A1002" s="8" t="s">
        <v>4192</v>
      </c>
      <c r="B1002" s="16">
        <v>38</v>
      </c>
      <c r="C1002" s="8" t="s">
        <v>20</v>
      </c>
      <c r="D1002" s="8" t="s">
        <v>85</v>
      </c>
      <c r="E1002" s="8" t="s">
        <v>4193</v>
      </c>
      <c r="F1002" s="17">
        <v>42055</v>
      </c>
      <c r="G1002" s="8" t="s">
        <v>4194</v>
      </c>
      <c r="H1002" s="8" t="s">
        <v>4195</v>
      </c>
      <c r="I1002" s="8" t="s">
        <v>94</v>
      </c>
      <c r="J1002" s="16" t="s">
        <v>4196</v>
      </c>
      <c r="K1002" s="2" t="s">
        <v>1795</v>
      </c>
      <c r="L1002" s="8" t="s">
        <v>4197</v>
      </c>
      <c r="M1002" s="8" t="s">
        <v>27</v>
      </c>
      <c r="N1002" s="8" t="s">
        <v>4198</v>
      </c>
      <c r="O1002" s="8" t="s">
        <v>1018</v>
      </c>
      <c r="P1002" s="8" t="s">
        <v>405</v>
      </c>
      <c r="Q1002" s="12" t="s">
        <v>4199</v>
      </c>
      <c r="R1002" s="8" t="s">
        <v>100</v>
      </c>
      <c r="S1002" s="7" t="s">
        <v>28</v>
      </c>
      <c r="T1002" s="6"/>
      <c r="U1002" s="8"/>
    </row>
    <row r="1003" spans="1:21" ht="13.5" customHeight="1">
      <c r="A1003" s="8" t="s">
        <v>4200</v>
      </c>
      <c r="B1003" s="16">
        <v>41</v>
      </c>
      <c r="C1003" s="8" t="s">
        <v>20</v>
      </c>
      <c r="D1003" s="8" t="s">
        <v>85</v>
      </c>
      <c r="E1003" s="8" t="s">
        <v>4201</v>
      </c>
      <c r="F1003" s="17">
        <v>42055</v>
      </c>
      <c r="G1003" s="8" t="s">
        <v>4202</v>
      </c>
      <c r="H1003" s="8" t="s">
        <v>2513</v>
      </c>
      <c r="I1003" s="8" t="s">
        <v>399</v>
      </c>
      <c r="J1003" s="16" t="s">
        <v>4203</v>
      </c>
      <c r="K1003" s="2" t="s">
        <v>4204</v>
      </c>
      <c r="L1003" s="8" t="s">
        <v>4205</v>
      </c>
      <c r="M1003" s="8" t="s">
        <v>1706</v>
      </c>
      <c r="N1003" s="8" t="s">
        <v>4206</v>
      </c>
      <c r="O1003" s="8" t="s">
        <v>1018</v>
      </c>
      <c r="P1003" s="8" t="s">
        <v>405</v>
      </c>
      <c r="Q1003" s="12" t="s">
        <v>4207</v>
      </c>
      <c r="R1003" s="8" t="s">
        <v>100</v>
      </c>
      <c r="S1003" s="7" t="s">
        <v>18</v>
      </c>
      <c r="T1003" s="6"/>
      <c r="U1003" s="8"/>
    </row>
    <row r="1004" spans="1:21" ht="13.5" customHeight="1">
      <c r="A1004" s="8" t="s">
        <v>4231</v>
      </c>
      <c r="B1004" s="16">
        <v>31</v>
      </c>
      <c r="C1004" s="8" t="s">
        <v>20</v>
      </c>
      <c r="D1004" s="8" t="s">
        <v>37</v>
      </c>
      <c r="E1004" s="8" t="s">
        <v>4232</v>
      </c>
      <c r="F1004" s="17">
        <v>42054</v>
      </c>
      <c r="G1004" s="8" t="s">
        <v>4233</v>
      </c>
      <c r="H1004" s="8" t="s">
        <v>4234</v>
      </c>
      <c r="I1004" s="8" t="s">
        <v>435</v>
      </c>
      <c r="J1004" s="16" t="s">
        <v>4235</v>
      </c>
      <c r="K1004" s="2" t="s">
        <v>4236</v>
      </c>
      <c r="L1004" s="8" t="s">
        <v>4237</v>
      </c>
      <c r="M1004" s="8" t="s">
        <v>27</v>
      </c>
      <c r="N1004" s="8" t="s">
        <v>4238</v>
      </c>
      <c r="O1004" s="8" t="s">
        <v>404</v>
      </c>
      <c r="P1004" s="8" t="s">
        <v>405</v>
      </c>
      <c r="Q1004" s="12" t="s">
        <v>4239</v>
      </c>
      <c r="R1004" s="8" t="s">
        <v>100</v>
      </c>
      <c r="S1004" s="7" t="s">
        <v>18</v>
      </c>
      <c r="T1004" s="6"/>
      <c r="U1004" s="8"/>
    </row>
    <row r="1005" spans="1:21" ht="13.5" customHeight="1">
      <c r="A1005" s="8" t="s">
        <v>4240</v>
      </c>
      <c r="B1005" s="16">
        <v>20</v>
      </c>
      <c r="C1005" s="8" t="s">
        <v>115</v>
      </c>
      <c r="D1005" s="8" t="s">
        <v>85</v>
      </c>
      <c r="E1005" s="8" t="s">
        <v>4241</v>
      </c>
      <c r="F1005" s="17">
        <v>42053</v>
      </c>
      <c r="G1005" s="8" t="s">
        <v>4242</v>
      </c>
      <c r="H1005" s="8" t="s">
        <v>4243</v>
      </c>
      <c r="I1005" s="8" t="s">
        <v>370</v>
      </c>
      <c r="J1005" s="16" t="s">
        <v>4244</v>
      </c>
      <c r="K1005" s="2" t="s">
        <v>4245</v>
      </c>
      <c r="L1005" s="8" t="s">
        <v>4246</v>
      </c>
      <c r="M1005" s="8" t="s">
        <v>27</v>
      </c>
      <c r="N1005" s="8" t="s">
        <v>4247</v>
      </c>
      <c r="O1005" s="8" t="s">
        <v>554</v>
      </c>
      <c r="P1005" s="8" t="s">
        <v>405</v>
      </c>
      <c r="Q1005" s="12" t="s">
        <v>4248</v>
      </c>
      <c r="R1005" s="8" t="s">
        <v>29</v>
      </c>
      <c r="S1005" s="7" t="s">
        <v>28</v>
      </c>
      <c r="T1005" s="6"/>
      <c r="U1005" s="8"/>
    </row>
    <row r="1006" spans="1:21" ht="13.5" customHeight="1">
      <c r="A1006" s="8" t="s">
        <v>4273</v>
      </c>
      <c r="B1006" s="16">
        <v>43</v>
      </c>
      <c r="C1006" s="8" t="s">
        <v>115</v>
      </c>
      <c r="D1006" s="8" t="s">
        <v>37</v>
      </c>
      <c r="E1006" s="8" t="s">
        <v>4274</v>
      </c>
      <c r="F1006" s="17">
        <v>42052</v>
      </c>
      <c r="G1006" s="8" t="s">
        <v>4275</v>
      </c>
      <c r="H1006" s="8" t="s">
        <v>842</v>
      </c>
      <c r="I1006" s="8" t="s">
        <v>370</v>
      </c>
      <c r="J1006" s="16" t="s">
        <v>4276</v>
      </c>
      <c r="K1006" s="2" t="s">
        <v>843</v>
      </c>
      <c r="L1006" s="8" t="s">
        <v>4277</v>
      </c>
      <c r="M1006" s="8" t="s">
        <v>27</v>
      </c>
      <c r="N1006" s="8" t="s">
        <v>4278</v>
      </c>
      <c r="O1006" s="8" t="s">
        <v>404</v>
      </c>
      <c r="P1006" s="8" t="s">
        <v>405</v>
      </c>
      <c r="Q1006" s="12" t="s">
        <v>4279</v>
      </c>
      <c r="R1006" s="8" t="s">
        <v>29</v>
      </c>
      <c r="S1006" s="7" t="s">
        <v>28</v>
      </c>
      <c r="T1006" s="6"/>
      <c r="U1006" s="8"/>
    </row>
    <row r="1007" spans="1:21" ht="13.5" customHeight="1">
      <c r="A1007" s="8" t="s">
        <v>4258</v>
      </c>
      <c r="B1007" s="16">
        <v>30</v>
      </c>
      <c r="C1007" s="8" t="s">
        <v>20</v>
      </c>
      <c r="D1007" s="8" t="s">
        <v>30</v>
      </c>
      <c r="F1007" s="17">
        <v>42052</v>
      </c>
      <c r="G1007" s="8" t="s">
        <v>4259</v>
      </c>
      <c r="H1007" s="8" t="s">
        <v>4260</v>
      </c>
      <c r="I1007" s="8" t="s">
        <v>46</v>
      </c>
      <c r="J1007" s="16" t="s">
        <v>4261</v>
      </c>
      <c r="K1007" s="2" t="s">
        <v>42</v>
      </c>
      <c r="L1007" s="8" t="s">
        <v>4262</v>
      </c>
      <c r="M1007" s="8" t="s">
        <v>27</v>
      </c>
      <c r="N1007" s="8" t="s">
        <v>4263</v>
      </c>
      <c r="O1007" s="8" t="s">
        <v>405</v>
      </c>
      <c r="P1007" s="8" t="s">
        <v>405</v>
      </c>
      <c r="Q1007" s="12" t="s">
        <v>4264</v>
      </c>
      <c r="R1007" s="8" t="s">
        <v>100</v>
      </c>
      <c r="S1007" s="7" t="s">
        <v>28</v>
      </c>
      <c r="T1007" s="8"/>
      <c r="U1007" s="8"/>
    </row>
    <row r="1008" spans="1:21" ht="13.5" customHeight="1">
      <c r="A1008" s="8" t="s">
        <v>4265</v>
      </c>
      <c r="B1008" s="16">
        <v>32</v>
      </c>
      <c r="C1008" s="8" t="s">
        <v>20</v>
      </c>
      <c r="D1008" s="8" t="s">
        <v>37</v>
      </c>
      <c r="E1008" s="8" t="s">
        <v>4266</v>
      </c>
      <c r="F1008" s="17">
        <v>42052</v>
      </c>
      <c r="G1008" s="8" t="s">
        <v>4267</v>
      </c>
      <c r="H1008" s="8" t="s">
        <v>4268</v>
      </c>
      <c r="I1008" s="8" t="s">
        <v>57</v>
      </c>
      <c r="J1008" s="16" t="s">
        <v>4269</v>
      </c>
      <c r="K1008" s="2" t="s">
        <v>4001</v>
      </c>
      <c r="L1008" s="8" t="s">
        <v>4270</v>
      </c>
      <c r="M1008" s="8" t="s">
        <v>27</v>
      </c>
      <c r="N1008" s="8" t="s">
        <v>4271</v>
      </c>
      <c r="O1008" s="8" t="s">
        <v>404</v>
      </c>
      <c r="P1008" s="8" t="s">
        <v>405</v>
      </c>
      <c r="Q1008" s="12" t="s">
        <v>4272</v>
      </c>
      <c r="R1008" s="8" t="s">
        <v>100</v>
      </c>
      <c r="S1008" s="7" t="s">
        <v>28</v>
      </c>
      <c r="T1008" s="6"/>
      <c r="U1008" s="8"/>
    </row>
    <row r="1009" spans="1:21" ht="13.5" customHeight="1">
      <c r="A1009" s="8" t="s">
        <v>4249</v>
      </c>
      <c r="B1009" s="16">
        <v>50</v>
      </c>
      <c r="C1009" s="8" t="s">
        <v>20</v>
      </c>
      <c r="D1009" s="8" t="s">
        <v>48</v>
      </c>
      <c r="E1009" s="8" t="s">
        <v>4250</v>
      </c>
      <c r="F1009" s="17">
        <v>42052</v>
      </c>
      <c r="G1009" s="8" t="s">
        <v>4251</v>
      </c>
      <c r="H1009" s="8" t="s">
        <v>4252</v>
      </c>
      <c r="I1009" s="8" t="s">
        <v>73</v>
      </c>
      <c r="J1009" s="16" t="s">
        <v>4253</v>
      </c>
      <c r="K1009" s="2" t="s">
        <v>4254</v>
      </c>
      <c r="L1009" s="8" t="s">
        <v>4255</v>
      </c>
      <c r="M1009" s="8" t="s">
        <v>27</v>
      </c>
      <c r="N1009" s="8" t="s">
        <v>4256</v>
      </c>
      <c r="O1009" s="8" t="s">
        <v>1018</v>
      </c>
      <c r="P1009" s="8" t="s">
        <v>405</v>
      </c>
      <c r="Q1009" s="12" t="s">
        <v>4257</v>
      </c>
      <c r="R1009" s="8" t="s">
        <v>100</v>
      </c>
      <c r="S1009" s="7" t="s">
        <v>28</v>
      </c>
      <c r="T1009" s="6"/>
      <c r="U1009" s="8"/>
    </row>
    <row r="1010" spans="1:21" ht="13.5" customHeight="1">
      <c r="A1010" s="8" t="s">
        <v>4280</v>
      </c>
      <c r="B1010" s="16">
        <v>56</v>
      </c>
      <c r="C1010" s="8" t="s">
        <v>20</v>
      </c>
      <c r="D1010" s="8" t="s">
        <v>30</v>
      </c>
      <c r="F1010" s="17">
        <v>42051</v>
      </c>
      <c r="G1010" s="8" t="s">
        <v>4281</v>
      </c>
      <c r="H1010" s="8" t="s">
        <v>4282</v>
      </c>
      <c r="I1010" s="8" t="s">
        <v>124</v>
      </c>
      <c r="J1010" s="16" t="s">
        <v>4283</v>
      </c>
      <c r="K1010" s="2" t="s">
        <v>566</v>
      </c>
      <c r="L1010" s="8" t="s">
        <v>4284</v>
      </c>
      <c r="M1010" s="8" t="s">
        <v>27</v>
      </c>
      <c r="N1010" s="8" t="s">
        <v>4285</v>
      </c>
      <c r="O1010" s="8" t="s">
        <v>1018</v>
      </c>
      <c r="P1010" s="8" t="s">
        <v>405</v>
      </c>
      <c r="Q1010" s="12" t="s">
        <v>4286</v>
      </c>
      <c r="R1010" s="8" t="s">
        <v>100</v>
      </c>
      <c r="S1010" s="7" t="s">
        <v>28</v>
      </c>
      <c r="T1010" s="6"/>
      <c r="U1010" s="8"/>
    </row>
    <row r="1011" spans="1:21" ht="13.5" customHeight="1">
      <c r="A1011" s="8" t="s">
        <v>4287</v>
      </c>
      <c r="B1011" s="16">
        <v>26</v>
      </c>
      <c r="C1011" s="8" t="s">
        <v>20</v>
      </c>
      <c r="D1011" s="8" t="s">
        <v>37</v>
      </c>
      <c r="E1011" s="8" t="s">
        <v>4288</v>
      </c>
      <c r="F1011" s="17">
        <v>42051</v>
      </c>
      <c r="G1011" s="8" t="s">
        <v>4289</v>
      </c>
      <c r="H1011" s="8" t="s">
        <v>4290</v>
      </c>
      <c r="I1011" s="8" t="s">
        <v>798</v>
      </c>
      <c r="J1011" s="16" t="s">
        <v>4291</v>
      </c>
      <c r="K1011" s="2" t="s">
        <v>4292</v>
      </c>
      <c r="L1011" s="8" t="s">
        <v>4293</v>
      </c>
      <c r="M1011" s="8" t="s">
        <v>27</v>
      </c>
      <c r="N1011" s="8" t="s">
        <v>4294</v>
      </c>
      <c r="O1011" s="8" t="s">
        <v>1018</v>
      </c>
      <c r="P1011" s="8" t="s">
        <v>405</v>
      </c>
      <c r="Q1011" s="12" t="s">
        <v>4295</v>
      </c>
      <c r="R1011" s="8" t="s">
        <v>100</v>
      </c>
      <c r="S1011" s="7" t="s">
        <v>28</v>
      </c>
      <c r="T1011" s="6"/>
      <c r="U1011" s="8"/>
    </row>
    <row r="1012" spans="1:21" ht="13.5" customHeight="1">
      <c r="A1012" s="8" t="s">
        <v>4304</v>
      </c>
      <c r="B1012" s="16">
        <v>34</v>
      </c>
      <c r="C1012" s="8" t="s">
        <v>20</v>
      </c>
      <c r="D1012" s="8" t="s">
        <v>37</v>
      </c>
      <c r="E1012" s="8" t="s">
        <v>4305</v>
      </c>
      <c r="F1012" s="17">
        <v>42050</v>
      </c>
      <c r="G1012" s="8" t="s">
        <v>4306</v>
      </c>
      <c r="H1012" s="8" t="s">
        <v>4307</v>
      </c>
      <c r="I1012" s="8" t="s">
        <v>118</v>
      </c>
      <c r="J1012" s="16" t="s">
        <v>4308</v>
      </c>
      <c r="K1012" s="2" t="s">
        <v>4309</v>
      </c>
      <c r="L1012" s="8" t="s">
        <v>4310</v>
      </c>
      <c r="M1012" s="8" t="s">
        <v>27</v>
      </c>
      <c r="N1012" s="8" t="s">
        <v>4311</v>
      </c>
      <c r="O1012" s="8" t="s">
        <v>1018</v>
      </c>
      <c r="P1012" s="8" t="s">
        <v>405</v>
      </c>
      <c r="Q1012" s="12" t="s">
        <v>4312</v>
      </c>
      <c r="R1012" s="8" t="s">
        <v>100</v>
      </c>
      <c r="S1012" s="7" t="s">
        <v>28</v>
      </c>
      <c r="T1012" s="6"/>
      <c r="U1012" s="8"/>
    </row>
    <row r="1013" spans="1:21" ht="13.5" customHeight="1">
      <c r="A1013" s="8" t="s">
        <v>4322</v>
      </c>
      <c r="B1013" s="16">
        <v>24</v>
      </c>
      <c r="C1013" s="8" t="s">
        <v>20</v>
      </c>
      <c r="D1013" s="8" t="s">
        <v>37</v>
      </c>
      <c r="E1013" s="8" t="s">
        <v>4323</v>
      </c>
      <c r="F1013" s="17">
        <v>42050</v>
      </c>
      <c r="G1013" s="8" t="s">
        <v>4324</v>
      </c>
      <c r="H1013" s="8" t="s">
        <v>4325</v>
      </c>
      <c r="I1013" s="8" t="s">
        <v>243</v>
      </c>
      <c r="J1013" s="16" t="s">
        <v>4326</v>
      </c>
      <c r="K1013" s="2" t="s">
        <v>594</v>
      </c>
      <c r="L1013" s="8" t="s">
        <v>4327</v>
      </c>
      <c r="M1013" s="8" t="s">
        <v>27</v>
      </c>
      <c r="N1013" s="8" t="s">
        <v>4328</v>
      </c>
      <c r="O1013" s="8" t="s">
        <v>1018</v>
      </c>
      <c r="P1013" s="8" t="s">
        <v>405</v>
      </c>
      <c r="Q1013" s="12" t="s">
        <v>4329</v>
      </c>
      <c r="R1013" s="8" t="s">
        <v>100</v>
      </c>
      <c r="S1013" s="7" t="s">
        <v>18</v>
      </c>
      <c r="T1013" s="6"/>
      <c r="U1013" s="8"/>
    </row>
    <row r="1014" spans="1:21" ht="13.5" customHeight="1">
      <c r="A1014" s="8" t="s">
        <v>4313</v>
      </c>
      <c r="B1014" s="16">
        <v>34</v>
      </c>
      <c r="C1014" s="8" t="s">
        <v>20</v>
      </c>
      <c r="D1014" s="8" t="s">
        <v>37</v>
      </c>
      <c r="E1014" s="8" t="s">
        <v>4314</v>
      </c>
      <c r="F1014" s="17">
        <v>42050</v>
      </c>
      <c r="G1014" s="8" t="s">
        <v>4315</v>
      </c>
      <c r="H1014" s="8" t="s">
        <v>4316</v>
      </c>
      <c r="I1014" s="8" t="s">
        <v>675</v>
      </c>
      <c r="J1014" s="16" t="s">
        <v>4317</v>
      </c>
      <c r="K1014" s="2" t="s">
        <v>4318</v>
      </c>
      <c r="L1014" s="8" t="s">
        <v>4319</v>
      </c>
      <c r="M1014" s="8" t="s">
        <v>27</v>
      </c>
      <c r="N1014" s="8" t="s">
        <v>4320</v>
      </c>
      <c r="O1014" s="8" t="s">
        <v>1018</v>
      </c>
      <c r="P1014" s="8" t="s">
        <v>405</v>
      </c>
      <c r="Q1014" s="12" t="s">
        <v>4321</v>
      </c>
      <c r="R1014" s="8" t="s">
        <v>100</v>
      </c>
      <c r="S1014" s="7" t="s">
        <v>28</v>
      </c>
      <c r="T1014" s="6"/>
      <c r="U1014" s="8"/>
    </row>
    <row r="1015" spans="1:21" ht="13.5" customHeight="1">
      <c r="A1015" s="8" t="s">
        <v>4296</v>
      </c>
      <c r="B1015" s="16">
        <v>25</v>
      </c>
      <c r="C1015" s="8" t="s">
        <v>20</v>
      </c>
      <c r="D1015" s="8" t="s">
        <v>85</v>
      </c>
      <c r="E1015" s="8" t="s">
        <v>4297</v>
      </c>
      <c r="F1015" s="17">
        <v>42050</v>
      </c>
      <c r="G1015" s="8" t="s">
        <v>4298</v>
      </c>
      <c r="H1015" s="8" t="s">
        <v>4299</v>
      </c>
      <c r="I1015" s="8" t="s">
        <v>62</v>
      </c>
      <c r="J1015" s="16" t="s">
        <v>4300</v>
      </c>
      <c r="K1015" s="2" t="s">
        <v>163</v>
      </c>
      <c r="L1015" s="8" t="s">
        <v>4301</v>
      </c>
      <c r="M1015" s="8" t="s">
        <v>27</v>
      </c>
      <c r="N1015" s="8" t="s">
        <v>4302</v>
      </c>
      <c r="O1015" s="8" t="s">
        <v>1018</v>
      </c>
      <c r="P1015" s="8" t="s">
        <v>405</v>
      </c>
      <c r="Q1015" s="12" t="s">
        <v>4303</v>
      </c>
      <c r="R1015" s="8" t="s">
        <v>559</v>
      </c>
      <c r="S1015" s="7" t="s">
        <v>28</v>
      </c>
      <c r="T1015" s="6"/>
      <c r="U1015" s="8"/>
    </row>
    <row r="1016" spans="1:21" ht="13.5" customHeight="1">
      <c r="A1016" s="8" t="s">
        <v>4338</v>
      </c>
      <c r="B1016" s="16">
        <v>16</v>
      </c>
      <c r="C1016" s="8" t="s">
        <v>20</v>
      </c>
      <c r="D1016" s="8" t="s">
        <v>37</v>
      </c>
      <c r="E1016" s="8" t="s">
        <v>4339</v>
      </c>
      <c r="F1016" s="17">
        <v>42049</v>
      </c>
      <c r="G1016" s="8" t="s">
        <v>4340</v>
      </c>
      <c r="H1016" s="8" t="s">
        <v>532</v>
      </c>
      <c r="I1016" s="8" t="s">
        <v>52</v>
      </c>
      <c r="J1016" s="16" t="s">
        <v>4341</v>
      </c>
      <c r="K1016" s="2" t="s">
        <v>1608</v>
      </c>
      <c r="L1016" s="8" t="s">
        <v>234</v>
      </c>
      <c r="M1016" s="8" t="s">
        <v>27</v>
      </c>
      <c r="N1016" s="8" t="s">
        <v>4342</v>
      </c>
      <c r="O1016" s="8" t="s">
        <v>1018</v>
      </c>
      <c r="P1016" s="8" t="s">
        <v>405</v>
      </c>
      <c r="Q1016" s="12" t="s">
        <v>4343</v>
      </c>
      <c r="R1016" s="8" t="s">
        <v>100</v>
      </c>
      <c r="S1016" s="7" t="s">
        <v>28</v>
      </c>
      <c r="T1016" s="6"/>
      <c r="U1016" s="8"/>
    </row>
    <row r="1017" spans="1:21" ht="13.5" customHeight="1">
      <c r="A1017" s="8" t="s">
        <v>4330</v>
      </c>
      <c r="B1017" s="16">
        <v>51</v>
      </c>
      <c r="C1017" s="8" t="s">
        <v>20</v>
      </c>
      <c r="D1017" s="8" t="s">
        <v>37</v>
      </c>
      <c r="E1017" s="8" t="s">
        <v>20912</v>
      </c>
      <c r="F1017" s="17">
        <v>42049</v>
      </c>
      <c r="G1017" s="8" t="s">
        <v>4331</v>
      </c>
      <c r="H1017" s="8" t="s">
        <v>4332</v>
      </c>
      <c r="I1017" s="8" t="s">
        <v>73</v>
      </c>
      <c r="J1017" s="16" t="s">
        <v>4333</v>
      </c>
      <c r="K1017" s="2" t="s">
        <v>4334</v>
      </c>
      <c r="L1017" s="8" t="s">
        <v>4335</v>
      </c>
      <c r="M1017" s="8" t="s">
        <v>27</v>
      </c>
      <c r="N1017" s="8" t="s">
        <v>4336</v>
      </c>
      <c r="O1017" s="8" t="s">
        <v>554</v>
      </c>
      <c r="P1017" s="8" t="s">
        <v>405</v>
      </c>
      <c r="Q1017" s="12" t="s">
        <v>4337</v>
      </c>
      <c r="R1017" s="8" t="s">
        <v>100</v>
      </c>
      <c r="S1017" s="7" t="s">
        <v>28</v>
      </c>
      <c r="T1017" s="6"/>
      <c r="U1017" s="8"/>
    </row>
    <row r="1018" spans="1:21" ht="13.5" customHeight="1">
      <c r="A1018" s="8" t="s">
        <v>4344</v>
      </c>
      <c r="B1018" s="16">
        <v>21</v>
      </c>
      <c r="C1018" s="8" t="s">
        <v>20</v>
      </c>
      <c r="D1018" s="8" t="s">
        <v>48</v>
      </c>
      <c r="F1018" s="17">
        <v>42048</v>
      </c>
      <c r="G1018" s="8" t="s">
        <v>4345</v>
      </c>
      <c r="H1018" s="8" t="s">
        <v>434</v>
      </c>
      <c r="I1018" s="8" t="s">
        <v>367</v>
      </c>
      <c r="J1018" s="16" t="s">
        <v>4346</v>
      </c>
      <c r="K1018" s="2" t="s">
        <v>604</v>
      </c>
      <c r="L1018" s="8" t="s">
        <v>2140</v>
      </c>
      <c r="M1018" s="8" t="s">
        <v>27</v>
      </c>
      <c r="N1018" s="8" t="s">
        <v>4347</v>
      </c>
      <c r="O1018" s="8" t="s">
        <v>1018</v>
      </c>
      <c r="P1018" s="8" t="s">
        <v>405</v>
      </c>
      <c r="Q1018" s="12" t="s">
        <v>4348</v>
      </c>
      <c r="R1018" s="8" t="s">
        <v>29</v>
      </c>
      <c r="S1018" s="7" t="s">
        <v>28</v>
      </c>
      <c r="T1018" s="6"/>
      <c r="U1018" s="8"/>
    </row>
    <row r="1019" spans="1:21" ht="13.5" customHeight="1">
      <c r="A1019" s="8" t="s">
        <v>4349</v>
      </c>
      <c r="B1019" s="16">
        <v>37</v>
      </c>
      <c r="C1019" s="8" t="s">
        <v>20</v>
      </c>
      <c r="D1019" s="8" t="s">
        <v>48</v>
      </c>
      <c r="E1019" s="8" t="s">
        <v>4350</v>
      </c>
      <c r="F1019" s="17">
        <v>42048</v>
      </c>
      <c r="G1019" s="8" t="s">
        <v>4351</v>
      </c>
      <c r="H1019" s="8" t="s">
        <v>4352</v>
      </c>
      <c r="I1019" s="8" t="s">
        <v>124</v>
      </c>
      <c r="J1019" s="16" t="s">
        <v>4353</v>
      </c>
      <c r="K1019" s="2" t="s">
        <v>2416</v>
      </c>
      <c r="L1019" s="8" t="s">
        <v>2417</v>
      </c>
      <c r="M1019" s="8" t="s">
        <v>27</v>
      </c>
      <c r="N1019" s="8" t="s">
        <v>4354</v>
      </c>
      <c r="O1019" s="8" t="s">
        <v>1018</v>
      </c>
      <c r="P1019" s="8" t="s">
        <v>405</v>
      </c>
      <c r="Q1019" s="12" t="s">
        <v>4355</v>
      </c>
      <c r="R1019" s="8" t="s">
        <v>559</v>
      </c>
      <c r="S1019" s="7" t="s">
        <v>28</v>
      </c>
      <c r="T1019" s="6"/>
      <c r="U1019" s="8"/>
    </row>
    <row r="1020" spans="1:21" ht="13.5" customHeight="1">
      <c r="A1020" s="8" t="s">
        <v>4369</v>
      </c>
      <c r="B1020" s="16">
        <v>23</v>
      </c>
      <c r="C1020" s="8" t="s">
        <v>20</v>
      </c>
      <c r="D1020" s="8" t="s">
        <v>37</v>
      </c>
      <c r="E1020" s="8" t="s">
        <v>4370</v>
      </c>
      <c r="F1020" s="17">
        <v>42048</v>
      </c>
      <c r="G1020" s="8" t="s">
        <v>4371</v>
      </c>
      <c r="H1020" s="8" t="s">
        <v>313</v>
      </c>
      <c r="I1020" s="8" t="s">
        <v>45</v>
      </c>
      <c r="J1020" s="16" t="s">
        <v>4372</v>
      </c>
      <c r="K1020" s="2" t="s">
        <v>313</v>
      </c>
      <c r="L1020" s="8" t="s">
        <v>4373</v>
      </c>
      <c r="M1020" s="8" t="s">
        <v>27</v>
      </c>
      <c r="N1020" s="8" t="s">
        <v>4374</v>
      </c>
      <c r="O1020" s="8" t="s">
        <v>1018</v>
      </c>
      <c r="P1020" s="8" t="s">
        <v>405</v>
      </c>
      <c r="Q1020" s="12" t="s">
        <v>4375</v>
      </c>
      <c r="R1020" s="8" t="s">
        <v>100</v>
      </c>
      <c r="S1020" s="7" t="s">
        <v>383</v>
      </c>
      <c r="T1020" s="6"/>
      <c r="U1020" s="8"/>
    </row>
    <row r="1021" spans="1:21" ht="13.5" customHeight="1">
      <c r="A1021" s="8" t="s">
        <v>4356</v>
      </c>
      <c r="B1021" s="16">
        <v>27</v>
      </c>
      <c r="C1021" s="8" t="s">
        <v>20</v>
      </c>
      <c r="D1021" s="8" t="s">
        <v>30</v>
      </c>
      <c r="F1021" s="17">
        <v>42048</v>
      </c>
      <c r="G1021" s="8" t="s">
        <v>4357</v>
      </c>
      <c r="H1021" s="8" t="s">
        <v>4358</v>
      </c>
      <c r="I1021" s="8" t="s">
        <v>323</v>
      </c>
      <c r="J1021" s="16" t="s">
        <v>4359</v>
      </c>
      <c r="K1021" s="2" t="s">
        <v>2100</v>
      </c>
      <c r="L1021" s="8" t="s">
        <v>4360</v>
      </c>
      <c r="M1021" s="8" t="s">
        <v>27</v>
      </c>
      <c r="N1021" s="8" t="s">
        <v>4361</v>
      </c>
      <c r="O1021" s="8" t="s">
        <v>1018</v>
      </c>
      <c r="P1021" s="8" t="s">
        <v>405</v>
      </c>
      <c r="Q1021" s="12" t="s">
        <v>4362</v>
      </c>
      <c r="R1021" s="8" t="s">
        <v>100</v>
      </c>
      <c r="S1021" s="7" t="s">
        <v>28</v>
      </c>
      <c r="T1021" s="6"/>
      <c r="U1021" s="8"/>
    </row>
    <row r="1022" spans="1:21" ht="13.5" customHeight="1">
      <c r="A1022" s="8" t="s">
        <v>4363</v>
      </c>
      <c r="B1022" s="16">
        <v>35</v>
      </c>
      <c r="C1022" s="8" t="s">
        <v>20</v>
      </c>
      <c r="D1022" s="8" t="s">
        <v>30</v>
      </c>
      <c r="E1022" s="8" t="s">
        <v>4364</v>
      </c>
      <c r="F1022" s="17">
        <v>42048</v>
      </c>
      <c r="G1022" s="8" t="s">
        <v>4365</v>
      </c>
      <c r="H1022" s="8" t="s">
        <v>4366</v>
      </c>
      <c r="I1022" s="8" t="s">
        <v>408</v>
      </c>
      <c r="J1022" s="16">
        <v>19606</v>
      </c>
      <c r="K1022" s="2" t="s">
        <v>4367</v>
      </c>
      <c r="L1022" s="8" t="s">
        <v>9453</v>
      </c>
      <c r="M1022" s="8" t="s">
        <v>27</v>
      </c>
      <c r="N1022" s="8" t="s">
        <v>4368</v>
      </c>
      <c r="O1022" s="8" t="s">
        <v>404</v>
      </c>
      <c r="P1022" s="8" t="s">
        <v>405</v>
      </c>
      <c r="Q1022" s="12" t="str">
        <f>HYPERLINK("http://touch.mcall.com/#section/-1/article/p2p-82809119/","http://touch.mcall.com/#section/-1/article/p2p-82809119/")</f>
        <v>http://touch.mcall.com/#section/-1/article/p2p-82809119/</v>
      </c>
      <c r="R1022" s="8" t="s">
        <v>100</v>
      </c>
      <c r="S1022" s="7" t="s">
        <v>35</v>
      </c>
      <c r="T1022" s="6"/>
      <c r="U1022" s="8"/>
    </row>
    <row r="1023" spans="1:21" ht="13.5" customHeight="1">
      <c r="A1023" s="8" t="s">
        <v>4382</v>
      </c>
      <c r="B1023" s="16">
        <v>46</v>
      </c>
      <c r="C1023" s="8" t="s">
        <v>20</v>
      </c>
      <c r="D1023" s="8" t="s">
        <v>30</v>
      </c>
      <c r="F1023" s="17">
        <v>42046</v>
      </c>
      <c r="G1023" s="8" t="s">
        <v>4383</v>
      </c>
      <c r="H1023" s="8" t="s">
        <v>4384</v>
      </c>
      <c r="I1023" s="8" t="s">
        <v>94</v>
      </c>
      <c r="J1023" s="16">
        <v>36853</v>
      </c>
      <c r="K1023" s="2" t="s">
        <v>4385</v>
      </c>
      <c r="L1023" s="8" t="s">
        <v>4386</v>
      </c>
      <c r="M1023" s="8" t="s">
        <v>27</v>
      </c>
      <c r="N1023" s="8" t="s">
        <v>4387</v>
      </c>
      <c r="O1023" s="8" t="s">
        <v>404</v>
      </c>
      <c r="P1023" s="8" t="s">
        <v>405</v>
      </c>
      <c r="Q1023" s="12" t="s">
        <v>4388</v>
      </c>
      <c r="R1023" s="8" t="s">
        <v>559</v>
      </c>
      <c r="S1023" s="7" t="s">
        <v>18</v>
      </c>
      <c r="T1023" s="6"/>
      <c r="U1023" s="8"/>
    </row>
    <row r="1024" spans="1:21" ht="13.5" customHeight="1">
      <c r="A1024" s="8" t="s">
        <v>4389</v>
      </c>
      <c r="B1024" s="16">
        <v>37</v>
      </c>
      <c r="C1024" s="8" t="s">
        <v>20</v>
      </c>
      <c r="D1024" s="8" t="s">
        <v>37</v>
      </c>
      <c r="E1024" s="8" t="s">
        <v>4390</v>
      </c>
      <c r="F1024" s="17">
        <v>42046</v>
      </c>
      <c r="G1024" s="8" t="s">
        <v>4391</v>
      </c>
      <c r="H1024" s="8" t="s">
        <v>4392</v>
      </c>
      <c r="I1024" s="8" t="s">
        <v>62</v>
      </c>
      <c r="J1024" s="16" t="s">
        <v>4393</v>
      </c>
      <c r="K1024" s="2" t="s">
        <v>4394</v>
      </c>
      <c r="L1024" s="8" t="s">
        <v>4395</v>
      </c>
      <c r="M1024" s="8" t="s">
        <v>27</v>
      </c>
      <c r="N1024" s="8" t="s">
        <v>4396</v>
      </c>
      <c r="O1024" s="8" t="s">
        <v>404</v>
      </c>
      <c r="P1024" s="8" t="s">
        <v>405</v>
      </c>
      <c r="Q1024" s="12" t="str">
        <f>HYPERLINK("http://www.starfl.com/news/local-news/officer-involved-shooting-under-investigation-1.440104","http://www.starfl.com/news/local-news/officer-involved-shooting-under-investigation-1.440104")</f>
        <v>http://www.starfl.com/news/local-news/officer-involved-shooting-under-investigation-1.440104</v>
      </c>
      <c r="R1024" s="8" t="s">
        <v>29</v>
      </c>
      <c r="S1024" s="7" t="s">
        <v>18</v>
      </c>
      <c r="T1024" s="6"/>
      <c r="U1024" s="8"/>
    </row>
    <row r="1025" spans="1:34" ht="13.5" customHeight="1">
      <c r="A1025" s="8" t="s">
        <v>4376</v>
      </c>
      <c r="B1025" s="16">
        <v>23</v>
      </c>
      <c r="C1025" s="8" t="s">
        <v>20</v>
      </c>
      <c r="D1025" s="8" t="s">
        <v>85</v>
      </c>
      <c r="E1025" s="8" t="s">
        <v>4377</v>
      </c>
      <c r="F1025" s="17">
        <v>42046</v>
      </c>
      <c r="G1025" s="8" t="s">
        <v>4378</v>
      </c>
      <c r="H1025" s="8" t="s">
        <v>612</v>
      </c>
      <c r="I1025" s="8" t="s">
        <v>45</v>
      </c>
      <c r="J1025" s="16" t="s">
        <v>4379</v>
      </c>
      <c r="K1025" s="2" t="s">
        <v>613</v>
      </c>
      <c r="L1025" s="8" t="s">
        <v>735</v>
      </c>
      <c r="M1025" s="8" t="s">
        <v>27</v>
      </c>
      <c r="N1025" s="8" t="s">
        <v>4380</v>
      </c>
      <c r="O1025" s="8" t="s">
        <v>1018</v>
      </c>
      <c r="P1025" s="8" t="s">
        <v>405</v>
      </c>
      <c r="Q1025" s="12" t="s">
        <v>4381</v>
      </c>
      <c r="R1025" s="8" t="s">
        <v>100</v>
      </c>
      <c r="S1025" s="7" t="s">
        <v>28</v>
      </c>
      <c r="T1025" s="6"/>
      <c r="U1025" s="8"/>
    </row>
    <row r="1026" spans="1:34" ht="13.5" customHeight="1">
      <c r="A1026" s="8" t="s">
        <v>4397</v>
      </c>
      <c r="B1026" s="16">
        <v>48</v>
      </c>
      <c r="C1026" s="8" t="s">
        <v>20</v>
      </c>
      <c r="D1026" s="8" t="s">
        <v>85</v>
      </c>
      <c r="E1026" s="8" t="s">
        <v>4398</v>
      </c>
      <c r="F1026" s="17">
        <v>42045</v>
      </c>
      <c r="G1026" s="8" t="s">
        <v>4399</v>
      </c>
      <c r="H1026" s="8" t="s">
        <v>1204</v>
      </c>
      <c r="I1026" s="8" t="s">
        <v>323</v>
      </c>
      <c r="J1026" s="16" t="s">
        <v>4400</v>
      </c>
      <c r="K1026" s="2" t="s">
        <v>1205</v>
      </c>
      <c r="L1026" s="8" t="s">
        <v>1206</v>
      </c>
      <c r="M1026" s="8" t="s">
        <v>27</v>
      </c>
      <c r="N1026" s="8" t="s">
        <v>4401</v>
      </c>
      <c r="O1026" s="8" t="s">
        <v>1018</v>
      </c>
      <c r="P1026" s="8" t="s">
        <v>405</v>
      </c>
      <c r="Q1026" s="12" t="s">
        <v>4402</v>
      </c>
      <c r="R1026" s="8" t="s">
        <v>29</v>
      </c>
      <c r="S1026" s="7" t="s">
        <v>28</v>
      </c>
      <c r="T1026" s="6"/>
      <c r="U1026" s="8"/>
    </row>
    <row r="1027" spans="1:34" ht="13.5" customHeight="1">
      <c r="A1027" s="8" t="s">
        <v>4403</v>
      </c>
      <c r="B1027" s="16">
        <v>35</v>
      </c>
      <c r="C1027" s="8" t="s">
        <v>20</v>
      </c>
      <c r="D1027" s="8" t="s">
        <v>48</v>
      </c>
      <c r="E1027" s="8" t="s">
        <v>4404</v>
      </c>
      <c r="F1027" s="17">
        <v>42045</v>
      </c>
      <c r="G1027" s="8" t="s">
        <v>4405</v>
      </c>
      <c r="H1027" s="8" t="s">
        <v>4406</v>
      </c>
      <c r="I1027" s="8" t="s">
        <v>306</v>
      </c>
      <c r="J1027" s="16" t="s">
        <v>4407</v>
      </c>
      <c r="K1027" s="2" t="s">
        <v>1301</v>
      </c>
      <c r="L1027" s="8" t="s">
        <v>4408</v>
      </c>
      <c r="M1027" s="8" t="s">
        <v>27</v>
      </c>
      <c r="N1027" s="8" t="s">
        <v>4409</v>
      </c>
      <c r="O1027" s="8" t="s">
        <v>404</v>
      </c>
      <c r="P1027" s="8" t="s">
        <v>405</v>
      </c>
      <c r="Q1027" s="12" t="s">
        <v>4410</v>
      </c>
      <c r="R1027" s="8" t="s">
        <v>559</v>
      </c>
      <c r="S1027" s="7" t="s">
        <v>18</v>
      </c>
      <c r="T1027" s="6"/>
      <c r="U1027" s="8"/>
    </row>
    <row r="1028" spans="1:34" ht="13.5" customHeight="1">
      <c r="A1028" s="8" t="s">
        <v>4411</v>
      </c>
      <c r="B1028" s="16">
        <v>45</v>
      </c>
      <c r="C1028" s="8" t="s">
        <v>20</v>
      </c>
      <c r="D1028" s="8" t="s">
        <v>37</v>
      </c>
      <c r="E1028" s="8" t="s">
        <v>4412</v>
      </c>
      <c r="F1028" s="17">
        <v>42045</v>
      </c>
      <c r="G1028" s="8" t="s">
        <v>4413</v>
      </c>
      <c r="H1028" s="8" t="s">
        <v>4414</v>
      </c>
      <c r="I1028" s="8" t="s">
        <v>212</v>
      </c>
      <c r="J1028" s="16" t="s">
        <v>4415</v>
      </c>
      <c r="K1028" s="2" t="s">
        <v>4416</v>
      </c>
      <c r="L1028" s="8" t="s">
        <v>4417</v>
      </c>
      <c r="M1028" s="8" t="s">
        <v>27</v>
      </c>
      <c r="N1028" s="8" t="s">
        <v>4418</v>
      </c>
      <c r="O1028" s="8" t="s">
        <v>404</v>
      </c>
      <c r="P1028" s="8" t="s">
        <v>405</v>
      </c>
      <c r="Q1028" s="12" t="s">
        <v>4419</v>
      </c>
      <c r="R1028" s="8" t="s">
        <v>29</v>
      </c>
      <c r="S1028" s="7" t="s">
        <v>28</v>
      </c>
      <c r="T1028" s="6"/>
      <c r="U1028" s="8"/>
    </row>
    <row r="1029" spans="1:34" ht="13.5" customHeight="1">
      <c r="A1029" s="8" t="s">
        <v>4420</v>
      </c>
      <c r="B1029" s="16">
        <v>61</v>
      </c>
      <c r="C1029" s="8" t="s">
        <v>20</v>
      </c>
      <c r="D1029" s="8" t="s">
        <v>37</v>
      </c>
      <c r="E1029" s="8" t="s">
        <v>4421</v>
      </c>
      <c r="F1029" s="17">
        <v>42045</v>
      </c>
      <c r="G1029" s="8" t="s">
        <v>4422</v>
      </c>
      <c r="H1029" s="8" t="s">
        <v>4423</v>
      </c>
      <c r="I1029" s="8" t="s">
        <v>4424</v>
      </c>
      <c r="J1029" s="16" t="s">
        <v>4425</v>
      </c>
      <c r="K1029" s="2" t="s">
        <v>4426</v>
      </c>
      <c r="L1029" s="8" t="s">
        <v>4427</v>
      </c>
      <c r="M1029" s="8" t="s">
        <v>27</v>
      </c>
      <c r="N1029" s="8" t="s">
        <v>4428</v>
      </c>
      <c r="O1029" s="8" t="s">
        <v>1018</v>
      </c>
      <c r="P1029" s="8" t="s">
        <v>405</v>
      </c>
      <c r="Q1029" s="12" t="s">
        <v>4429</v>
      </c>
      <c r="R1029" s="8" t="s">
        <v>559</v>
      </c>
      <c r="S1029" s="7" t="s">
        <v>28</v>
      </c>
      <c r="T1029" s="6"/>
      <c r="U1029" s="8"/>
    </row>
    <row r="1030" spans="1:34" ht="13.5" customHeight="1">
      <c r="A1030" s="8" t="s">
        <v>4442</v>
      </c>
      <c r="B1030" s="16">
        <v>64</v>
      </c>
      <c r="C1030" s="8" t="s">
        <v>20</v>
      </c>
      <c r="D1030" s="8" t="s">
        <v>30</v>
      </c>
      <c r="F1030" s="17">
        <v>42044</v>
      </c>
      <c r="G1030" s="8" t="s">
        <v>4443</v>
      </c>
      <c r="H1030" s="8" t="s">
        <v>4444</v>
      </c>
      <c r="I1030" s="8" t="s">
        <v>45</v>
      </c>
      <c r="J1030" s="16" t="s">
        <v>4445</v>
      </c>
      <c r="K1030" s="2" t="s">
        <v>98</v>
      </c>
      <c r="L1030" s="8" t="s">
        <v>99</v>
      </c>
      <c r="M1030" s="8" t="s">
        <v>383</v>
      </c>
      <c r="N1030" s="8" t="s">
        <v>4446</v>
      </c>
      <c r="O1030" s="8" t="s">
        <v>1018</v>
      </c>
      <c r="P1030" s="8" t="s">
        <v>405</v>
      </c>
      <c r="Q1030" s="12" t="s">
        <v>4447</v>
      </c>
      <c r="R1030" s="8" t="s">
        <v>100</v>
      </c>
      <c r="S1030" s="7" t="s">
        <v>18</v>
      </c>
      <c r="T1030" s="6"/>
      <c r="U1030" s="8"/>
    </row>
    <row r="1031" spans="1:34" ht="13.5" customHeight="1">
      <c r="A1031" s="8" t="s">
        <v>4430</v>
      </c>
      <c r="B1031" s="16">
        <v>45</v>
      </c>
      <c r="C1031" s="8" t="s">
        <v>20</v>
      </c>
      <c r="D1031" s="8" t="s">
        <v>85</v>
      </c>
      <c r="E1031" s="8" t="s">
        <v>4431</v>
      </c>
      <c r="F1031" s="17">
        <v>42044</v>
      </c>
      <c r="G1031" s="8" t="s">
        <v>4432</v>
      </c>
      <c r="H1031" s="8" t="s">
        <v>288</v>
      </c>
      <c r="I1031" s="8" t="s">
        <v>73</v>
      </c>
      <c r="J1031" s="16" t="s">
        <v>4433</v>
      </c>
      <c r="K1031" s="2" t="s">
        <v>288</v>
      </c>
      <c r="L1031" s="8" t="s">
        <v>289</v>
      </c>
      <c r="M1031" s="8" t="s">
        <v>27</v>
      </c>
      <c r="N1031" s="8" t="s">
        <v>4434</v>
      </c>
      <c r="O1031" s="8" t="s">
        <v>1018</v>
      </c>
      <c r="P1031" s="8" t="s">
        <v>405</v>
      </c>
      <c r="Q1031" s="12"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1031" s="8" t="s">
        <v>100</v>
      </c>
      <c r="S1031" s="7" t="s">
        <v>383</v>
      </c>
      <c r="T1031" s="6"/>
      <c r="U1031" s="8"/>
    </row>
    <row r="1032" spans="1:34" ht="13.5" customHeight="1">
      <c r="A1032" s="8" t="s">
        <v>4435</v>
      </c>
      <c r="B1032" s="16">
        <v>27</v>
      </c>
      <c r="C1032" s="8" t="s">
        <v>20</v>
      </c>
      <c r="D1032" s="8" t="s">
        <v>30</v>
      </c>
      <c r="F1032" s="17">
        <v>42044</v>
      </c>
      <c r="G1032" s="8" t="s">
        <v>4436</v>
      </c>
      <c r="H1032" s="8" t="s">
        <v>1835</v>
      </c>
      <c r="I1032" s="8" t="s">
        <v>62</v>
      </c>
      <c r="J1032" s="16" t="s">
        <v>4437</v>
      </c>
      <c r="K1032" s="2" t="s">
        <v>1134</v>
      </c>
      <c r="L1032" s="8" t="s">
        <v>4438</v>
      </c>
      <c r="M1032" s="8" t="s">
        <v>4439</v>
      </c>
      <c r="N1032" s="8" t="s">
        <v>4440</v>
      </c>
      <c r="O1032" s="8" t="s">
        <v>1018</v>
      </c>
      <c r="P1032" s="8" t="s">
        <v>405</v>
      </c>
      <c r="Q1032" s="12" t="s">
        <v>4441</v>
      </c>
      <c r="R1032" s="8" t="s">
        <v>100</v>
      </c>
      <c r="S1032" s="7" t="s">
        <v>18</v>
      </c>
      <c r="T1032" s="6"/>
      <c r="U1032" s="8"/>
    </row>
    <row r="1033" spans="1:34" ht="13.5" customHeight="1">
      <c r="A1033" s="8" t="s">
        <v>4448</v>
      </c>
      <c r="B1033" s="16">
        <v>41</v>
      </c>
      <c r="C1033" s="8" t="s">
        <v>20</v>
      </c>
      <c r="D1033" s="8" t="s">
        <v>30</v>
      </c>
      <c r="E1033" s="8" t="s">
        <v>4449</v>
      </c>
      <c r="F1033" s="17">
        <v>42044</v>
      </c>
      <c r="G1033" s="8" t="s">
        <v>4450</v>
      </c>
      <c r="H1033" s="8" t="s">
        <v>4451</v>
      </c>
      <c r="I1033" s="8" t="s">
        <v>73</v>
      </c>
      <c r="J1033" s="16" t="s">
        <v>4452</v>
      </c>
      <c r="K1033" s="2" t="s">
        <v>4453</v>
      </c>
      <c r="L1033" s="8" t="s">
        <v>4454</v>
      </c>
      <c r="M1033" s="8" t="s">
        <v>27</v>
      </c>
      <c r="N1033" s="8" t="s">
        <v>4455</v>
      </c>
      <c r="O1033" s="8" t="s">
        <v>404</v>
      </c>
      <c r="P1033" s="8" t="s">
        <v>405</v>
      </c>
      <c r="Q1033" s="12" t="str">
        <f>HYPERLINK("http://www.cbsnews.com/news/texas-officer-responding-to-home-fatally-shoots-off-duty-deputy/","http://www.cbsnews.com/news/texas-officer-responding-to-home-fatally-shoots-off-duty-deputy/")</f>
        <v>http://www.cbsnews.com/news/texas-officer-responding-to-home-fatally-shoots-off-duty-deputy/</v>
      </c>
      <c r="R1033" s="8" t="s">
        <v>29</v>
      </c>
      <c r="S1033" s="7" t="s">
        <v>35</v>
      </c>
      <c r="T1033" s="6"/>
      <c r="U1033" s="8"/>
    </row>
    <row r="1034" spans="1:34" ht="13.5" customHeight="1">
      <c r="A1034" s="8" t="s">
        <v>4456</v>
      </c>
      <c r="B1034" s="16">
        <v>57</v>
      </c>
      <c r="C1034" s="8" t="s">
        <v>20</v>
      </c>
      <c r="D1034" s="8" t="s">
        <v>37</v>
      </c>
      <c r="E1034" s="8" t="s">
        <v>4457</v>
      </c>
      <c r="F1034" s="17">
        <v>42044</v>
      </c>
      <c r="G1034" s="8" t="s">
        <v>4458</v>
      </c>
      <c r="H1034" s="8" t="s">
        <v>4459</v>
      </c>
      <c r="I1034" s="8" t="s">
        <v>427</v>
      </c>
      <c r="J1034" s="16" t="s">
        <v>4460</v>
      </c>
      <c r="K1034" s="2" t="s">
        <v>4461</v>
      </c>
      <c r="L1034" s="8" t="s">
        <v>4462</v>
      </c>
      <c r="M1034" s="8" t="s">
        <v>27</v>
      </c>
      <c r="N1034" s="8" t="s">
        <v>4463</v>
      </c>
      <c r="O1034" s="8" t="s">
        <v>1018</v>
      </c>
      <c r="P1034" s="8" t="s">
        <v>405</v>
      </c>
      <c r="Q1034" s="12" t="s">
        <v>4457</v>
      </c>
      <c r="R1034" s="8" t="s">
        <v>972</v>
      </c>
      <c r="S1034" s="7" t="s">
        <v>28</v>
      </c>
      <c r="T1034" s="6"/>
      <c r="U1034" s="8"/>
    </row>
    <row r="1035" spans="1:34" ht="13.5" customHeight="1">
      <c r="A1035" s="8" t="s">
        <v>4470</v>
      </c>
      <c r="B1035" s="16">
        <v>33</v>
      </c>
      <c r="C1035" s="8" t="s">
        <v>20</v>
      </c>
      <c r="D1035" s="8" t="s">
        <v>30</v>
      </c>
      <c r="E1035" s="8" t="s">
        <v>4471</v>
      </c>
      <c r="F1035" s="17">
        <v>42043</v>
      </c>
      <c r="G1035" s="8" t="s">
        <v>4472</v>
      </c>
      <c r="H1035" s="8" t="s">
        <v>4473</v>
      </c>
      <c r="I1035" s="8" t="s">
        <v>334</v>
      </c>
      <c r="J1035" s="16" t="s">
        <v>4474</v>
      </c>
      <c r="K1035" s="2" t="s">
        <v>4473</v>
      </c>
      <c r="L1035" s="8" t="s">
        <v>4475</v>
      </c>
      <c r="M1035" s="8" t="s">
        <v>27</v>
      </c>
      <c r="N1035" s="8" t="s">
        <v>4476</v>
      </c>
      <c r="O1035" s="8" t="s">
        <v>1018</v>
      </c>
      <c r="P1035" s="8" t="s">
        <v>405</v>
      </c>
      <c r="Q1035" s="12" t="s">
        <v>4477</v>
      </c>
      <c r="R1035" s="8" t="s">
        <v>100</v>
      </c>
      <c r="S1035" s="7" t="s">
        <v>28</v>
      </c>
      <c r="T1035" s="6"/>
      <c r="U1035" s="8"/>
      <c r="Y1035" s="8"/>
      <c r="Z1035" s="8"/>
      <c r="AA1035" s="8"/>
      <c r="AB1035" s="8"/>
      <c r="AC1035" s="8"/>
      <c r="AD1035" s="8"/>
      <c r="AE1035" s="8"/>
      <c r="AF1035" s="8"/>
      <c r="AG1035" s="8"/>
      <c r="AH1035" s="8"/>
    </row>
    <row r="1036" spans="1:34" ht="13.5" customHeight="1">
      <c r="A1036" s="8" t="s">
        <v>4478</v>
      </c>
      <c r="B1036" s="16">
        <v>46</v>
      </c>
      <c r="C1036" s="8" t="s">
        <v>20</v>
      </c>
      <c r="D1036" s="8" t="s">
        <v>85</v>
      </c>
      <c r="E1036" s="8" t="str">
        <f>HYPERLINK("http://www.trbimg.com/img-54da5444/turbine/os-joseph-paffen-20150210/243/243x137","http://www.trbimg.com/img-54da5444/turbine/os-joseph-paffen-20150210/243/243x137")</f>
        <v>http://www.trbimg.com/img-54da5444/turbine/os-joseph-paffen-20150210/243/243x137</v>
      </c>
      <c r="F1036" s="17">
        <v>42043</v>
      </c>
      <c r="G1036" s="8" t="s">
        <v>4479</v>
      </c>
      <c r="H1036" s="8" t="s">
        <v>1069</v>
      </c>
      <c r="I1036" s="8" t="s">
        <v>62</v>
      </c>
      <c r="J1036" s="16">
        <v>32812</v>
      </c>
      <c r="K1036" s="2" t="s">
        <v>1070</v>
      </c>
      <c r="L1036" s="8" t="s">
        <v>4480</v>
      </c>
      <c r="M1036" s="8" t="s">
        <v>27</v>
      </c>
      <c r="N1036" s="8" t="s">
        <v>4481</v>
      </c>
      <c r="O1036" s="8" t="s">
        <v>404</v>
      </c>
      <c r="P1036" s="8" t="s">
        <v>405</v>
      </c>
      <c r="Q1036" s="12"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1036" s="8" t="s">
        <v>29</v>
      </c>
      <c r="S1036" s="7" t="s">
        <v>28</v>
      </c>
      <c r="T1036" s="6"/>
      <c r="U1036" s="8"/>
    </row>
    <row r="1037" spans="1:34" ht="13.5" customHeight="1">
      <c r="A1037" s="8" t="s">
        <v>4464</v>
      </c>
      <c r="B1037" s="16">
        <v>37</v>
      </c>
      <c r="C1037" s="8" t="s">
        <v>115</v>
      </c>
      <c r="D1037" s="8" t="s">
        <v>85</v>
      </c>
      <c r="E1037" s="8" t="s">
        <v>4465</v>
      </c>
      <c r="F1037" s="17">
        <v>42043</v>
      </c>
      <c r="G1037" s="8" t="s">
        <v>4466</v>
      </c>
      <c r="H1037" s="8" t="s">
        <v>4467</v>
      </c>
      <c r="I1037" s="8" t="s">
        <v>247</v>
      </c>
      <c r="J1037" s="16">
        <v>22030</v>
      </c>
      <c r="K1037" s="2" t="s">
        <v>4467</v>
      </c>
      <c r="L1037" s="8" t="s">
        <v>4468</v>
      </c>
      <c r="M1037" s="8" t="s">
        <v>1706</v>
      </c>
      <c r="N1037" s="8" t="s">
        <v>4469</v>
      </c>
      <c r="P1037" s="8" t="s">
        <v>405</v>
      </c>
      <c r="Q1037" s="12"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1037" s="7" t="s">
        <v>18</v>
      </c>
      <c r="T1037" s="6"/>
      <c r="U1037" s="8"/>
    </row>
    <row r="1038" spans="1:34" ht="13.5" customHeight="1">
      <c r="A1038" s="8" t="s">
        <v>4482</v>
      </c>
      <c r="B1038" s="16">
        <v>27</v>
      </c>
      <c r="C1038" s="8" t="s">
        <v>20</v>
      </c>
      <c r="D1038" s="8" t="s">
        <v>37</v>
      </c>
      <c r="E1038" s="8" t="s">
        <v>4483</v>
      </c>
      <c r="F1038" s="17">
        <v>42043</v>
      </c>
      <c r="G1038" s="8" t="s">
        <v>4484</v>
      </c>
      <c r="H1038" s="8" t="s">
        <v>1326</v>
      </c>
      <c r="I1038" s="8" t="s">
        <v>73</v>
      </c>
      <c r="J1038" s="16" t="s">
        <v>4485</v>
      </c>
      <c r="K1038" s="2" t="s">
        <v>1327</v>
      </c>
      <c r="L1038" s="8" t="s">
        <v>1328</v>
      </c>
      <c r="M1038" s="8" t="s">
        <v>27</v>
      </c>
      <c r="N1038" s="8" t="s">
        <v>4486</v>
      </c>
      <c r="O1038" s="8" t="s">
        <v>404</v>
      </c>
      <c r="P1038" s="8" t="s">
        <v>405</v>
      </c>
      <c r="Q1038" s="12" t="s">
        <v>4487</v>
      </c>
      <c r="R1038" s="8" t="s">
        <v>29</v>
      </c>
      <c r="S1038" s="7" t="s">
        <v>28</v>
      </c>
      <c r="T1038" s="6"/>
      <c r="U1038" s="8"/>
      <c r="Y1038" s="8"/>
      <c r="Z1038" s="8"/>
      <c r="AA1038" s="8"/>
      <c r="AB1038" s="8"/>
      <c r="AC1038" s="8"/>
      <c r="AD1038" s="8"/>
      <c r="AE1038" s="8"/>
      <c r="AF1038" s="8"/>
      <c r="AG1038" s="8"/>
      <c r="AH1038" s="8"/>
    </row>
    <row r="1039" spans="1:34" ht="13.5" customHeight="1">
      <c r="A1039" s="8" t="s">
        <v>4492</v>
      </c>
      <c r="B1039" s="16">
        <v>31</v>
      </c>
      <c r="C1039" s="8" t="s">
        <v>20</v>
      </c>
      <c r="D1039" s="8" t="s">
        <v>37</v>
      </c>
      <c r="E1039" s="8" t="s">
        <v>4493</v>
      </c>
      <c r="F1039" s="17">
        <v>42042</v>
      </c>
      <c r="G1039" s="8" t="s">
        <v>4494</v>
      </c>
      <c r="H1039" s="8" t="s">
        <v>4495</v>
      </c>
      <c r="I1039" s="8" t="s">
        <v>57</v>
      </c>
      <c r="J1039" s="16">
        <v>49548</v>
      </c>
      <c r="K1039" s="2" t="s">
        <v>2560</v>
      </c>
      <c r="L1039" s="8" t="s">
        <v>4496</v>
      </c>
      <c r="M1039" s="8" t="s">
        <v>27</v>
      </c>
      <c r="N1039" s="8" t="s">
        <v>4497</v>
      </c>
      <c r="P1039" s="8" t="s">
        <v>405</v>
      </c>
      <c r="Q1039" s="12" t="str">
        <f>HYPERLINK("http://woodtv.com/2015/02/07/suspect-in-officer-shooting-to-be-taken-off-life-support/","http://woodtv.com/2015/02/07/suspect-in-officer-shooting-to-be-taken-off-life-support/")</f>
        <v>http://woodtv.com/2015/02/07/suspect-in-officer-shooting-to-be-taken-off-life-support/</v>
      </c>
      <c r="S1039" s="7" t="s">
        <v>28</v>
      </c>
      <c r="T1039" s="6"/>
      <c r="U1039" s="8"/>
      <c r="V1039" s="8"/>
      <c r="W1039" s="8"/>
      <c r="X1039" s="8"/>
    </row>
    <row r="1040" spans="1:34" ht="13.5" customHeight="1">
      <c r="A1040" s="8" t="s">
        <v>4488</v>
      </c>
      <c r="B1040" s="16">
        <v>74</v>
      </c>
      <c r="C1040" s="8" t="s">
        <v>20</v>
      </c>
      <c r="D1040" s="8" t="s">
        <v>85</v>
      </c>
      <c r="F1040" s="17">
        <v>42042</v>
      </c>
      <c r="G1040" s="8" t="s">
        <v>4489</v>
      </c>
      <c r="H1040" s="8" t="s">
        <v>842</v>
      </c>
      <c r="I1040" s="8" t="s">
        <v>370</v>
      </c>
      <c r="J1040" s="16">
        <v>28052</v>
      </c>
      <c r="K1040" s="2" t="s">
        <v>4490</v>
      </c>
      <c r="L1040" s="8" t="s">
        <v>4277</v>
      </c>
      <c r="M1040" s="8" t="s">
        <v>27</v>
      </c>
      <c r="N1040" s="8" t="s">
        <v>4491</v>
      </c>
      <c r="O1040" s="8" t="s">
        <v>404</v>
      </c>
      <c r="P1040" s="8" t="s">
        <v>405</v>
      </c>
      <c r="Q1040" s="12"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1040" s="8" t="s">
        <v>100</v>
      </c>
      <c r="S1040" s="7" t="s">
        <v>28</v>
      </c>
      <c r="T1040" s="6"/>
      <c r="U1040" s="8"/>
    </row>
    <row r="1041" spans="1:21" ht="13.5" customHeight="1">
      <c r="A1041" s="8" t="s">
        <v>4498</v>
      </c>
      <c r="B1041" s="16">
        <v>26</v>
      </c>
      <c r="C1041" s="8" t="s">
        <v>20</v>
      </c>
      <c r="D1041" s="8" t="s">
        <v>85</v>
      </c>
      <c r="E1041" s="8" t="s">
        <v>4499</v>
      </c>
      <c r="F1041" s="17">
        <v>42041</v>
      </c>
      <c r="G1041" s="8" t="s">
        <v>4500</v>
      </c>
      <c r="H1041" s="8" t="s">
        <v>1104</v>
      </c>
      <c r="I1041" s="8" t="s">
        <v>399</v>
      </c>
      <c r="J1041" s="16" t="s">
        <v>4501</v>
      </c>
      <c r="K1041" s="2" t="s">
        <v>1105</v>
      </c>
      <c r="L1041" s="8" t="s">
        <v>1106</v>
      </c>
      <c r="M1041" s="8" t="s">
        <v>27</v>
      </c>
      <c r="N1041" s="8" t="s">
        <v>4502</v>
      </c>
      <c r="O1041" s="8" t="s">
        <v>1018</v>
      </c>
      <c r="P1041" s="8" t="s">
        <v>405</v>
      </c>
      <c r="Q1041" s="12" t="s">
        <v>4503</v>
      </c>
      <c r="R1041" s="8" t="s">
        <v>100</v>
      </c>
      <c r="S1041" s="7" t="s">
        <v>28</v>
      </c>
      <c r="T1041" s="6"/>
      <c r="U1041" s="8"/>
    </row>
    <row r="1042" spans="1:21" ht="13.5" customHeight="1">
      <c r="A1042" s="8" t="s">
        <v>4504</v>
      </c>
      <c r="B1042" s="16">
        <v>36</v>
      </c>
      <c r="C1042" s="8" t="s">
        <v>20</v>
      </c>
      <c r="D1042" s="8" t="s">
        <v>30</v>
      </c>
      <c r="F1042" s="17">
        <v>42040</v>
      </c>
      <c r="G1042" s="8" t="s">
        <v>4505</v>
      </c>
      <c r="H1042" s="8" t="s">
        <v>4506</v>
      </c>
      <c r="I1042" s="8" t="s">
        <v>45</v>
      </c>
      <c r="J1042" s="16" t="s">
        <v>4507</v>
      </c>
      <c r="K1042" s="2" t="s">
        <v>791</v>
      </c>
      <c r="L1042" s="8" t="s">
        <v>792</v>
      </c>
      <c r="M1042" s="8" t="s">
        <v>27</v>
      </c>
      <c r="N1042" s="8" t="s">
        <v>4509</v>
      </c>
      <c r="O1042" s="8" t="s">
        <v>1018</v>
      </c>
      <c r="P1042" s="8" t="s">
        <v>405</v>
      </c>
      <c r="Q1042" s="12" t="s">
        <v>4510</v>
      </c>
      <c r="R1042" s="8" t="s">
        <v>100</v>
      </c>
      <c r="S1042" s="7" t="s">
        <v>28</v>
      </c>
      <c r="T1042" s="6"/>
      <c r="U1042" s="8"/>
    </row>
    <row r="1043" spans="1:21" ht="13.5" customHeight="1">
      <c r="A1043" s="8" t="s">
        <v>4527</v>
      </c>
      <c r="B1043" s="16">
        <v>37</v>
      </c>
      <c r="C1043" s="8" t="s">
        <v>20</v>
      </c>
      <c r="D1043" s="8" t="s">
        <v>48</v>
      </c>
      <c r="F1043" s="17">
        <v>42039</v>
      </c>
      <c r="G1043" s="8" t="s">
        <v>4528</v>
      </c>
      <c r="H1043" s="8" t="s">
        <v>1069</v>
      </c>
      <c r="I1043" s="8" t="s">
        <v>62</v>
      </c>
      <c r="J1043" s="16" t="s">
        <v>4529</v>
      </c>
      <c r="K1043" s="2" t="s">
        <v>1070</v>
      </c>
      <c r="L1043" s="8" t="s">
        <v>1071</v>
      </c>
      <c r="M1043" s="8" t="s">
        <v>27</v>
      </c>
      <c r="N1043" s="8" t="s">
        <v>4530</v>
      </c>
      <c r="O1043" s="8" t="s">
        <v>1018</v>
      </c>
      <c r="P1043" s="8" t="s">
        <v>405</v>
      </c>
      <c r="Q1043" s="12" t="s">
        <v>4531</v>
      </c>
      <c r="R1043" s="8" t="s">
        <v>100</v>
      </c>
      <c r="S1043" s="7" t="s">
        <v>28</v>
      </c>
      <c r="T1043" s="6"/>
      <c r="U1043" s="8"/>
    </row>
    <row r="1044" spans="1:21" ht="13.5" customHeight="1">
      <c r="A1044" s="8" t="s">
        <v>4540</v>
      </c>
      <c r="B1044" s="16">
        <v>28</v>
      </c>
      <c r="C1044" s="8" t="s">
        <v>20</v>
      </c>
      <c r="D1044" s="8" t="s">
        <v>85</v>
      </c>
      <c r="E1044" s="8" t="s">
        <v>20907</v>
      </c>
      <c r="F1044" s="17">
        <v>42039</v>
      </c>
      <c r="G1044" s="8" t="s">
        <v>4541</v>
      </c>
      <c r="H1044" s="8" t="s">
        <v>3541</v>
      </c>
      <c r="I1044" s="8" t="s">
        <v>62</v>
      </c>
      <c r="J1044" s="16" t="s">
        <v>3542</v>
      </c>
      <c r="K1044" s="2" t="s">
        <v>3543</v>
      </c>
      <c r="L1044" s="8" t="s">
        <v>3544</v>
      </c>
      <c r="M1044" s="8" t="s">
        <v>27</v>
      </c>
      <c r="N1044" s="8" t="s">
        <v>4542</v>
      </c>
      <c r="O1044" s="8" t="s">
        <v>554</v>
      </c>
      <c r="P1044" s="8" t="s">
        <v>405</v>
      </c>
      <c r="Q1044" s="12" t="s">
        <v>4543</v>
      </c>
      <c r="R1044" s="8" t="s">
        <v>100</v>
      </c>
      <c r="S1044" s="7" t="s">
        <v>18</v>
      </c>
      <c r="T1044" s="6"/>
      <c r="U1044" s="8"/>
    </row>
    <row r="1045" spans="1:21" ht="13.5" customHeight="1">
      <c r="A1045" s="8" t="s">
        <v>4517</v>
      </c>
      <c r="B1045" s="16">
        <v>51</v>
      </c>
      <c r="C1045" s="8" t="s">
        <v>20</v>
      </c>
      <c r="D1045" s="8" t="s">
        <v>85</v>
      </c>
      <c r="E1045" s="8" t="s">
        <v>4518</v>
      </c>
      <c r="F1045" s="17">
        <v>42039</v>
      </c>
      <c r="G1045" s="8" t="s">
        <v>4519</v>
      </c>
      <c r="H1045" s="8" t="s">
        <v>4520</v>
      </c>
      <c r="I1045" s="8" t="s">
        <v>73</v>
      </c>
      <c r="J1045" s="16" t="s">
        <v>4521</v>
      </c>
      <c r="K1045" s="2" t="s">
        <v>808</v>
      </c>
      <c r="L1045" s="8" t="s">
        <v>809</v>
      </c>
      <c r="M1045" s="8" t="s">
        <v>27</v>
      </c>
      <c r="N1045" s="8" t="s">
        <v>4522</v>
      </c>
      <c r="O1045" s="8" t="s">
        <v>1018</v>
      </c>
      <c r="P1045" s="8" t="s">
        <v>405</v>
      </c>
      <c r="Q1045" s="12"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1045" s="8" t="s">
        <v>100</v>
      </c>
      <c r="S1045" s="7" t="s">
        <v>28</v>
      </c>
      <c r="T1045" s="6"/>
      <c r="U1045" s="8"/>
    </row>
    <row r="1046" spans="1:21" ht="13.5" customHeight="1">
      <c r="A1046" s="8" t="str">
        <f>HYPERLINK("http://www.killedbypolice.net/victims/150102.jpg","Joaquin Hernandez")</f>
        <v>Joaquin Hernandez</v>
      </c>
      <c r="B1046" s="16">
        <v>28</v>
      </c>
      <c r="C1046" s="8" t="s">
        <v>20</v>
      </c>
      <c r="D1046" s="8" t="s">
        <v>48</v>
      </c>
      <c r="E1046" s="8" t="s">
        <v>4523</v>
      </c>
      <c r="F1046" s="17">
        <v>42039</v>
      </c>
      <c r="G1046" s="8" t="s">
        <v>4524</v>
      </c>
      <c r="H1046" s="8" t="s">
        <v>3954</v>
      </c>
      <c r="I1046" s="8" t="s">
        <v>124</v>
      </c>
      <c r="J1046" s="16">
        <v>85042</v>
      </c>
      <c r="K1046" s="2" t="s">
        <v>639</v>
      </c>
      <c r="L1046" s="8" t="s">
        <v>1443</v>
      </c>
      <c r="M1046" s="8" t="s">
        <v>27</v>
      </c>
      <c r="N1046" s="8" t="s">
        <v>4525</v>
      </c>
      <c r="P1046" s="8" t="s">
        <v>405</v>
      </c>
      <c r="Q1046" s="12" t="s">
        <v>4526</v>
      </c>
      <c r="S1046" s="7" t="s">
        <v>18</v>
      </c>
      <c r="T1046" s="6"/>
      <c r="U1046" s="8"/>
    </row>
    <row r="1047" spans="1:21" ht="13.5" customHeight="1">
      <c r="A1047" s="8" t="s">
        <v>4536</v>
      </c>
      <c r="B1047" s="16">
        <v>60</v>
      </c>
      <c r="C1047" s="8" t="s">
        <v>20</v>
      </c>
      <c r="D1047" s="8" t="s">
        <v>30</v>
      </c>
      <c r="F1047" s="17">
        <v>42039</v>
      </c>
      <c r="G1047" s="8" t="s">
        <v>4537</v>
      </c>
      <c r="H1047" s="8" t="s">
        <v>87</v>
      </c>
      <c r="I1047" s="8" t="s">
        <v>44</v>
      </c>
      <c r="J1047" s="16" t="s">
        <v>1693</v>
      </c>
      <c r="K1047" s="2" t="s">
        <v>88</v>
      </c>
      <c r="L1047" s="8" t="s">
        <v>89</v>
      </c>
      <c r="M1047" s="8" t="s">
        <v>383</v>
      </c>
      <c r="N1047" s="8" t="s">
        <v>4538</v>
      </c>
      <c r="O1047" s="8" t="s">
        <v>1018</v>
      </c>
      <c r="P1047" s="8" t="s">
        <v>405</v>
      </c>
      <c r="Q1047" s="12" t="s">
        <v>4539</v>
      </c>
      <c r="R1047" s="8" t="s">
        <v>100</v>
      </c>
      <c r="S1047" s="7" t="s">
        <v>18</v>
      </c>
      <c r="T1047" s="6"/>
      <c r="U1047" s="8"/>
    </row>
    <row r="1048" spans="1:21" ht="13.5" customHeight="1">
      <c r="A1048" s="8" t="s">
        <v>4511</v>
      </c>
      <c r="B1048" s="16">
        <v>36</v>
      </c>
      <c r="C1048" s="8" t="s">
        <v>20</v>
      </c>
      <c r="D1048" s="8" t="s">
        <v>85</v>
      </c>
      <c r="E1048" s="8" t="s">
        <v>4512</v>
      </c>
      <c r="F1048" s="17">
        <v>42039</v>
      </c>
      <c r="G1048" s="8" t="s">
        <v>4513</v>
      </c>
      <c r="H1048" s="8" t="s">
        <v>1204</v>
      </c>
      <c r="I1048" s="8" t="s">
        <v>323</v>
      </c>
      <c r="J1048" s="16" t="s">
        <v>4514</v>
      </c>
      <c r="K1048" s="2" t="s">
        <v>1205</v>
      </c>
      <c r="L1048" s="8" t="s">
        <v>5704</v>
      </c>
      <c r="M1048" s="8" t="s">
        <v>27</v>
      </c>
      <c r="N1048" s="8" t="s">
        <v>4515</v>
      </c>
      <c r="O1048" s="8" t="s">
        <v>1018</v>
      </c>
      <c r="P1048" s="8" t="s">
        <v>405</v>
      </c>
      <c r="Q1048" s="12" t="s">
        <v>4516</v>
      </c>
      <c r="R1048" s="8" t="s">
        <v>100</v>
      </c>
      <c r="S1048" s="7" t="s">
        <v>28</v>
      </c>
      <c r="T1048" s="6"/>
      <c r="U1048" s="8"/>
    </row>
    <row r="1049" spans="1:21" ht="13.5" customHeight="1">
      <c r="A1049" s="8" t="s">
        <v>4544</v>
      </c>
      <c r="B1049" s="16">
        <v>59</v>
      </c>
      <c r="C1049" s="8" t="s">
        <v>20</v>
      </c>
      <c r="D1049" s="8" t="s">
        <v>37</v>
      </c>
      <c r="E1049" s="8" t="s">
        <v>4545</v>
      </c>
      <c r="F1049" s="17">
        <v>42039</v>
      </c>
      <c r="G1049" s="8" t="s">
        <v>4546</v>
      </c>
      <c r="H1049" s="8" t="s">
        <v>4547</v>
      </c>
      <c r="I1049" s="8" t="s">
        <v>45</v>
      </c>
      <c r="J1049" s="16" t="s">
        <v>4548</v>
      </c>
      <c r="K1049" s="2" t="s">
        <v>313</v>
      </c>
      <c r="L1049" s="8" t="s">
        <v>4549</v>
      </c>
      <c r="M1049" s="8" t="s">
        <v>4550</v>
      </c>
      <c r="N1049" s="8" t="s">
        <v>4551</v>
      </c>
      <c r="O1049" s="8" t="s">
        <v>1018</v>
      </c>
      <c r="P1049" s="8" t="s">
        <v>405</v>
      </c>
      <c r="Q1049" s="12"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1049" s="8" t="s">
        <v>100</v>
      </c>
      <c r="S1049" s="7" t="s">
        <v>383</v>
      </c>
      <c r="T1049" s="6"/>
      <c r="U1049" s="8"/>
    </row>
    <row r="1050" spans="1:21" ht="13.5" customHeight="1">
      <c r="A1050" s="8" t="s">
        <v>4532</v>
      </c>
      <c r="B1050" s="16">
        <v>28</v>
      </c>
      <c r="C1050" s="8" t="s">
        <v>20</v>
      </c>
      <c r="D1050" s="8" t="s">
        <v>48</v>
      </c>
      <c r="E1050" s="8" t="s">
        <v>4533</v>
      </c>
      <c r="F1050" s="17">
        <v>42039</v>
      </c>
      <c r="G1050" s="8" t="s">
        <v>4524</v>
      </c>
      <c r="H1050" s="8" t="s">
        <v>3954</v>
      </c>
      <c r="I1050" s="8" t="s">
        <v>124</v>
      </c>
      <c r="J1050" s="16" t="s">
        <v>4534</v>
      </c>
      <c r="K1050" s="2" t="s">
        <v>639</v>
      </c>
      <c r="L1050" s="8" t="s">
        <v>19949</v>
      </c>
      <c r="M1050" s="8" t="s">
        <v>27</v>
      </c>
      <c r="N1050" s="8" t="s">
        <v>4535</v>
      </c>
      <c r="O1050" s="8" t="s">
        <v>1018</v>
      </c>
      <c r="P1050" s="8" t="s">
        <v>405</v>
      </c>
      <c r="Q1050" s="12" t="s">
        <v>4526</v>
      </c>
      <c r="R1050" s="8" t="s">
        <v>100</v>
      </c>
      <c r="S1050" s="7" t="s">
        <v>28</v>
      </c>
      <c r="T1050" s="6"/>
      <c r="U1050" s="8"/>
    </row>
    <row r="1051" spans="1:21" ht="13.5" customHeight="1">
      <c r="A1051" s="8" t="s">
        <v>4581</v>
      </c>
      <c r="B1051" s="16">
        <v>45</v>
      </c>
      <c r="C1051" s="8" t="s">
        <v>20</v>
      </c>
      <c r="D1051" s="8" t="s">
        <v>30</v>
      </c>
      <c r="F1051" s="17">
        <v>42038</v>
      </c>
      <c r="G1051" s="8" t="s">
        <v>4582</v>
      </c>
      <c r="H1051" s="8" t="s">
        <v>946</v>
      </c>
      <c r="I1051" s="8" t="s">
        <v>175</v>
      </c>
      <c r="J1051" s="16" t="s">
        <v>4583</v>
      </c>
      <c r="K1051" s="2" t="s">
        <v>4584</v>
      </c>
      <c r="L1051" s="8" t="s">
        <v>4585</v>
      </c>
      <c r="M1051" s="8" t="s">
        <v>27</v>
      </c>
      <c r="N1051" s="8" t="s">
        <v>4586</v>
      </c>
      <c r="O1051" s="8" t="s">
        <v>1018</v>
      </c>
      <c r="P1051" s="8" t="s">
        <v>405</v>
      </c>
      <c r="Q1051" s="12" t="s">
        <v>4587</v>
      </c>
      <c r="R1051" s="8" t="s">
        <v>29</v>
      </c>
      <c r="S1051" s="7" t="s">
        <v>28</v>
      </c>
      <c r="T1051" s="6"/>
      <c r="U1051" s="8"/>
    </row>
    <row r="1052" spans="1:21" ht="13.5" customHeight="1">
      <c r="A1052" s="8" t="s">
        <v>4552</v>
      </c>
      <c r="B1052" s="16">
        <v>29</v>
      </c>
      <c r="C1052" s="8" t="s">
        <v>20</v>
      </c>
      <c r="D1052" s="8" t="s">
        <v>85</v>
      </c>
      <c r="E1052" s="8" t="s">
        <v>4553</v>
      </c>
      <c r="F1052" s="17">
        <v>42038</v>
      </c>
      <c r="G1052" s="8" t="s">
        <v>4554</v>
      </c>
      <c r="H1052" s="8" t="s">
        <v>886</v>
      </c>
      <c r="I1052" s="8" t="s">
        <v>45</v>
      </c>
      <c r="J1052" s="16" t="s">
        <v>4555</v>
      </c>
      <c r="K1052" s="2" t="s">
        <v>4556</v>
      </c>
      <c r="L1052" s="8" t="s">
        <v>4557</v>
      </c>
      <c r="M1052" s="8" t="s">
        <v>27</v>
      </c>
      <c r="N1052" s="8" t="s">
        <v>4558</v>
      </c>
      <c r="O1052" s="8" t="s">
        <v>1018</v>
      </c>
      <c r="P1052" s="8" t="s">
        <v>405</v>
      </c>
      <c r="Q1052" s="12" t="s">
        <v>4559</v>
      </c>
      <c r="R1052" s="8" t="s">
        <v>29</v>
      </c>
      <c r="S1052" s="7" t="s">
        <v>28</v>
      </c>
      <c r="T1052" s="6"/>
      <c r="U1052" s="8"/>
    </row>
    <row r="1053" spans="1:21" ht="13.5" customHeight="1">
      <c r="A1053" s="8" t="s">
        <v>4568</v>
      </c>
      <c r="B1053" s="16">
        <v>23</v>
      </c>
      <c r="C1053" s="8" t="s">
        <v>20</v>
      </c>
      <c r="D1053" s="8" t="s">
        <v>85</v>
      </c>
      <c r="E1053" s="8" t="s">
        <v>4569</v>
      </c>
      <c r="F1053" s="17">
        <v>42038</v>
      </c>
      <c r="G1053" s="8" t="s">
        <v>4570</v>
      </c>
      <c r="H1053" s="8" t="s">
        <v>717</v>
      </c>
      <c r="I1053" s="8" t="s">
        <v>435</v>
      </c>
      <c r="J1053" s="16" t="s">
        <v>4571</v>
      </c>
      <c r="K1053" s="2" t="s">
        <v>717</v>
      </c>
      <c r="L1053" s="8" t="s">
        <v>4572</v>
      </c>
      <c r="M1053" s="8" t="s">
        <v>27</v>
      </c>
      <c r="N1053" s="8" t="s">
        <v>4573</v>
      </c>
      <c r="O1053" s="8" t="s">
        <v>1018</v>
      </c>
      <c r="P1053" s="8" t="s">
        <v>405</v>
      </c>
      <c r="Q1053" s="12" t="s">
        <v>4569</v>
      </c>
      <c r="R1053" s="8" t="s">
        <v>100</v>
      </c>
      <c r="S1053" s="7" t="s">
        <v>35</v>
      </c>
      <c r="T1053" s="6"/>
      <c r="U1053" s="8"/>
    </row>
    <row r="1054" spans="1:21" ht="13.5" customHeight="1">
      <c r="A1054" s="8" t="s">
        <v>4574</v>
      </c>
      <c r="B1054" s="16">
        <v>35</v>
      </c>
      <c r="C1054" s="8" t="s">
        <v>20</v>
      </c>
      <c r="D1054" s="8" t="s">
        <v>48</v>
      </c>
      <c r="F1054" s="17">
        <v>42038</v>
      </c>
      <c r="G1054" s="8" t="s">
        <v>4575</v>
      </c>
      <c r="H1054" s="8" t="s">
        <v>4576</v>
      </c>
      <c r="I1054" s="8" t="s">
        <v>73</v>
      </c>
      <c r="J1054" s="16" t="s">
        <v>4577</v>
      </c>
      <c r="K1054" s="2" t="s">
        <v>690</v>
      </c>
      <c r="L1054" s="8" t="s">
        <v>4578</v>
      </c>
      <c r="M1054" s="8" t="s">
        <v>1706</v>
      </c>
      <c r="N1054" s="8" t="s">
        <v>4579</v>
      </c>
      <c r="O1054" s="8" t="s">
        <v>1018</v>
      </c>
      <c r="P1054" s="8" t="s">
        <v>405</v>
      </c>
      <c r="Q1054" s="12" t="s">
        <v>4580</v>
      </c>
      <c r="R1054" s="8" t="s">
        <v>559</v>
      </c>
      <c r="S1054" s="7" t="s">
        <v>18</v>
      </c>
      <c r="T1054" s="6"/>
      <c r="U1054" s="8"/>
    </row>
    <row r="1055" spans="1:21" ht="13.5" customHeight="1">
      <c r="A1055" s="8" t="s">
        <v>4560</v>
      </c>
      <c r="B1055" s="16">
        <v>38</v>
      </c>
      <c r="C1055" s="8" t="s">
        <v>115</v>
      </c>
      <c r="D1055" s="8" t="s">
        <v>85</v>
      </c>
      <c r="E1055" s="8" t="s">
        <v>4561</v>
      </c>
      <c r="F1055" s="17">
        <v>42038</v>
      </c>
      <c r="G1055" s="8" t="s">
        <v>4562</v>
      </c>
      <c r="H1055" s="8" t="s">
        <v>4563</v>
      </c>
      <c r="I1055" s="8" t="s">
        <v>45</v>
      </c>
      <c r="J1055" s="16" t="s">
        <v>4564</v>
      </c>
      <c r="K1055" s="2" t="s">
        <v>608</v>
      </c>
      <c r="L1055" s="8" t="s">
        <v>4565</v>
      </c>
      <c r="M1055" s="8" t="s">
        <v>27</v>
      </c>
      <c r="N1055" s="8" t="s">
        <v>4566</v>
      </c>
      <c r="O1055" s="8" t="s">
        <v>1018</v>
      </c>
      <c r="P1055" s="8" t="s">
        <v>405</v>
      </c>
      <c r="Q1055" s="12" t="s">
        <v>4567</v>
      </c>
      <c r="R1055" s="8" t="s">
        <v>100</v>
      </c>
      <c r="S1055" s="7" t="s">
        <v>28</v>
      </c>
      <c r="T1055" s="6"/>
      <c r="U1055" s="8"/>
    </row>
    <row r="1056" spans="1:21" ht="13.5" customHeight="1">
      <c r="A1056" s="8" t="s">
        <v>4588</v>
      </c>
      <c r="B1056" s="16">
        <v>59</v>
      </c>
      <c r="C1056" s="8" t="s">
        <v>20</v>
      </c>
      <c r="D1056" s="8" t="s">
        <v>37</v>
      </c>
      <c r="E1056" s="8" t="s">
        <v>4589</v>
      </c>
      <c r="F1056" s="17">
        <v>42037</v>
      </c>
      <c r="G1056" s="8" t="s">
        <v>4590</v>
      </c>
      <c r="H1056" s="8" t="s">
        <v>4591</v>
      </c>
      <c r="I1056" s="8" t="s">
        <v>408</v>
      </c>
      <c r="J1056" s="16" t="s">
        <v>4592</v>
      </c>
      <c r="K1056" s="2" t="s">
        <v>4593</v>
      </c>
      <c r="L1056" s="8" t="s">
        <v>4594</v>
      </c>
      <c r="M1056" s="8" t="s">
        <v>27</v>
      </c>
      <c r="N1056" s="8" t="s">
        <v>4595</v>
      </c>
      <c r="O1056" s="8" t="s">
        <v>1804</v>
      </c>
      <c r="P1056" s="8" t="s">
        <v>21128</v>
      </c>
      <c r="Q1056" s="12" t="s">
        <v>4596</v>
      </c>
      <c r="R1056" s="8" t="s">
        <v>972</v>
      </c>
      <c r="S1056" s="7" t="s">
        <v>18</v>
      </c>
      <c r="T1056" s="6"/>
      <c r="U1056" s="8"/>
    </row>
    <row r="1057" spans="1:49" ht="13.5" customHeight="1">
      <c r="A1057" s="8" t="s">
        <v>4605</v>
      </c>
      <c r="B1057" s="16">
        <v>42</v>
      </c>
      <c r="C1057" s="8" t="s">
        <v>20</v>
      </c>
      <c r="D1057" s="8" t="s">
        <v>37</v>
      </c>
      <c r="E1057" s="8" t="s">
        <v>4606</v>
      </c>
      <c r="F1057" s="17">
        <v>42037</v>
      </c>
      <c r="G1057" s="8" t="s">
        <v>4607</v>
      </c>
      <c r="H1057" s="8" t="s">
        <v>4608</v>
      </c>
      <c r="I1057" s="8" t="s">
        <v>45</v>
      </c>
      <c r="J1057" s="16" t="s">
        <v>4609</v>
      </c>
      <c r="K1057" s="2" t="s">
        <v>313</v>
      </c>
      <c r="L1057" s="8" t="s">
        <v>4610</v>
      </c>
      <c r="M1057" s="8" t="s">
        <v>27</v>
      </c>
      <c r="N1057" s="8" t="s">
        <v>4611</v>
      </c>
      <c r="O1057" s="8" t="s">
        <v>1018</v>
      </c>
      <c r="P1057" s="8" t="s">
        <v>405</v>
      </c>
      <c r="Q1057" s="12" t="s">
        <v>4612</v>
      </c>
      <c r="R1057" s="8" t="s">
        <v>29</v>
      </c>
      <c r="S1057" s="7" t="s">
        <v>28</v>
      </c>
      <c r="T1057" s="6"/>
      <c r="U1057" s="8"/>
    </row>
    <row r="1058" spans="1:49" ht="13.5" customHeight="1">
      <c r="A1058" s="8" t="s">
        <v>4597</v>
      </c>
      <c r="B1058" s="16">
        <v>17</v>
      </c>
      <c r="C1058" s="8" t="s">
        <v>20</v>
      </c>
      <c r="D1058" s="8" t="s">
        <v>37</v>
      </c>
      <c r="E1058" s="8" t="s">
        <v>4598</v>
      </c>
      <c r="F1058" s="17">
        <v>42037</v>
      </c>
      <c r="G1058" s="8" t="s">
        <v>4599</v>
      </c>
      <c r="H1058" s="8" t="s">
        <v>4600</v>
      </c>
      <c r="I1058" s="8" t="s">
        <v>57</v>
      </c>
      <c r="J1058" s="16" t="s">
        <v>4601</v>
      </c>
      <c r="K1058" s="2" t="s">
        <v>2840</v>
      </c>
      <c r="L1058" s="8" t="s">
        <v>4602</v>
      </c>
      <c r="M1058" s="8" t="s">
        <v>27</v>
      </c>
      <c r="N1058" s="8" t="s">
        <v>4603</v>
      </c>
      <c r="O1058" s="8" t="s">
        <v>554</v>
      </c>
      <c r="P1058" s="8" t="s">
        <v>405</v>
      </c>
      <c r="Q1058" s="12" t="s">
        <v>4604</v>
      </c>
      <c r="R1058" s="8" t="s">
        <v>100</v>
      </c>
      <c r="S1058" s="7" t="s">
        <v>28</v>
      </c>
      <c r="T1058" s="6"/>
      <c r="U1058" s="8"/>
    </row>
    <row r="1059" spans="1:49" ht="13.5" customHeight="1">
      <c r="A1059" s="8" t="s">
        <v>4613</v>
      </c>
      <c r="B1059" s="16">
        <v>31</v>
      </c>
      <c r="C1059" s="8" t="s">
        <v>20</v>
      </c>
      <c r="D1059" s="8" t="s">
        <v>48</v>
      </c>
      <c r="F1059" s="17">
        <v>42036</v>
      </c>
      <c r="G1059" s="8" t="s">
        <v>4614</v>
      </c>
      <c r="H1059" s="8" t="s">
        <v>4615</v>
      </c>
      <c r="I1059" s="8" t="s">
        <v>73</v>
      </c>
      <c r="J1059" s="16" t="s">
        <v>4616</v>
      </c>
      <c r="K1059" s="2" t="s">
        <v>562</v>
      </c>
      <c r="L1059" s="8" t="s">
        <v>732</v>
      </c>
      <c r="M1059" s="8" t="s">
        <v>27</v>
      </c>
      <c r="N1059" s="8" t="s">
        <v>4617</v>
      </c>
      <c r="O1059" s="8" t="s">
        <v>1018</v>
      </c>
      <c r="P1059" s="8" t="s">
        <v>405</v>
      </c>
      <c r="Q1059" s="12" t="s">
        <v>4618</v>
      </c>
      <c r="R1059" s="8" t="s">
        <v>100</v>
      </c>
      <c r="S1059" s="7" t="s">
        <v>28</v>
      </c>
      <c r="T1059" s="6"/>
      <c r="U1059" s="8"/>
    </row>
    <row r="1060" spans="1:49" ht="13.5" customHeight="1">
      <c r="A1060" s="8" t="s">
        <v>4619</v>
      </c>
      <c r="B1060" s="16">
        <v>56</v>
      </c>
      <c r="C1060" s="8" t="s">
        <v>20</v>
      </c>
      <c r="D1060" s="8" t="s">
        <v>85</v>
      </c>
      <c r="E1060" s="8" t="s">
        <v>4620</v>
      </c>
      <c r="F1060" s="17">
        <v>42035</v>
      </c>
      <c r="G1060" s="8" t="s">
        <v>4621</v>
      </c>
      <c r="H1060" s="8" t="s">
        <v>4622</v>
      </c>
      <c r="I1060" s="8" t="s">
        <v>52</v>
      </c>
      <c r="J1060" s="16" t="s">
        <v>4623</v>
      </c>
      <c r="K1060" s="2" t="s">
        <v>1608</v>
      </c>
      <c r="L1060" s="8" t="s">
        <v>234</v>
      </c>
      <c r="M1060" s="8" t="s">
        <v>27</v>
      </c>
      <c r="N1060" s="8" t="s">
        <v>4624</v>
      </c>
      <c r="O1060" s="8" t="s">
        <v>1018</v>
      </c>
      <c r="P1060" s="8" t="s">
        <v>405</v>
      </c>
      <c r="Q1060" s="12" t="s">
        <v>4625</v>
      </c>
      <c r="R1060" s="8" t="s">
        <v>100</v>
      </c>
      <c r="S1060" s="7" t="s">
        <v>28</v>
      </c>
      <c r="T1060" s="6"/>
      <c r="U1060" s="8"/>
    </row>
    <row r="1061" spans="1:49" ht="13.5" customHeight="1">
      <c r="A1061" s="8" t="s">
        <v>4626</v>
      </c>
      <c r="B1061" s="16">
        <v>48</v>
      </c>
      <c r="C1061" s="8" t="s">
        <v>20</v>
      </c>
      <c r="D1061" s="8" t="s">
        <v>37</v>
      </c>
      <c r="E1061" s="8" t="s">
        <v>4627</v>
      </c>
      <c r="F1061" s="17">
        <v>42034</v>
      </c>
      <c r="G1061" s="8" t="s">
        <v>4628</v>
      </c>
      <c r="H1061" s="8" t="s">
        <v>4629</v>
      </c>
      <c r="I1061" s="8" t="s">
        <v>862</v>
      </c>
      <c r="J1061" s="16" t="s">
        <v>4630</v>
      </c>
      <c r="K1061" s="2" t="s">
        <v>4631</v>
      </c>
      <c r="L1061" s="8" t="s">
        <v>4632</v>
      </c>
      <c r="M1061" s="8" t="s">
        <v>27</v>
      </c>
      <c r="N1061" s="8" t="s">
        <v>4633</v>
      </c>
      <c r="O1061" s="8" t="s">
        <v>1018</v>
      </c>
      <c r="P1061" s="8" t="s">
        <v>405</v>
      </c>
      <c r="Q1061" s="12" t="s">
        <v>4634</v>
      </c>
      <c r="R1061" s="8" t="s">
        <v>100</v>
      </c>
      <c r="S1061" s="7" t="s">
        <v>28</v>
      </c>
      <c r="T1061" s="6"/>
      <c r="U1061" s="8"/>
    </row>
    <row r="1062" spans="1:49" ht="13.5" customHeight="1">
      <c r="A1062" s="8" t="s">
        <v>21092</v>
      </c>
      <c r="B1062" s="16">
        <v>21</v>
      </c>
      <c r="C1062" s="8" t="s">
        <v>115</v>
      </c>
      <c r="D1062" s="8" t="s">
        <v>37</v>
      </c>
      <c r="E1062" s="8" t="s">
        <v>21094</v>
      </c>
      <c r="F1062" s="17">
        <v>42033</v>
      </c>
      <c r="G1062" s="8" t="s">
        <v>21095</v>
      </c>
      <c r="H1062" s="8" t="s">
        <v>10779</v>
      </c>
      <c r="I1062" s="8" t="s">
        <v>73</v>
      </c>
      <c r="J1062" s="16">
        <v>77304</v>
      </c>
      <c r="K1062" s="2" t="s">
        <v>1065</v>
      </c>
      <c r="L1062" s="2" t="s">
        <v>21096</v>
      </c>
      <c r="M1062" s="2" t="s">
        <v>383</v>
      </c>
      <c r="N1062" s="2" t="s">
        <v>21093</v>
      </c>
      <c r="O1062" s="2" t="s">
        <v>1170</v>
      </c>
      <c r="P1062" s="2" t="s">
        <v>1171</v>
      </c>
      <c r="Q1062" s="12" t="s">
        <v>21097</v>
      </c>
      <c r="R1062" s="2" t="s">
        <v>972</v>
      </c>
      <c r="S1062" s="7" t="s">
        <v>18</v>
      </c>
      <c r="T1062" s="6"/>
      <c r="U1062" s="8"/>
    </row>
    <row r="1063" spans="1:49" ht="13.5" customHeight="1">
      <c r="A1063" s="8" t="s">
        <v>4635</v>
      </c>
      <c r="B1063" s="16">
        <v>42</v>
      </c>
      <c r="C1063" s="8" t="s">
        <v>20</v>
      </c>
      <c r="D1063" s="8" t="s">
        <v>37</v>
      </c>
      <c r="E1063" s="8" t="s">
        <v>4636</v>
      </c>
      <c r="F1063" s="17">
        <v>42033</v>
      </c>
      <c r="G1063" s="8" t="s">
        <v>4637</v>
      </c>
      <c r="H1063" s="8" t="s">
        <v>4638</v>
      </c>
      <c r="I1063" s="8" t="s">
        <v>399</v>
      </c>
      <c r="J1063" s="16" t="s">
        <v>4639</v>
      </c>
      <c r="K1063" s="2" t="s">
        <v>570</v>
      </c>
      <c r="L1063" s="8" t="s">
        <v>4640</v>
      </c>
      <c r="M1063" s="8" t="s">
        <v>27</v>
      </c>
      <c r="N1063" s="8" t="s">
        <v>4641</v>
      </c>
      <c r="O1063" s="8" t="s">
        <v>554</v>
      </c>
      <c r="P1063" s="8" t="s">
        <v>405</v>
      </c>
      <c r="Q1063" s="12" t="str">
        <f>HYPERLINK("http://newsok.com/new-details-released-in-stillwater-homicide-officer-shooting/article/5389230","http://newsok.com/new-details-released-in-stillwater-homicide-officer-shooting/article/5389230")</f>
        <v>http://newsok.com/new-details-released-in-stillwater-homicide-officer-shooting/article/5389230</v>
      </c>
      <c r="R1063" s="8" t="s">
        <v>100</v>
      </c>
      <c r="S1063" s="7" t="s">
        <v>18</v>
      </c>
      <c r="T1063" s="6"/>
      <c r="U1063" s="8"/>
    </row>
    <row r="1064" spans="1:49" ht="13.5" customHeight="1">
      <c r="A1064" s="8" t="s">
        <v>4642</v>
      </c>
      <c r="B1064" s="16">
        <v>40</v>
      </c>
      <c r="C1064" s="8" t="s">
        <v>20</v>
      </c>
      <c r="D1064" s="8" t="s">
        <v>37</v>
      </c>
      <c r="E1064" s="8" t="s">
        <v>4643</v>
      </c>
      <c r="F1064" s="17">
        <v>42033</v>
      </c>
      <c r="G1064" s="8" t="s">
        <v>4644</v>
      </c>
      <c r="H1064" s="8" t="s">
        <v>934</v>
      </c>
      <c r="I1064" s="8" t="s">
        <v>73</v>
      </c>
      <c r="J1064" s="16" t="s">
        <v>4645</v>
      </c>
      <c r="K1064" s="2" t="s">
        <v>74</v>
      </c>
      <c r="L1064" s="8" t="s">
        <v>935</v>
      </c>
      <c r="M1064" s="8" t="s">
        <v>27</v>
      </c>
      <c r="N1064" s="8" t="s">
        <v>4646</v>
      </c>
      <c r="O1064" s="8" t="s">
        <v>1018</v>
      </c>
      <c r="P1064" s="8" t="s">
        <v>405</v>
      </c>
      <c r="Q1064" s="12" t="s">
        <v>4647</v>
      </c>
      <c r="R1064" s="8" t="s">
        <v>559</v>
      </c>
      <c r="S1064" s="7" t="s">
        <v>28</v>
      </c>
      <c r="T1064" s="6"/>
      <c r="U1064" s="8"/>
    </row>
    <row r="1065" spans="1:49" ht="13.5" customHeight="1">
      <c r="A1065" s="8" t="s">
        <v>4658</v>
      </c>
      <c r="B1065" s="16">
        <v>44</v>
      </c>
      <c r="C1065" s="8" t="s">
        <v>20</v>
      </c>
      <c r="D1065" s="8" t="s">
        <v>37</v>
      </c>
      <c r="F1065" s="17">
        <v>42032</v>
      </c>
      <c r="H1065" s="8" t="s">
        <v>4659</v>
      </c>
      <c r="I1065" s="8" t="s">
        <v>73</v>
      </c>
      <c r="J1065" s="16">
        <v>76270</v>
      </c>
      <c r="K1065" s="2" t="s">
        <v>4453</v>
      </c>
      <c r="L1065" s="8" t="s">
        <v>284</v>
      </c>
      <c r="M1065" s="8" t="s">
        <v>27</v>
      </c>
      <c r="N1065" s="8" t="s">
        <v>4660</v>
      </c>
      <c r="P1065" s="8" t="s">
        <v>405</v>
      </c>
      <c r="Q1065" s="12" t="s">
        <v>4661</v>
      </c>
      <c r="S1065" s="7" t="s">
        <v>28</v>
      </c>
      <c r="T1065" s="6"/>
      <c r="U1065" s="8"/>
      <c r="AU1065" s="8"/>
      <c r="AV1065" s="8"/>
      <c r="AW1065" s="8"/>
    </row>
    <row r="1066" spans="1:49" ht="13.5" customHeight="1">
      <c r="A1066" s="8" t="s">
        <v>4648</v>
      </c>
      <c r="B1066" s="16">
        <v>33</v>
      </c>
      <c r="C1066" s="8" t="s">
        <v>20</v>
      </c>
      <c r="D1066" s="8" t="s">
        <v>141</v>
      </c>
      <c r="E1066" s="8" t="s">
        <v>4649</v>
      </c>
      <c r="F1066" s="17">
        <v>42032</v>
      </c>
      <c r="G1066" s="8" t="s">
        <v>4650</v>
      </c>
      <c r="H1066" s="8" t="s">
        <v>4473</v>
      </c>
      <c r="I1066" s="8" t="s">
        <v>334</v>
      </c>
      <c r="J1066" s="16">
        <v>99501</v>
      </c>
      <c r="K1066" s="2" t="s">
        <v>4473</v>
      </c>
      <c r="L1066" s="8" t="s">
        <v>4651</v>
      </c>
      <c r="M1066" s="8" t="s">
        <v>2312</v>
      </c>
      <c r="N1066" s="8" t="s">
        <v>4652</v>
      </c>
      <c r="P1066" s="8" t="s">
        <v>405</v>
      </c>
      <c r="Q1066" s="12" t="str">
        <f>HYPERLINK("http://alaska-native-news.com/inmate-dies-intake-anchorage-correctional-complex-15705","http://alaska-native-news.com/inmate-dies-intake-anchorage-correctional-complex-15705")</f>
        <v>http://alaska-native-news.com/inmate-dies-intake-anchorage-correctional-complex-15705</v>
      </c>
      <c r="S1066" s="7" t="s">
        <v>18</v>
      </c>
      <c r="T1066" s="6"/>
      <c r="U1066" s="8"/>
      <c r="Y1066" s="8"/>
      <c r="Z1066" s="8"/>
      <c r="AA1066" s="8"/>
      <c r="AB1066" s="8"/>
      <c r="AC1066" s="8"/>
      <c r="AD1066" s="8"/>
      <c r="AE1066" s="8"/>
      <c r="AF1066" s="8"/>
      <c r="AG1066" s="8"/>
      <c r="AH1066" s="8"/>
    </row>
    <row r="1067" spans="1:49" ht="13.5" customHeight="1">
      <c r="A1067" s="8" t="s">
        <v>3288</v>
      </c>
      <c r="B1067" s="16" t="s">
        <v>29</v>
      </c>
      <c r="C1067" s="8" t="s">
        <v>20</v>
      </c>
      <c r="D1067" s="8" t="s">
        <v>30</v>
      </c>
      <c r="F1067" s="17">
        <v>42032</v>
      </c>
      <c r="G1067" s="8" t="s">
        <v>4653</v>
      </c>
      <c r="H1067" s="8" t="s">
        <v>4654</v>
      </c>
      <c r="I1067" s="8" t="s">
        <v>73</v>
      </c>
      <c r="J1067" s="16">
        <v>77471</v>
      </c>
      <c r="K1067" s="2" t="s">
        <v>1400</v>
      </c>
      <c r="L1067" s="8" t="s">
        <v>4655</v>
      </c>
      <c r="M1067" s="8" t="s">
        <v>27</v>
      </c>
      <c r="N1067" s="8" t="s">
        <v>4656</v>
      </c>
      <c r="O1067" s="8" t="s">
        <v>405</v>
      </c>
      <c r="P1067" s="8" t="s">
        <v>405</v>
      </c>
      <c r="Q1067" s="12" t="s">
        <v>4657</v>
      </c>
      <c r="S1067" s="7" t="s">
        <v>28</v>
      </c>
      <c r="T1067" s="8"/>
      <c r="U1067" s="8"/>
      <c r="AU1067" s="8"/>
      <c r="AV1067" s="8"/>
      <c r="AW1067" s="8"/>
    </row>
    <row r="1068" spans="1:49" ht="13.5" customHeight="1">
      <c r="A1068" s="8" t="s">
        <v>4662</v>
      </c>
      <c r="B1068" s="16">
        <v>33</v>
      </c>
      <c r="C1068" s="8" t="s">
        <v>20</v>
      </c>
      <c r="D1068" s="8" t="s">
        <v>85</v>
      </c>
      <c r="E1068" s="8" t="s">
        <v>4663</v>
      </c>
      <c r="F1068" s="17">
        <v>42031</v>
      </c>
      <c r="G1068" s="8" t="s">
        <v>4664</v>
      </c>
      <c r="H1068" s="8" t="s">
        <v>1300</v>
      </c>
      <c r="I1068" s="8" t="s">
        <v>69</v>
      </c>
      <c r="J1068" s="16" t="s">
        <v>4665</v>
      </c>
      <c r="K1068" s="2" t="s">
        <v>1301</v>
      </c>
      <c r="L1068" s="8" t="s">
        <v>4666</v>
      </c>
      <c r="M1068" s="8" t="s">
        <v>27</v>
      </c>
      <c r="N1068" s="8" t="s">
        <v>4667</v>
      </c>
      <c r="O1068" s="8" t="s">
        <v>404</v>
      </c>
      <c r="P1068" s="8" t="s">
        <v>405</v>
      </c>
      <c r="Q1068" s="12" t="s">
        <v>4668</v>
      </c>
      <c r="R1068" s="8" t="s">
        <v>100</v>
      </c>
      <c r="S1068" s="7" t="s">
        <v>28</v>
      </c>
      <c r="T1068" s="6"/>
      <c r="U1068" s="8"/>
      <c r="AU1068" s="8"/>
      <c r="AV1068" s="8"/>
      <c r="AW1068" s="8"/>
    </row>
    <row r="1069" spans="1:49" s="8" customFormat="1" ht="13.5" customHeight="1">
      <c r="A1069" s="8" t="s">
        <v>4675</v>
      </c>
      <c r="B1069" s="16">
        <v>35</v>
      </c>
      <c r="C1069" s="8" t="s">
        <v>20</v>
      </c>
      <c r="D1069" s="8" t="s">
        <v>950</v>
      </c>
      <c r="F1069" s="17">
        <v>42031</v>
      </c>
      <c r="G1069" s="8" t="s">
        <v>4676</v>
      </c>
      <c r="H1069" s="8" t="s">
        <v>1777</v>
      </c>
      <c r="I1069" s="8" t="s">
        <v>45</v>
      </c>
      <c r="J1069" s="16" t="s">
        <v>4677</v>
      </c>
      <c r="K1069" s="2" t="s">
        <v>1779</v>
      </c>
      <c r="L1069" s="8" t="s">
        <v>1780</v>
      </c>
      <c r="M1069" s="8" t="s">
        <v>27</v>
      </c>
      <c r="N1069" s="8" t="s">
        <v>4678</v>
      </c>
      <c r="O1069" s="8" t="s">
        <v>1018</v>
      </c>
      <c r="P1069" s="8" t="s">
        <v>405</v>
      </c>
      <c r="Q1069" s="12" t="s">
        <v>4679</v>
      </c>
      <c r="R1069" s="8" t="s">
        <v>2224</v>
      </c>
      <c r="S1069" s="7" t="s">
        <v>28</v>
      </c>
      <c r="T1069" s="6"/>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row>
    <row r="1070" spans="1:49" s="8" customFormat="1" ht="13.5" customHeight="1">
      <c r="A1070" s="8" t="s">
        <v>4669</v>
      </c>
      <c r="B1070" s="16">
        <v>26</v>
      </c>
      <c r="C1070" s="8" t="s">
        <v>20</v>
      </c>
      <c r="D1070" s="8" t="s">
        <v>48</v>
      </c>
      <c r="E1070" s="8" t="s">
        <v>4670</v>
      </c>
      <c r="F1070" s="17">
        <v>42031</v>
      </c>
      <c r="G1070" s="8" t="s">
        <v>4671</v>
      </c>
      <c r="H1070" s="8" t="s">
        <v>638</v>
      </c>
      <c r="I1070" s="8" t="s">
        <v>124</v>
      </c>
      <c r="J1070" s="16" t="s">
        <v>4672</v>
      </c>
      <c r="K1070" s="2" t="s">
        <v>639</v>
      </c>
      <c r="L1070" s="8" t="s">
        <v>640</v>
      </c>
      <c r="M1070" s="8" t="s">
        <v>27</v>
      </c>
      <c r="N1070" s="8" t="s">
        <v>4673</v>
      </c>
      <c r="O1070" s="8" t="s">
        <v>404</v>
      </c>
      <c r="P1070" s="8" t="s">
        <v>405</v>
      </c>
      <c r="Q1070" s="12" t="s">
        <v>4674</v>
      </c>
      <c r="R1070" s="8" t="s">
        <v>100</v>
      </c>
      <c r="S1070" s="7" t="s">
        <v>383</v>
      </c>
      <c r="T1070" s="6"/>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row>
    <row r="1071" spans="1:49" s="8" customFormat="1" ht="13.5" customHeight="1">
      <c r="A1071" s="8" t="s">
        <v>4680</v>
      </c>
      <c r="B1071" s="16">
        <v>39</v>
      </c>
      <c r="C1071" s="8" t="s">
        <v>115</v>
      </c>
      <c r="D1071" s="8" t="s">
        <v>37</v>
      </c>
      <c r="E1071" s="8" t="s">
        <v>4681</v>
      </c>
      <c r="F1071" s="17">
        <v>42031</v>
      </c>
      <c r="G1071" s="8" t="s">
        <v>4682</v>
      </c>
      <c r="H1071" s="8" t="s">
        <v>1643</v>
      </c>
      <c r="I1071" s="8" t="s">
        <v>467</v>
      </c>
      <c r="J1071" s="16" t="s">
        <v>4683</v>
      </c>
      <c r="K1071" s="2" t="s">
        <v>946</v>
      </c>
      <c r="L1071" s="8" t="s">
        <v>2273</v>
      </c>
      <c r="M1071" s="8" t="s">
        <v>27</v>
      </c>
      <c r="N1071" s="8" t="s">
        <v>4684</v>
      </c>
      <c r="O1071" s="8" t="s">
        <v>1018</v>
      </c>
      <c r="P1071" s="8" t="s">
        <v>405</v>
      </c>
      <c r="Q1071" s="12" t="s">
        <v>4685</v>
      </c>
      <c r="R1071" s="8" t="s">
        <v>29</v>
      </c>
      <c r="S1071" s="7" t="s">
        <v>28</v>
      </c>
      <c r="T1071" s="6"/>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row>
    <row r="1072" spans="1:49" s="8" customFormat="1" ht="13.5" customHeight="1">
      <c r="A1072" s="8" t="s">
        <v>4686</v>
      </c>
      <c r="B1072" s="16">
        <v>57</v>
      </c>
      <c r="C1072" s="8" t="s">
        <v>20</v>
      </c>
      <c r="D1072" s="8" t="s">
        <v>85</v>
      </c>
      <c r="F1072" s="17">
        <v>42030</v>
      </c>
      <c r="G1072" s="8" t="s">
        <v>4687</v>
      </c>
      <c r="H1072" s="8" t="s">
        <v>4688</v>
      </c>
      <c r="I1072" s="8" t="s">
        <v>45</v>
      </c>
      <c r="J1072" s="16">
        <v>94066</v>
      </c>
      <c r="K1072" s="2" t="s">
        <v>4689</v>
      </c>
      <c r="L1072" s="8" t="s">
        <v>4690</v>
      </c>
      <c r="M1072" s="8" t="s">
        <v>29</v>
      </c>
      <c r="N1072" s="8" t="s">
        <v>4691</v>
      </c>
      <c r="P1072" s="8" t="s">
        <v>405</v>
      </c>
      <c r="Q1072" s="12" t="s">
        <v>4692</v>
      </c>
      <c r="S1072" s="7" t="s">
        <v>18</v>
      </c>
      <c r="T1072" s="6"/>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row>
    <row r="1073" spans="1:49" s="8" customFormat="1" ht="13.5" customHeight="1">
      <c r="A1073" s="8" t="s">
        <v>4713</v>
      </c>
      <c r="B1073" s="16">
        <v>29</v>
      </c>
      <c r="C1073" s="8" t="s">
        <v>20</v>
      </c>
      <c r="D1073" s="8" t="s">
        <v>30</v>
      </c>
      <c r="F1073" s="17">
        <v>42030</v>
      </c>
      <c r="G1073" s="8" t="s">
        <v>4714</v>
      </c>
      <c r="H1073" s="8" t="s">
        <v>4715</v>
      </c>
      <c r="I1073" s="8" t="s">
        <v>124</v>
      </c>
      <c r="J1073" s="16" t="s">
        <v>4716</v>
      </c>
      <c r="K1073" s="2" t="s">
        <v>4717</v>
      </c>
      <c r="L1073" s="8" t="s">
        <v>4718</v>
      </c>
      <c r="M1073" s="8" t="s">
        <v>27</v>
      </c>
      <c r="N1073" s="8" t="s">
        <v>4719</v>
      </c>
      <c r="O1073" s="8" t="s">
        <v>1018</v>
      </c>
      <c r="P1073" s="8" t="s">
        <v>405</v>
      </c>
      <c r="Q1073" s="12" t="s">
        <v>4720</v>
      </c>
      <c r="R1073" s="8" t="s">
        <v>100</v>
      </c>
      <c r="S1073" s="7" t="s">
        <v>28</v>
      </c>
      <c r="T1073" s="6"/>
      <c r="V1073" s="2"/>
      <c r="W1073" s="2"/>
      <c r="X1073" s="2"/>
      <c r="AI1073" s="2"/>
      <c r="AJ1073" s="2"/>
      <c r="AK1073" s="2"/>
      <c r="AL1073" s="2"/>
      <c r="AM1073" s="2"/>
      <c r="AN1073" s="2"/>
      <c r="AO1073" s="2"/>
      <c r="AP1073" s="2"/>
      <c r="AQ1073" s="2"/>
      <c r="AR1073" s="2"/>
      <c r="AS1073" s="2"/>
      <c r="AT1073" s="2"/>
    </row>
    <row r="1074" spans="1:49" s="8" customFormat="1" ht="13.5" customHeight="1">
      <c r="A1074" s="8" t="s">
        <v>4699</v>
      </c>
      <c r="B1074" s="16">
        <v>34</v>
      </c>
      <c r="C1074" s="8" t="s">
        <v>20</v>
      </c>
      <c r="D1074" s="8" t="s">
        <v>48</v>
      </c>
      <c r="F1074" s="17">
        <v>42030</v>
      </c>
      <c r="G1074" s="8" t="s">
        <v>4700</v>
      </c>
      <c r="H1074" s="8" t="s">
        <v>4701</v>
      </c>
      <c r="I1074" s="8" t="s">
        <v>45</v>
      </c>
      <c r="J1074" s="16" t="s">
        <v>4702</v>
      </c>
      <c r="K1074" s="2" t="s">
        <v>687</v>
      </c>
      <c r="L1074" s="8" t="s">
        <v>755</v>
      </c>
      <c r="M1074" s="8" t="s">
        <v>27</v>
      </c>
      <c r="N1074" s="8" t="s">
        <v>4703</v>
      </c>
      <c r="O1074" s="8" t="s">
        <v>554</v>
      </c>
      <c r="P1074" s="8" t="s">
        <v>405</v>
      </c>
      <c r="Q1074" s="12" t="s">
        <v>4704</v>
      </c>
      <c r="R1074" s="8" t="s">
        <v>559</v>
      </c>
      <c r="S1074" s="7" t="s">
        <v>28</v>
      </c>
      <c r="T1074" s="6"/>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row>
    <row r="1075" spans="1:49" s="8" customFormat="1" ht="13.5" customHeight="1">
      <c r="A1075" s="8" t="s">
        <v>4693</v>
      </c>
      <c r="B1075" s="16">
        <v>17</v>
      </c>
      <c r="C1075" s="8" t="s">
        <v>115</v>
      </c>
      <c r="D1075" s="8" t="s">
        <v>48</v>
      </c>
      <c r="E1075" s="8" t="s">
        <v>4694</v>
      </c>
      <c r="F1075" s="17">
        <v>42030</v>
      </c>
      <c r="G1075" s="8" t="s">
        <v>4695</v>
      </c>
      <c r="H1075" s="8" t="s">
        <v>1311</v>
      </c>
      <c r="I1075" s="8" t="s">
        <v>212</v>
      </c>
      <c r="J1075" s="16">
        <v>80207</v>
      </c>
      <c r="K1075" s="2" t="s">
        <v>4696</v>
      </c>
      <c r="L1075" s="8" t="s">
        <v>1312</v>
      </c>
      <c r="M1075" s="8" t="s">
        <v>27</v>
      </c>
      <c r="N1075" s="8" t="s">
        <v>4697</v>
      </c>
      <c r="O1075" s="8" t="s">
        <v>404</v>
      </c>
      <c r="P1075" s="8" t="s">
        <v>405</v>
      </c>
      <c r="Q1075" s="12" t="s">
        <v>4698</v>
      </c>
      <c r="R1075" s="8" t="s">
        <v>29</v>
      </c>
      <c r="S1075" s="7" t="s">
        <v>18</v>
      </c>
      <c r="T1075" s="6"/>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row>
    <row r="1076" spans="1:49" s="8" customFormat="1" ht="13.5" customHeight="1">
      <c r="A1076" s="8" t="s">
        <v>4705</v>
      </c>
      <c r="B1076" s="16">
        <v>24</v>
      </c>
      <c r="C1076" s="8" t="s">
        <v>20</v>
      </c>
      <c r="D1076" s="8" t="s">
        <v>48</v>
      </c>
      <c r="E1076" s="8" t="s">
        <v>4706</v>
      </c>
      <c r="F1076" s="17">
        <v>42030</v>
      </c>
      <c r="G1076" s="8" t="s">
        <v>4707</v>
      </c>
      <c r="H1076" s="8" t="s">
        <v>4708</v>
      </c>
      <c r="I1076" s="8" t="s">
        <v>73</v>
      </c>
      <c r="J1076" s="16" t="s">
        <v>4709</v>
      </c>
      <c r="K1076" s="2" t="s">
        <v>1285</v>
      </c>
      <c r="L1076" s="8" t="s">
        <v>4710</v>
      </c>
      <c r="M1076" s="8" t="s">
        <v>27</v>
      </c>
      <c r="N1076" s="8" t="s">
        <v>4711</v>
      </c>
      <c r="O1076" s="8" t="s">
        <v>1018</v>
      </c>
      <c r="P1076" s="8" t="s">
        <v>405</v>
      </c>
      <c r="Q1076" s="12" t="s">
        <v>4712</v>
      </c>
      <c r="R1076" s="8" t="s">
        <v>100</v>
      </c>
      <c r="S1076" s="7" t="s">
        <v>383</v>
      </c>
      <c r="T1076" s="6"/>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row>
    <row r="1077" spans="1:49" s="8" customFormat="1" ht="13.5" customHeight="1">
      <c r="A1077" s="8" t="s">
        <v>4727</v>
      </c>
      <c r="B1077" s="16">
        <v>68</v>
      </c>
      <c r="C1077" s="8" t="s">
        <v>20</v>
      </c>
      <c r="D1077" s="8" t="s">
        <v>37</v>
      </c>
      <c r="E1077" s="8" t="s">
        <v>4728</v>
      </c>
      <c r="F1077" s="17">
        <v>42030</v>
      </c>
      <c r="G1077" s="8" t="s">
        <v>4729</v>
      </c>
      <c r="H1077" s="8" t="s">
        <v>4730</v>
      </c>
      <c r="I1077" s="8" t="s">
        <v>135</v>
      </c>
      <c r="J1077" s="16" t="s">
        <v>4731</v>
      </c>
      <c r="K1077" s="2" t="s">
        <v>1081</v>
      </c>
      <c r="L1077" s="8" t="s">
        <v>4732</v>
      </c>
      <c r="M1077" s="8" t="s">
        <v>27</v>
      </c>
      <c r="N1077" s="8" t="s">
        <v>4733</v>
      </c>
      <c r="O1077" s="8" t="s">
        <v>554</v>
      </c>
      <c r="P1077" s="8" t="s">
        <v>405</v>
      </c>
      <c r="Q1077" s="12" t="s">
        <v>4734</v>
      </c>
      <c r="R1077" s="8" t="s">
        <v>100</v>
      </c>
      <c r="S1077" s="7" t="s">
        <v>28</v>
      </c>
      <c r="T1077" s="6"/>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row>
    <row r="1078" spans="1:49" s="8" customFormat="1" ht="13.5" customHeight="1">
      <c r="A1078" s="8" t="s">
        <v>4721</v>
      </c>
      <c r="B1078" s="16">
        <v>35</v>
      </c>
      <c r="C1078" s="8" t="s">
        <v>115</v>
      </c>
      <c r="D1078" s="8" t="s">
        <v>30</v>
      </c>
      <c r="F1078" s="17">
        <v>42030</v>
      </c>
      <c r="G1078" s="8" t="s">
        <v>4722</v>
      </c>
      <c r="H1078" s="8" t="s">
        <v>2678</v>
      </c>
      <c r="I1078" s="8" t="s">
        <v>118</v>
      </c>
      <c r="J1078" s="16" t="s">
        <v>4723</v>
      </c>
      <c r="K1078" s="2" t="s">
        <v>424</v>
      </c>
      <c r="L1078" s="8" t="s">
        <v>4724</v>
      </c>
      <c r="M1078" s="8" t="s">
        <v>383</v>
      </c>
      <c r="N1078" s="8" t="s">
        <v>4725</v>
      </c>
      <c r="O1078" s="8" t="s">
        <v>1018</v>
      </c>
      <c r="P1078" s="8" t="s">
        <v>405</v>
      </c>
      <c r="Q1078" s="12" t="s">
        <v>4726</v>
      </c>
      <c r="R1078" s="8" t="s">
        <v>100</v>
      </c>
      <c r="S1078" s="7" t="s">
        <v>383</v>
      </c>
      <c r="T1078" s="6"/>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row>
    <row r="1079" spans="1:49" s="8" customFormat="1" ht="13.5" customHeight="1">
      <c r="A1079" s="8" t="s">
        <v>4735</v>
      </c>
      <c r="B1079" s="16">
        <v>26</v>
      </c>
      <c r="C1079" s="8" t="s">
        <v>20</v>
      </c>
      <c r="D1079" s="8" t="s">
        <v>48</v>
      </c>
      <c r="E1079" s="8" t="s">
        <v>4736</v>
      </c>
      <c r="F1079" s="17">
        <v>42029</v>
      </c>
      <c r="G1079" s="8" t="s">
        <v>4737</v>
      </c>
      <c r="H1079" s="8" t="s">
        <v>4738</v>
      </c>
      <c r="I1079" s="8" t="s">
        <v>212</v>
      </c>
      <c r="J1079" s="16" t="s">
        <v>4739</v>
      </c>
      <c r="K1079" s="2" t="s">
        <v>4738</v>
      </c>
      <c r="L1079" s="8" t="s">
        <v>4740</v>
      </c>
      <c r="M1079" s="8" t="s">
        <v>27</v>
      </c>
      <c r="N1079" s="8" t="s">
        <v>4741</v>
      </c>
      <c r="O1079" s="8" t="s">
        <v>4742</v>
      </c>
      <c r="P1079" s="8" t="s">
        <v>405</v>
      </c>
      <c r="Q1079" s="12" t="s">
        <v>4743</v>
      </c>
      <c r="R1079" s="8" t="s">
        <v>100</v>
      </c>
      <c r="S1079" s="7" t="s">
        <v>28</v>
      </c>
      <c r="T1079" s="6"/>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row>
    <row r="1080" spans="1:49" s="8" customFormat="1" ht="13.5" customHeight="1">
      <c r="A1080" s="8" t="s">
        <v>4744</v>
      </c>
      <c r="B1080" s="16">
        <v>59</v>
      </c>
      <c r="C1080" s="8" t="s">
        <v>20</v>
      </c>
      <c r="D1080" s="8" t="s">
        <v>30</v>
      </c>
      <c r="F1080" s="17">
        <v>42029</v>
      </c>
      <c r="G1080" s="8" t="s">
        <v>4745</v>
      </c>
      <c r="H1080" s="8" t="s">
        <v>4746</v>
      </c>
      <c r="I1080" s="8" t="s">
        <v>81</v>
      </c>
      <c r="J1080" s="16" t="s">
        <v>4747</v>
      </c>
      <c r="K1080" s="2" t="s">
        <v>1520</v>
      </c>
      <c r="L1080" s="8" t="s">
        <v>4748</v>
      </c>
      <c r="M1080" s="8" t="s">
        <v>27</v>
      </c>
      <c r="N1080" s="8" t="s">
        <v>4749</v>
      </c>
      <c r="O1080" s="8" t="s">
        <v>1018</v>
      </c>
      <c r="P1080" s="8" t="s">
        <v>405</v>
      </c>
      <c r="Q1080" s="12" t="s">
        <v>4750</v>
      </c>
      <c r="R1080" s="8" t="s">
        <v>100</v>
      </c>
      <c r="S1080" s="7" t="s">
        <v>28</v>
      </c>
      <c r="T1080" s="6"/>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row>
    <row r="1081" spans="1:49" s="8" customFormat="1" ht="13.5" customHeight="1">
      <c r="A1081" s="8" t="s">
        <v>4751</v>
      </c>
      <c r="B1081" s="16">
        <v>26</v>
      </c>
      <c r="C1081" s="8" t="s">
        <v>20</v>
      </c>
      <c r="D1081" s="8" t="s">
        <v>85</v>
      </c>
      <c r="E1081" s="8" t="s">
        <v>4752</v>
      </c>
      <c r="F1081" s="17">
        <v>42028</v>
      </c>
      <c r="G1081" s="8" t="s">
        <v>4753</v>
      </c>
      <c r="H1081" s="8" t="s">
        <v>1608</v>
      </c>
      <c r="I1081" s="8" t="s">
        <v>52</v>
      </c>
      <c r="J1081" s="16" t="s">
        <v>4754</v>
      </c>
      <c r="K1081" s="2" t="s">
        <v>4755</v>
      </c>
      <c r="L1081" s="8" t="s">
        <v>2799</v>
      </c>
      <c r="M1081" s="8" t="s">
        <v>27</v>
      </c>
      <c r="N1081" s="8" t="s">
        <v>4756</v>
      </c>
      <c r="O1081" s="8" t="s">
        <v>1018</v>
      </c>
      <c r="P1081" s="8" t="s">
        <v>405</v>
      </c>
      <c r="Q1081" s="12" t="s">
        <v>4757</v>
      </c>
      <c r="R1081" s="8" t="s">
        <v>100</v>
      </c>
      <c r="S1081" s="7" t="s">
        <v>28</v>
      </c>
      <c r="T1081" s="6"/>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row>
    <row r="1082" spans="1:49" s="8" customFormat="1" ht="13.5" customHeight="1">
      <c r="A1082" s="8" t="s">
        <v>4758</v>
      </c>
      <c r="B1082" s="16">
        <v>45</v>
      </c>
      <c r="C1082" s="8" t="s">
        <v>20</v>
      </c>
      <c r="D1082" s="8" t="s">
        <v>37</v>
      </c>
      <c r="F1082" s="17">
        <v>42028</v>
      </c>
      <c r="G1082" s="8" t="s">
        <v>4759</v>
      </c>
      <c r="H1082" s="8" t="s">
        <v>4760</v>
      </c>
      <c r="I1082" s="8" t="s">
        <v>798</v>
      </c>
      <c r="J1082" s="16" t="s">
        <v>4761</v>
      </c>
      <c r="K1082" s="2" t="s">
        <v>2179</v>
      </c>
      <c r="L1082" s="8" t="s">
        <v>4762</v>
      </c>
      <c r="M1082" s="8" t="s">
        <v>27</v>
      </c>
      <c r="N1082" s="8" t="s">
        <v>4763</v>
      </c>
      <c r="O1082" s="8" t="s">
        <v>1018</v>
      </c>
      <c r="P1082" s="8" t="s">
        <v>405</v>
      </c>
      <c r="Q1082" s="12" t="s">
        <v>4764</v>
      </c>
      <c r="R1082" s="8" t="s">
        <v>100</v>
      </c>
      <c r="S1082" s="7" t="s">
        <v>28</v>
      </c>
      <c r="T1082" s="6"/>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row>
    <row r="1083" spans="1:49" s="8" customFormat="1" ht="13.5" customHeight="1">
      <c r="A1083" s="8" t="s">
        <v>4773</v>
      </c>
      <c r="B1083" s="16">
        <v>29</v>
      </c>
      <c r="C1083" s="8" t="s">
        <v>20</v>
      </c>
      <c r="D1083" s="8" t="s">
        <v>85</v>
      </c>
      <c r="F1083" s="17">
        <v>42027</v>
      </c>
      <c r="G1083" s="8" t="s">
        <v>4774</v>
      </c>
      <c r="H1083" s="8" t="s">
        <v>4775</v>
      </c>
      <c r="I1083" s="8" t="s">
        <v>62</v>
      </c>
      <c r="J1083" s="16" t="s">
        <v>4776</v>
      </c>
      <c r="K1083" s="2" t="s">
        <v>1134</v>
      </c>
      <c r="L1083" s="8" t="s">
        <v>4777</v>
      </c>
      <c r="M1083" s="8" t="s">
        <v>27</v>
      </c>
      <c r="N1083" s="8" t="s">
        <v>4778</v>
      </c>
      <c r="O1083" s="8" t="s">
        <v>1018</v>
      </c>
      <c r="P1083" s="8" t="s">
        <v>405</v>
      </c>
      <c r="Q1083" s="12" t="s">
        <v>4779</v>
      </c>
      <c r="R1083" s="8" t="s">
        <v>100</v>
      </c>
      <c r="S1083" s="7" t="s">
        <v>383</v>
      </c>
      <c r="T1083" s="6"/>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row>
    <row r="1084" spans="1:49" s="8" customFormat="1" ht="13.5" customHeight="1">
      <c r="A1084" s="8" t="s">
        <v>4765</v>
      </c>
      <c r="B1084" s="16">
        <v>56</v>
      </c>
      <c r="C1084" s="8" t="s">
        <v>20</v>
      </c>
      <c r="D1084" s="8" t="s">
        <v>48</v>
      </c>
      <c r="F1084" s="17">
        <v>42027</v>
      </c>
      <c r="G1084" s="8" t="s">
        <v>4766</v>
      </c>
      <c r="H1084" s="8" t="s">
        <v>4767</v>
      </c>
      <c r="I1084" s="8" t="s">
        <v>73</v>
      </c>
      <c r="J1084" s="16" t="s">
        <v>4768</v>
      </c>
      <c r="K1084" s="2" t="s">
        <v>4769</v>
      </c>
      <c r="L1084" s="8" t="s">
        <v>4770</v>
      </c>
      <c r="M1084" s="8" t="s">
        <v>27</v>
      </c>
      <c r="N1084" s="8" t="s">
        <v>4771</v>
      </c>
      <c r="O1084" s="8" t="s">
        <v>404</v>
      </c>
      <c r="P1084" s="8" t="s">
        <v>405</v>
      </c>
      <c r="Q1084" s="12" t="s">
        <v>4772</v>
      </c>
      <c r="R1084" s="8" t="s">
        <v>29</v>
      </c>
      <c r="S1084" s="7" t="s">
        <v>28</v>
      </c>
      <c r="T1084" s="6"/>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row>
    <row r="1085" spans="1:49" s="8" customFormat="1" ht="13.5" customHeight="1">
      <c r="A1085" s="8" t="s">
        <v>4780</v>
      </c>
      <c r="B1085" s="16">
        <v>61</v>
      </c>
      <c r="C1085" s="8" t="s">
        <v>20</v>
      </c>
      <c r="D1085" s="8" t="s">
        <v>37</v>
      </c>
      <c r="E1085" s="8" t="s">
        <v>4781</v>
      </c>
      <c r="F1085" s="17">
        <v>42027</v>
      </c>
      <c r="G1085" s="8" t="s">
        <v>4782</v>
      </c>
      <c r="H1085" s="8" t="s">
        <v>1326</v>
      </c>
      <c r="I1085" s="8" t="s">
        <v>73</v>
      </c>
      <c r="J1085" s="16" t="s">
        <v>4783</v>
      </c>
      <c r="K1085" s="2" t="s">
        <v>1327</v>
      </c>
      <c r="L1085" s="8" t="s">
        <v>1328</v>
      </c>
      <c r="M1085" s="8" t="s">
        <v>27</v>
      </c>
      <c r="N1085" s="8" t="s">
        <v>4784</v>
      </c>
      <c r="O1085" s="8" t="s">
        <v>404</v>
      </c>
      <c r="P1085" s="8" t="s">
        <v>405</v>
      </c>
      <c r="Q1085" s="12" t="str">
        <f>HYPERLINK("http://www.statesman.com/news/news/local/officer-involved-shooting-being-investigated/njtpW/","http://www.statesman.com/news/news/local/officer-involved-shooting-being-investigated/njtpW/")</f>
        <v>http://www.statesman.com/news/news/local/officer-involved-shooting-being-investigated/njtpW/</v>
      </c>
      <c r="R1085" s="8" t="s">
        <v>559</v>
      </c>
      <c r="S1085" s="7" t="s">
        <v>28</v>
      </c>
      <c r="T1085" s="6"/>
      <c r="V1085" s="2"/>
      <c r="W1085" s="2"/>
      <c r="X1085" s="2"/>
      <c r="AI1085" s="2"/>
      <c r="AJ1085" s="2"/>
      <c r="AK1085" s="2"/>
      <c r="AL1085" s="2"/>
      <c r="AM1085" s="2"/>
      <c r="AN1085" s="2"/>
      <c r="AO1085" s="2"/>
      <c r="AP1085" s="2"/>
      <c r="AQ1085" s="2"/>
      <c r="AR1085" s="2"/>
      <c r="AS1085" s="2"/>
      <c r="AT1085" s="2"/>
    </row>
    <row r="1086" spans="1:49" s="8" customFormat="1" ht="13.5" customHeight="1">
      <c r="A1086" s="8" t="s">
        <v>4793</v>
      </c>
      <c r="B1086" s="16">
        <v>17</v>
      </c>
      <c r="C1086" s="8" t="s">
        <v>115</v>
      </c>
      <c r="D1086" s="8" t="s">
        <v>37</v>
      </c>
      <c r="E1086" s="8" t="s">
        <v>4794</v>
      </c>
      <c r="F1086" s="17">
        <v>42026</v>
      </c>
      <c r="G1086" s="8" t="s">
        <v>4795</v>
      </c>
      <c r="H1086" s="8" t="s">
        <v>599</v>
      </c>
      <c r="I1086" s="8" t="s">
        <v>73</v>
      </c>
      <c r="J1086" s="16" t="s">
        <v>4796</v>
      </c>
      <c r="K1086" s="2" t="s">
        <v>600</v>
      </c>
      <c r="L1086" s="8" t="s">
        <v>601</v>
      </c>
      <c r="M1086" s="8" t="s">
        <v>3364</v>
      </c>
      <c r="N1086" s="8" t="s">
        <v>4797</v>
      </c>
      <c r="O1086" s="8" t="s">
        <v>1018</v>
      </c>
      <c r="P1086" s="8" t="s">
        <v>405</v>
      </c>
      <c r="Q1086" s="12" t="s">
        <v>4798</v>
      </c>
      <c r="R1086" s="8" t="s">
        <v>100</v>
      </c>
      <c r="S1086" s="7" t="s">
        <v>28</v>
      </c>
      <c r="T1086" s="6"/>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row>
    <row r="1087" spans="1:49" s="8" customFormat="1" ht="13.5" customHeight="1">
      <c r="A1087" s="8" t="s">
        <v>4785</v>
      </c>
      <c r="B1087" s="16">
        <v>25</v>
      </c>
      <c r="C1087" s="8" t="s">
        <v>20</v>
      </c>
      <c r="D1087" s="8" t="s">
        <v>85</v>
      </c>
      <c r="E1087" s="8" t="s">
        <v>20908</v>
      </c>
      <c r="F1087" s="17">
        <v>42026</v>
      </c>
      <c r="G1087" s="8" t="s">
        <v>4786</v>
      </c>
      <c r="H1087" s="8" t="s">
        <v>4787</v>
      </c>
      <c r="I1087" s="8" t="s">
        <v>73</v>
      </c>
      <c r="J1087" s="16" t="s">
        <v>4788</v>
      </c>
      <c r="K1087" s="2" t="s">
        <v>4789</v>
      </c>
      <c r="L1087" s="8" t="s">
        <v>4790</v>
      </c>
      <c r="M1087" s="8" t="s">
        <v>27</v>
      </c>
      <c r="N1087" s="8" t="s">
        <v>4791</v>
      </c>
      <c r="O1087" s="8" t="s">
        <v>1018</v>
      </c>
      <c r="P1087" s="8" t="s">
        <v>405</v>
      </c>
      <c r="Q1087" s="12" t="s">
        <v>4792</v>
      </c>
      <c r="R1087" s="8" t="s">
        <v>100</v>
      </c>
      <c r="S1087" s="7" t="s">
        <v>18</v>
      </c>
      <c r="T1087" s="6"/>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row>
    <row r="1088" spans="1:49" s="8" customFormat="1" ht="13.5" customHeight="1">
      <c r="A1088" s="8" t="s">
        <v>4815</v>
      </c>
      <c r="B1088" s="16">
        <v>54</v>
      </c>
      <c r="C1088" s="8" t="s">
        <v>20</v>
      </c>
      <c r="D1088" s="8" t="s">
        <v>30</v>
      </c>
      <c r="F1088" s="17">
        <v>42025</v>
      </c>
      <c r="G1088" s="8" t="s">
        <v>4816</v>
      </c>
      <c r="H1088" s="8" t="s">
        <v>4817</v>
      </c>
      <c r="I1088" s="8" t="s">
        <v>510</v>
      </c>
      <c r="J1088" s="16" t="s">
        <v>4818</v>
      </c>
      <c r="K1088" s="2" t="s">
        <v>4819</v>
      </c>
      <c r="L1088" s="8" t="s">
        <v>4820</v>
      </c>
      <c r="M1088" s="8" t="s">
        <v>27</v>
      </c>
      <c r="N1088" s="8" t="s">
        <v>4821</v>
      </c>
      <c r="O1088" s="8" t="s">
        <v>404</v>
      </c>
      <c r="P1088" s="8" t="s">
        <v>405</v>
      </c>
      <c r="Q1088" s="12" t="s">
        <v>4822</v>
      </c>
      <c r="R1088" s="8" t="s">
        <v>559</v>
      </c>
      <c r="S1088" s="7" t="s">
        <v>28</v>
      </c>
      <c r="T1088" s="6"/>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row>
    <row r="1089" spans="1:24" ht="13.5" customHeight="1">
      <c r="A1089" s="8" t="s">
        <v>4799</v>
      </c>
      <c r="B1089" s="16">
        <v>19</v>
      </c>
      <c r="C1089" s="8" t="s">
        <v>20</v>
      </c>
      <c r="D1089" s="8" t="s">
        <v>85</v>
      </c>
      <c r="E1089" s="8" t="s">
        <v>4800</v>
      </c>
      <c r="F1089" s="17">
        <v>42025</v>
      </c>
      <c r="G1089" s="8" t="s">
        <v>4801</v>
      </c>
      <c r="H1089" s="8" t="s">
        <v>717</v>
      </c>
      <c r="I1089" s="8" t="s">
        <v>435</v>
      </c>
      <c r="J1089" s="16" t="s">
        <v>4802</v>
      </c>
      <c r="K1089" s="2" t="s">
        <v>717</v>
      </c>
      <c r="L1089" s="8" t="s">
        <v>4572</v>
      </c>
      <c r="M1089" s="8" t="s">
        <v>27</v>
      </c>
      <c r="N1089" s="8" t="s">
        <v>4803</v>
      </c>
      <c r="O1089" s="8" t="s">
        <v>404</v>
      </c>
      <c r="P1089" s="8" t="s">
        <v>405</v>
      </c>
      <c r="Q1089" s="12" t="s">
        <v>4804</v>
      </c>
      <c r="R1089" s="8" t="s">
        <v>100</v>
      </c>
      <c r="S1089" s="7" t="s">
        <v>28</v>
      </c>
      <c r="T1089" s="6"/>
      <c r="U1089" s="8"/>
    </row>
    <row r="1090" spans="1:24" ht="13.5" customHeight="1">
      <c r="A1090" s="8" t="s">
        <v>4823</v>
      </c>
      <c r="B1090" s="16">
        <v>45</v>
      </c>
      <c r="C1090" s="8" t="s">
        <v>20</v>
      </c>
      <c r="D1090" s="8" t="s">
        <v>37</v>
      </c>
      <c r="E1090" s="8" t="s">
        <v>4824</v>
      </c>
      <c r="F1090" s="17">
        <v>42025</v>
      </c>
      <c r="G1090" s="8" t="s">
        <v>4825</v>
      </c>
      <c r="H1090" s="8" t="s">
        <v>4826</v>
      </c>
      <c r="I1090" s="8" t="s">
        <v>675</v>
      </c>
      <c r="J1090" s="16" t="s">
        <v>4827</v>
      </c>
      <c r="K1090" s="2" t="s">
        <v>4828</v>
      </c>
      <c r="L1090" s="8" t="s">
        <v>4829</v>
      </c>
      <c r="M1090" s="8" t="s">
        <v>27</v>
      </c>
      <c r="N1090" s="8" t="s">
        <v>4830</v>
      </c>
      <c r="O1090" s="8" t="s">
        <v>404</v>
      </c>
      <c r="P1090" s="8" t="s">
        <v>405</v>
      </c>
      <c r="Q1090" s="12" t="s">
        <v>4831</v>
      </c>
      <c r="R1090" s="8" t="s">
        <v>100</v>
      </c>
      <c r="S1090" s="7" t="s">
        <v>28</v>
      </c>
      <c r="T1090" s="6"/>
      <c r="U1090" s="8"/>
    </row>
    <row r="1091" spans="1:24" ht="13.5" customHeight="1">
      <c r="A1091" s="8" t="s">
        <v>4805</v>
      </c>
      <c r="B1091" s="16">
        <v>36</v>
      </c>
      <c r="C1091" s="8" t="s">
        <v>20</v>
      </c>
      <c r="D1091" s="8" t="s">
        <v>48</v>
      </c>
      <c r="E1091" s="8" t="s">
        <v>4806</v>
      </c>
      <c r="F1091" s="17">
        <v>42025</v>
      </c>
      <c r="G1091" s="8" t="s">
        <v>4807</v>
      </c>
      <c r="H1091" s="8" t="s">
        <v>4808</v>
      </c>
      <c r="I1091" s="8" t="s">
        <v>73</v>
      </c>
      <c r="J1091" s="16" t="s">
        <v>4809</v>
      </c>
      <c r="K1091" s="2" t="s">
        <v>4810</v>
      </c>
      <c r="L1091" s="8" t="s">
        <v>4790</v>
      </c>
      <c r="M1091" s="8" t="s">
        <v>27</v>
      </c>
      <c r="N1091" s="8" t="s">
        <v>4811</v>
      </c>
      <c r="O1091" s="8" t="s">
        <v>1018</v>
      </c>
      <c r="P1091" s="8" t="s">
        <v>405</v>
      </c>
      <c r="Q1091" s="12" t="s">
        <v>4812</v>
      </c>
      <c r="R1091" s="8" t="s">
        <v>100</v>
      </c>
      <c r="S1091" s="7" t="s">
        <v>28</v>
      </c>
      <c r="T1091" s="6"/>
      <c r="U1091" s="8"/>
    </row>
    <row r="1092" spans="1:24" ht="13.5" customHeight="1">
      <c r="A1092" s="8" t="s">
        <v>3288</v>
      </c>
      <c r="B1092" s="16" t="s">
        <v>29</v>
      </c>
      <c r="C1092" s="8" t="s">
        <v>20</v>
      </c>
      <c r="D1092" s="8" t="s">
        <v>48</v>
      </c>
      <c r="F1092" s="17">
        <v>42025</v>
      </c>
      <c r="H1092" s="8" t="s">
        <v>4810</v>
      </c>
      <c r="I1092" s="8" t="s">
        <v>73</v>
      </c>
      <c r="J1092" s="16">
        <v>78536</v>
      </c>
      <c r="K1092" s="2" t="s">
        <v>4810</v>
      </c>
      <c r="L1092" s="8" t="s">
        <v>4790</v>
      </c>
      <c r="M1092" s="8" t="s">
        <v>27</v>
      </c>
      <c r="N1092" s="8" t="s">
        <v>4813</v>
      </c>
      <c r="O1092" s="8" t="s">
        <v>405</v>
      </c>
      <c r="P1092" s="8" t="s">
        <v>405</v>
      </c>
      <c r="Q1092" s="12" t="s">
        <v>4814</v>
      </c>
      <c r="S1092" s="7" t="s">
        <v>28</v>
      </c>
      <c r="T1092" s="8"/>
      <c r="U1092" s="8"/>
    </row>
    <row r="1093" spans="1:24" ht="13.5" customHeight="1">
      <c r="A1093" s="8" t="s">
        <v>4832</v>
      </c>
      <c r="B1093" s="16">
        <v>36</v>
      </c>
      <c r="C1093" s="8" t="s">
        <v>20</v>
      </c>
      <c r="D1093" s="8" t="s">
        <v>37</v>
      </c>
      <c r="E1093" s="8" t="s">
        <v>4833</v>
      </c>
      <c r="F1093" s="17">
        <v>42025</v>
      </c>
      <c r="G1093" s="8" t="s">
        <v>4834</v>
      </c>
      <c r="H1093" s="8" t="s">
        <v>790</v>
      </c>
      <c r="I1093" s="8" t="s">
        <v>45</v>
      </c>
      <c r="J1093" s="16" t="s">
        <v>2858</v>
      </c>
      <c r="K1093" s="2" t="s">
        <v>791</v>
      </c>
      <c r="L1093" s="8" t="s">
        <v>4835</v>
      </c>
      <c r="M1093" s="8" t="s">
        <v>27</v>
      </c>
      <c r="N1093" s="8" t="s">
        <v>4836</v>
      </c>
      <c r="O1093" s="8" t="s">
        <v>1018</v>
      </c>
      <c r="P1093" s="8" t="s">
        <v>405</v>
      </c>
      <c r="Q1093" s="12" t="s">
        <v>4837</v>
      </c>
      <c r="R1093" s="8" t="s">
        <v>100</v>
      </c>
      <c r="S1093" s="7" t="s">
        <v>28</v>
      </c>
      <c r="T1093" s="6"/>
      <c r="U1093" s="8"/>
    </row>
    <row r="1094" spans="1:24" ht="13.5" customHeight="1">
      <c r="A1094" s="8" t="s">
        <v>4838</v>
      </c>
      <c r="B1094" s="16">
        <v>49</v>
      </c>
      <c r="C1094" s="8" t="s">
        <v>20</v>
      </c>
      <c r="D1094" s="8" t="s">
        <v>37</v>
      </c>
      <c r="E1094" s="8" t="s">
        <v>4839</v>
      </c>
      <c r="F1094" s="17">
        <v>42023</v>
      </c>
      <c r="G1094" s="8" t="s">
        <v>4840</v>
      </c>
      <c r="H1094" s="8" t="s">
        <v>4841</v>
      </c>
      <c r="I1094" s="8" t="s">
        <v>46</v>
      </c>
      <c r="J1094" s="16" t="s">
        <v>4842</v>
      </c>
      <c r="K1094" s="2" t="s">
        <v>3353</v>
      </c>
      <c r="L1094" s="8" t="s">
        <v>4843</v>
      </c>
      <c r="M1094" s="8" t="s">
        <v>27</v>
      </c>
      <c r="N1094" s="8" t="s">
        <v>4844</v>
      </c>
      <c r="O1094" s="8" t="s">
        <v>404</v>
      </c>
      <c r="P1094" s="8" t="s">
        <v>405</v>
      </c>
      <c r="Q1094" s="12" t="s">
        <v>4845</v>
      </c>
      <c r="R1094" s="8" t="s">
        <v>29</v>
      </c>
      <c r="S1094" s="7" t="s">
        <v>28</v>
      </c>
      <c r="T1094" s="6"/>
      <c r="U1094" s="8"/>
      <c r="V1094" s="8"/>
      <c r="W1094" s="8"/>
      <c r="X1094" s="8"/>
    </row>
    <row r="1095" spans="1:24" ht="13.5" customHeight="1">
      <c r="A1095" s="8" t="s">
        <v>4846</v>
      </c>
      <c r="B1095" s="16">
        <v>67</v>
      </c>
      <c r="C1095" s="8" t="s">
        <v>20</v>
      </c>
      <c r="D1095" s="8" t="s">
        <v>37</v>
      </c>
      <c r="E1095" s="8" t="s">
        <v>4847</v>
      </c>
      <c r="F1095" s="17">
        <v>42022</v>
      </c>
      <c r="G1095" s="8" t="s">
        <v>4848</v>
      </c>
      <c r="H1095" s="8" t="s">
        <v>4849</v>
      </c>
      <c r="I1095" s="8" t="s">
        <v>319</v>
      </c>
      <c r="J1095" s="16" t="s">
        <v>4850</v>
      </c>
      <c r="K1095" s="2" t="s">
        <v>4851</v>
      </c>
      <c r="L1095" s="8" t="s">
        <v>4852</v>
      </c>
      <c r="M1095" s="8" t="s">
        <v>27</v>
      </c>
      <c r="N1095" s="8" t="s">
        <v>4853</v>
      </c>
      <c r="O1095" s="8" t="s">
        <v>404</v>
      </c>
      <c r="P1095" s="8" t="s">
        <v>405</v>
      </c>
      <c r="Q1095" s="12" t="s">
        <v>4854</v>
      </c>
      <c r="R1095" s="8" t="s">
        <v>100</v>
      </c>
      <c r="S1095" s="7" t="s">
        <v>28</v>
      </c>
      <c r="T1095" s="6"/>
      <c r="U1095" s="8"/>
    </row>
    <row r="1096" spans="1:24" ht="13.5" customHeight="1">
      <c r="A1096" s="8" t="s">
        <v>4855</v>
      </c>
      <c r="B1096" s="16">
        <v>32</v>
      </c>
      <c r="C1096" s="8" t="s">
        <v>20</v>
      </c>
      <c r="D1096" s="8" t="s">
        <v>37</v>
      </c>
      <c r="E1096" s="8" t="s">
        <v>4856</v>
      </c>
      <c r="F1096" s="17">
        <v>42022</v>
      </c>
      <c r="G1096" s="8" t="s">
        <v>4857</v>
      </c>
      <c r="H1096" s="8" t="s">
        <v>639</v>
      </c>
      <c r="I1096" s="8" t="s">
        <v>124</v>
      </c>
      <c r="J1096" s="16" t="s">
        <v>4858</v>
      </c>
      <c r="K1096" s="2" t="s">
        <v>639</v>
      </c>
      <c r="L1096" s="8" t="s">
        <v>4859</v>
      </c>
      <c r="M1096" s="8" t="s">
        <v>27</v>
      </c>
      <c r="N1096" s="8" t="s">
        <v>4860</v>
      </c>
      <c r="O1096" s="8" t="s">
        <v>404</v>
      </c>
      <c r="P1096" s="8" t="s">
        <v>405</v>
      </c>
      <c r="Q1096" s="12" t="s">
        <v>4861</v>
      </c>
      <c r="R1096" s="8" t="s">
        <v>29</v>
      </c>
      <c r="S1096" s="7" t="s">
        <v>28</v>
      </c>
      <c r="T1096" s="6"/>
      <c r="U1096" s="8"/>
    </row>
    <row r="1097" spans="1:24" ht="13.5" customHeight="1">
      <c r="A1097" s="8" t="s">
        <v>4862</v>
      </c>
      <c r="B1097" s="16">
        <v>27</v>
      </c>
      <c r="C1097" s="8" t="s">
        <v>20</v>
      </c>
      <c r="D1097" s="8" t="s">
        <v>85</v>
      </c>
      <c r="E1097" s="8" t="s">
        <v>4863</v>
      </c>
      <c r="F1097" s="17">
        <v>42021</v>
      </c>
      <c r="G1097" s="8" t="s">
        <v>4864</v>
      </c>
      <c r="H1097" s="8" t="s">
        <v>934</v>
      </c>
      <c r="I1097" s="8" t="s">
        <v>73</v>
      </c>
      <c r="J1097" s="16" t="s">
        <v>4865</v>
      </c>
      <c r="K1097" s="2" t="s">
        <v>74</v>
      </c>
      <c r="L1097" s="8" t="s">
        <v>935</v>
      </c>
      <c r="M1097" s="8" t="s">
        <v>27</v>
      </c>
      <c r="N1097" s="8" t="s">
        <v>4866</v>
      </c>
      <c r="O1097" s="8" t="s">
        <v>1018</v>
      </c>
      <c r="P1097" s="8" t="s">
        <v>405</v>
      </c>
      <c r="Q1097" s="12" t="s">
        <v>4867</v>
      </c>
      <c r="R1097" s="8" t="s">
        <v>100</v>
      </c>
      <c r="S1097" s="7" t="s">
        <v>28</v>
      </c>
      <c r="T1097" s="6"/>
      <c r="U1097" s="8"/>
    </row>
    <row r="1098" spans="1:24" ht="13.5" customHeight="1">
      <c r="A1098" s="8" t="s">
        <v>4875</v>
      </c>
      <c r="B1098" s="16">
        <v>24</v>
      </c>
      <c r="C1098" s="8" t="s">
        <v>20</v>
      </c>
      <c r="D1098" s="8" t="s">
        <v>48</v>
      </c>
      <c r="E1098" s="8" t="s">
        <v>4876</v>
      </c>
      <c r="F1098" s="17">
        <v>42021</v>
      </c>
      <c r="G1098" s="8" t="s">
        <v>4877</v>
      </c>
      <c r="H1098" s="8" t="s">
        <v>98</v>
      </c>
      <c r="I1098" s="8" t="s">
        <v>45</v>
      </c>
      <c r="J1098" s="16" t="s">
        <v>4878</v>
      </c>
      <c r="K1098" s="2" t="s">
        <v>98</v>
      </c>
      <c r="L1098" s="8" t="s">
        <v>99</v>
      </c>
      <c r="M1098" s="8" t="s">
        <v>27</v>
      </c>
      <c r="N1098" s="8" t="s">
        <v>4879</v>
      </c>
      <c r="O1098" s="8" t="s">
        <v>1018</v>
      </c>
      <c r="P1098" s="8" t="s">
        <v>405</v>
      </c>
      <c r="Q1098" s="12" t="s">
        <v>4880</v>
      </c>
      <c r="R1098" s="8" t="s">
        <v>29</v>
      </c>
      <c r="S1098" s="7" t="s">
        <v>28</v>
      </c>
      <c r="T1098" s="6"/>
      <c r="U1098" s="8"/>
    </row>
    <row r="1099" spans="1:24" ht="13.5" customHeight="1">
      <c r="A1099" s="8" t="s">
        <v>4868</v>
      </c>
      <c r="B1099" s="16">
        <v>21</v>
      </c>
      <c r="C1099" s="8" t="s">
        <v>20</v>
      </c>
      <c r="D1099" s="8" t="s">
        <v>85</v>
      </c>
      <c r="E1099" s="8" t="s">
        <v>4869</v>
      </c>
      <c r="F1099" s="17">
        <v>42021</v>
      </c>
      <c r="G1099" s="8" t="s">
        <v>4870</v>
      </c>
      <c r="H1099" s="8" t="s">
        <v>3124</v>
      </c>
      <c r="I1099" s="8" t="s">
        <v>399</v>
      </c>
      <c r="J1099" s="16" t="s">
        <v>4871</v>
      </c>
      <c r="K1099" s="2" t="s">
        <v>3124</v>
      </c>
      <c r="L1099" s="8" t="s">
        <v>4872</v>
      </c>
      <c r="M1099" s="8" t="s">
        <v>27</v>
      </c>
      <c r="N1099" s="8" t="s">
        <v>4873</v>
      </c>
      <c r="O1099" s="8" t="s">
        <v>554</v>
      </c>
      <c r="P1099" s="8" t="s">
        <v>405</v>
      </c>
      <c r="Q1099" s="12" t="s">
        <v>4874</v>
      </c>
      <c r="R1099" s="8" t="s">
        <v>100</v>
      </c>
      <c r="S1099" s="7" t="s">
        <v>35</v>
      </c>
      <c r="T1099" s="6"/>
      <c r="U1099" s="8"/>
    </row>
    <row r="1100" spans="1:24" ht="13.5" customHeight="1">
      <c r="A1100" s="8" t="s">
        <v>19347</v>
      </c>
      <c r="B1100" s="16" t="s">
        <v>29</v>
      </c>
      <c r="C1100" s="8" t="s">
        <v>20</v>
      </c>
      <c r="D1100" s="8" t="s">
        <v>30</v>
      </c>
      <c r="F1100" s="17">
        <v>42021</v>
      </c>
      <c r="G1100" s="8" t="s">
        <v>4881</v>
      </c>
      <c r="H1100" s="8" t="s">
        <v>1152</v>
      </c>
      <c r="I1100" s="8" t="s">
        <v>45</v>
      </c>
      <c r="J1100" s="16">
        <v>94555</v>
      </c>
      <c r="K1100" s="2" t="s">
        <v>608</v>
      </c>
      <c r="L1100" s="8" t="s">
        <v>1153</v>
      </c>
      <c r="M1100" s="8" t="s">
        <v>27</v>
      </c>
      <c r="P1100" s="8" t="s">
        <v>405</v>
      </c>
      <c r="Q1100" s="12" t="str">
        <f>HYPERLINK("http://abc7news.com/news/fremont-police-investigate-fatal-officer-involved-shooting-/478614/","http://abc7news.com/news/fremont-police-investigate-fatal-officer-involved-shooting-/478614/")</f>
        <v>http://abc7news.com/news/fremont-police-investigate-fatal-officer-involved-shooting-/478614/</v>
      </c>
      <c r="S1100" s="8" t="s">
        <v>28</v>
      </c>
      <c r="T1100" s="8"/>
      <c r="U1100" s="8"/>
    </row>
    <row r="1101" spans="1:24" ht="13.5" customHeight="1">
      <c r="A1101" s="8" t="s">
        <v>4909</v>
      </c>
      <c r="B1101" s="16">
        <v>37</v>
      </c>
      <c r="C1101" s="8" t="s">
        <v>115</v>
      </c>
      <c r="D1101" s="8" t="s">
        <v>37</v>
      </c>
      <c r="F1101" s="17">
        <v>42020</v>
      </c>
      <c r="G1101" s="8" t="s">
        <v>4910</v>
      </c>
      <c r="H1101" s="8" t="s">
        <v>4911</v>
      </c>
      <c r="I1101" s="8" t="s">
        <v>81</v>
      </c>
      <c r="J1101" s="16" t="s">
        <v>4912</v>
      </c>
      <c r="K1101" s="2" t="s">
        <v>532</v>
      </c>
      <c r="L1101" s="8" t="s">
        <v>4913</v>
      </c>
      <c r="M1101" s="8" t="s">
        <v>27</v>
      </c>
      <c r="N1101" s="8" t="s">
        <v>4914</v>
      </c>
      <c r="O1101" s="8" t="s">
        <v>1170</v>
      </c>
      <c r="P1101" s="8" t="s">
        <v>1171</v>
      </c>
      <c r="Q1101" s="12" t="s">
        <v>4915</v>
      </c>
      <c r="R1101" s="8" t="s">
        <v>100</v>
      </c>
      <c r="S1101" s="7" t="s">
        <v>18</v>
      </c>
      <c r="T1101" s="6"/>
      <c r="U1101" s="8"/>
    </row>
    <row r="1102" spans="1:24" ht="13.5" customHeight="1">
      <c r="A1102" s="8" t="s">
        <v>3288</v>
      </c>
      <c r="C1102" s="8" t="s">
        <v>20</v>
      </c>
      <c r="D1102" s="8" t="s">
        <v>85</v>
      </c>
      <c r="F1102" s="17">
        <v>42020</v>
      </c>
      <c r="G1102" s="8" t="s">
        <v>4896</v>
      </c>
      <c r="H1102" s="8" t="s">
        <v>731</v>
      </c>
      <c r="I1102" s="8" t="s">
        <v>73</v>
      </c>
      <c r="J1102" s="16">
        <v>77089</v>
      </c>
      <c r="K1102" s="2" t="s">
        <v>562</v>
      </c>
      <c r="L1102" s="8" t="s">
        <v>732</v>
      </c>
      <c r="M1102" s="8" t="s">
        <v>27</v>
      </c>
      <c r="N1102" s="8" t="s">
        <v>4897</v>
      </c>
      <c r="P1102" s="8" t="s">
        <v>405</v>
      </c>
      <c r="Q1102" s="12" t="s">
        <v>4898</v>
      </c>
      <c r="S1102" s="7" t="s">
        <v>28</v>
      </c>
      <c r="T1102" s="6"/>
      <c r="U1102" s="8"/>
    </row>
    <row r="1103" spans="1:24" ht="13.5" customHeight="1">
      <c r="A1103" s="8" t="s">
        <v>3288</v>
      </c>
      <c r="B1103" s="16" t="s">
        <v>29</v>
      </c>
      <c r="C1103" s="8" t="s">
        <v>29</v>
      </c>
      <c r="D1103" s="8" t="s">
        <v>30</v>
      </c>
      <c r="F1103" s="17">
        <v>42020</v>
      </c>
      <c r="G1103" s="8" t="s">
        <v>4904</v>
      </c>
      <c r="H1103" s="8" t="s">
        <v>4905</v>
      </c>
      <c r="I1103" s="8" t="s">
        <v>73</v>
      </c>
      <c r="J1103" s="16">
        <v>75147</v>
      </c>
      <c r="K1103" s="2" t="s">
        <v>4906</v>
      </c>
      <c r="L1103" s="8" t="s">
        <v>284</v>
      </c>
      <c r="M1103" s="8" t="s">
        <v>27</v>
      </c>
      <c r="N1103" s="8" t="s">
        <v>4907</v>
      </c>
      <c r="P1103" s="8" t="s">
        <v>405</v>
      </c>
      <c r="Q1103" s="12" t="s">
        <v>4908</v>
      </c>
      <c r="S1103" s="7" t="s">
        <v>35</v>
      </c>
      <c r="T1103" s="8"/>
      <c r="U1103" s="8"/>
    </row>
    <row r="1104" spans="1:24" ht="13.5" customHeight="1">
      <c r="A1104" s="8" t="s">
        <v>4890</v>
      </c>
      <c r="B1104" s="16">
        <v>23</v>
      </c>
      <c r="C1104" s="8" t="s">
        <v>20</v>
      </c>
      <c r="D1104" s="8" t="s">
        <v>85</v>
      </c>
      <c r="E1104" s="8" t="s">
        <v>4891</v>
      </c>
      <c r="F1104" s="17">
        <v>42020</v>
      </c>
      <c r="G1104" s="8" t="s">
        <v>4892</v>
      </c>
      <c r="H1104" s="8" t="s">
        <v>2513</v>
      </c>
      <c r="I1104" s="8" t="s">
        <v>399</v>
      </c>
      <c r="J1104" s="16" t="s">
        <v>4893</v>
      </c>
      <c r="K1104" s="2" t="s">
        <v>2513</v>
      </c>
      <c r="L1104" s="8" t="s">
        <v>4894</v>
      </c>
      <c r="M1104" s="8" t="s">
        <v>27</v>
      </c>
      <c r="N1104" s="8" t="s">
        <v>4895</v>
      </c>
      <c r="O1104" s="8" t="s">
        <v>404</v>
      </c>
      <c r="P1104" s="8" t="s">
        <v>405</v>
      </c>
      <c r="Q1104" s="12" t="str">
        <f>HYPERLINK("http://kfor.com/2015/01/17/update-on-off-duty-officer-shooting-at-garth-brooks-concert-in-tulsa/","http://kfor.com/2015/01/17/update-on-off-duty-officer-shooting-at-garth-brooks-concert-in-tulsa/")</f>
        <v>http://kfor.com/2015/01/17/update-on-off-duty-officer-shooting-at-garth-brooks-concert-in-tulsa/</v>
      </c>
      <c r="R1104" s="8" t="s">
        <v>100</v>
      </c>
      <c r="S1104" s="7" t="s">
        <v>28</v>
      </c>
      <c r="T1104" s="6"/>
      <c r="U1104" s="8"/>
    </row>
    <row r="1105" spans="1:39" ht="13.5" customHeight="1">
      <c r="A1105" s="8" t="s">
        <v>4882</v>
      </c>
      <c r="B1105" s="16">
        <v>57</v>
      </c>
      <c r="C1105" s="8" t="s">
        <v>20</v>
      </c>
      <c r="D1105" s="8" t="s">
        <v>21</v>
      </c>
      <c r="E1105" s="8" t="s">
        <v>4883</v>
      </c>
      <c r="F1105" s="17">
        <v>42020</v>
      </c>
      <c r="G1105" s="8" t="s">
        <v>4884</v>
      </c>
      <c r="H1105" s="8" t="s">
        <v>4885</v>
      </c>
      <c r="I1105" s="8" t="s">
        <v>135</v>
      </c>
      <c r="J1105" s="16" t="s">
        <v>4886</v>
      </c>
      <c r="K1105" s="2" t="s">
        <v>1081</v>
      </c>
      <c r="L1105" s="8" t="s">
        <v>4887</v>
      </c>
      <c r="M1105" s="8" t="s">
        <v>1706</v>
      </c>
      <c r="N1105" s="8" t="s">
        <v>4888</v>
      </c>
      <c r="O1105" s="8" t="s">
        <v>1018</v>
      </c>
      <c r="P1105" s="8" t="s">
        <v>405</v>
      </c>
      <c r="Q1105" s="12" t="s">
        <v>4889</v>
      </c>
      <c r="R1105" s="8" t="s">
        <v>100</v>
      </c>
      <c r="S1105" s="7" t="s">
        <v>28</v>
      </c>
      <c r="T1105" s="6"/>
      <c r="U1105" s="8"/>
      <c r="AI1105" s="8"/>
      <c r="AJ1105" s="8"/>
      <c r="AK1105" s="8"/>
      <c r="AL1105" s="8"/>
      <c r="AM1105" s="8"/>
    </row>
    <row r="1106" spans="1:39" ht="13.5" customHeight="1">
      <c r="A1106" s="8" t="s">
        <v>4899</v>
      </c>
      <c r="C1106" s="8" t="s">
        <v>20</v>
      </c>
      <c r="D1106" s="8" t="s">
        <v>30</v>
      </c>
      <c r="F1106" s="17">
        <v>42020</v>
      </c>
      <c r="G1106" s="8" t="s">
        <v>4900</v>
      </c>
      <c r="H1106" s="8" t="s">
        <v>1152</v>
      </c>
      <c r="I1106" s="8" t="s">
        <v>45</v>
      </c>
      <c r="J1106" s="16" t="s">
        <v>4901</v>
      </c>
      <c r="K1106" s="2" t="s">
        <v>608</v>
      </c>
      <c r="L1106" s="8" t="s">
        <v>1153</v>
      </c>
      <c r="M1106" s="8" t="s">
        <v>27</v>
      </c>
      <c r="N1106" s="8" t="s">
        <v>4902</v>
      </c>
      <c r="O1106" s="8" t="s">
        <v>404</v>
      </c>
      <c r="P1106" s="8" t="s">
        <v>405</v>
      </c>
      <c r="Q1106" s="12" t="s">
        <v>4903</v>
      </c>
      <c r="R1106" s="8" t="s">
        <v>100</v>
      </c>
      <c r="S1106" s="7" t="s">
        <v>28</v>
      </c>
      <c r="T1106" s="6"/>
      <c r="U1106" s="8"/>
    </row>
    <row r="1107" spans="1:39" ht="13.5" customHeight="1">
      <c r="A1107" s="8" t="s">
        <v>4935</v>
      </c>
      <c r="B1107" s="16">
        <v>45</v>
      </c>
      <c r="C1107" s="8" t="s">
        <v>20</v>
      </c>
      <c r="D1107" s="8" t="s">
        <v>85</v>
      </c>
      <c r="E1107" s="8" t="s">
        <v>4936</v>
      </c>
      <c r="F1107" s="17">
        <v>42019</v>
      </c>
      <c r="G1107" s="8" t="s">
        <v>4937</v>
      </c>
      <c r="H1107" s="8" t="s">
        <v>694</v>
      </c>
      <c r="I1107" s="8" t="s">
        <v>124</v>
      </c>
      <c r="J1107" s="16" t="s">
        <v>4938</v>
      </c>
      <c r="K1107" s="2" t="s">
        <v>639</v>
      </c>
      <c r="L1107" s="8" t="s">
        <v>4939</v>
      </c>
      <c r="M1107" s="8" t="s">
        <v>27</v>
      </c>
      <c r="N1107" s="8" t="s">
        <v>4940</v>
      </c>
      <c r="O1107" s="8" t="s">
        <v>404</v>
      </c>
      <c r="P1107" s="8" t="s">
        <v>405</v>
      </c>
      <c r="Q1107" s="12" t="s">
        <v>4941</v>
      </c>
      <c r="R1107" s="8" t="s">
        <v>29</v>
      </c>
      <c r="S1107" s="7" t="s">
        <v>383</v>
      </c>
      <c r="T1107" s="6"/>
      <c r="U1107" s="8"/>
    </row>
    <row r="1108" spans="1:39" ht="13.5" customHeight="1">
      <c r="A1108" s="8" t="s">
        <v>4929</v>
      </c>
      <c r="B1108" s="16">
        <v>27</v>
      </c>
      <c r="C1108" s="8" t="s">
        <v>20</v>
      </c>
      <c r="D1108" s="8" t="s">
        <v>85</v>
      </c>
      <c r="E1108" s="8" t="s">
        <v>4930</v>
      </c>
      <c r="F1108" s="17">
        <v>42019</v>
      </c>
      <c r="G1108" s="8" t="s">
        <v>4931</v>
      </c>
      <c r="H1108" s="8" t="s">
        <v>219</v>
      </c>
      <c r="I1108" s="8" t="s">
        <v>220</v>
      </c>
      <c r="J1108" s="16" t="s">
        <v>4932</v>
      </c>
      <c r="K1108" s="2" t="s">
        <v>424</v>
      </c>
      <c r="L1108" s="8" t="s">
        <v>221</v>
      </c>
      <c r="M1108" s="8" t="s">
        <v>27</v>
      </c>
      <c r="N1108" s="8" t="s">
        <v>4933</v>
      </c>
      <c r="O1108" s="8" t="s">
        <v>1018</v>
      </c>
      <c r="P1108" s="8" t="s">
        <v>405</v>
      </c>
      <c r="Q1108" s="12" t="s">
        <v>4934</v>
      </c>
      <c r="R1108" s="8" t="s">
        <v>100</v>
      </c>
      <c r="S1108" s="7" t="s">
        <v>28</v>
      </c>
      <c r="T1108" s="6"/>
      <c r="U1108" s="8"/>
    </row>
    <row r="1109" spans="1:39" ht="13.5" customHeight="1">
      <c r="A1109" s="8" t="s">
        <v>4964</v>
      </c>
      <c r="B1109" s="16">
        <v>69</v>
      </c>
      <c r="C1109" s="8" t="s">
        <v>20</v>
      </c>
      <c r="D1109" s="8" t="s">
        <v>37</v>
      </c>
      <c r="E1109" s="8" t="s">
        <v>4965</v>
      </c>
      <c r="F1109" s="17">
        <v>42019</v>
      </c>
      <c r="G1109" s="8" t="s">
        <v>4966</v>
      </c>
      <c r="H1109" s="8" t="s">
        <v>4967</v>
      </c>
      <c r="I1109" s="8" t="s">
        <v>319</v>
      </c>
      <c r="J1109" s="16" t="s">
        <v>4968</v>
      </c>
      <c r="K1109" s="2" t="s">
        <v>2339</v>
      </c>
      <c r="L1109" s="8" t="s">
        <v>4969</v>
      </c>
      <c r="M1109" s="8" t="s">
        <v>383</v>
      </c>
      <c r="N1109" s="8" t="s">
        <v>4970</v>
      </c>
      <c r="O1109" s="8" t="s">
        <v>1018</v>
      </c>
      <c r="P1109" s="8" t="s">
        <v>405</v>
      </c>
      <c r="Q1109" s="12" t="s">
        <v>4971</v>
      </c>
      <c r="R1109" s="8" t="s">
        <v>100</v>
      </c>
      <c r="S1109" s="7" t="s">
        <v>18</v>
      </c>
      <c r="T1109" s="6"/>
      <c r="U1109" s="8"/>
    </row>
    <row r="1110" spans="1:39" ht="13.5" customHeight="1">
      <c r="A1110" s="8" t="s">
        <v>4942</v>
      </c>
      <c r="B1110" s="16">
        <v>36</v>
      </c>
      <c r="C1110" s="8" t="s">
        <v>20</v>
      </c>
      <c r="D1110" s="8" t="s">
        <v>48</v>
      </c>
      <c r="F1110" s="17">
        <v>42019</v>
      </c>
      <c r="G1110" s="8" t="s">
        <v>4943</v>
      </c>
      <c r="H1110" s="8" t="s">
        <v>4944</v>
      </c>
      <c r="I1110" s="8" t="s">
        <v>45</v>
      </c>
      <c r="J1110" s="16" t="s">
        <v>4945</v>
      </c>
      <c r="K1110" s="2" t="s">
        <v>3463</v>
      </c>
      <c r="L1110" s="8" t="s">
        <v>4946</v>
      </c>
      <c r="M1110" s="8" t="s">
        <v>27</v>
      </c>
      <c r="N1110" s="8" t="s">
        <v>4947</v>
      </c>
      <c r="O1110" s="8" t="s">
        <v>1018</v>
      </c>
      <c r="P1110" s="8" t="s">
        <v>405</v>
      </c>
      <c r="Q1110" s="12" t="s">
        <v>4948</v>
      </c>
      <c r="R1110" s="8" t="s">
        <v>972</v>
      </c>
      <c r="S1110" s="7" t="s">
        <v>28</v>
      </c>
      <c r="T1110" s="6"/>
      <c r="U1110" s="8"/>
    </row>
    <row r="1111" spans="1:39" ht="13.5" customHeight="1">
      <c r="A1111" s="8" t="s">
        <v>4916</v>
      </c>
      <c r="B1111" s="16">
        <v>39</v>
      </c>
      <c r="C1111" s="8" t="s">
        <v>20</v>
      </c>
      <c r="D1111" s="8" t="s">
        <v>85</v>
      </c>
      <c r="E1111" s="8" t="s">
        <v>4917</v>
      </c>
      <c r="F1111" s="17">
        <v>42019</v>
      </c>
      <c r="G1111" s="8" t="s">
        <v>4918</v>
      </c>
      <c r="H1111" s="8" t="s">
        <v>3871</v>
      </c>
      <c r="I1111" s="8" t="s">
        <v>212</v>
      </c>
      <c r="J1111" s="16" t="s">
        <v>3872</v>
      </c>
      <c r="K1111" s="2" t="s">
        <v>3873</v>
      </c>
      <c r="L1111" s="8" t="s">
        <v>3874</v>
      </c>
      <c r="M1111" s="8" t="s">
        <v>27</v>
      </c>
      <c r="N1111" s="8" t="s">
        <v>4919</v>
      </c>
      <c r="O1111" s="8" t="s">
        <v>4742</v>
      </c>
      <c r="P1111" s="8" t="s">
        <v>405</v>
      </c>
      <c r="Q1111" s="12" t="s">
        <v>4920</v>
      </c>
      <c r="R1111" s="8" t="s">
        <v>100</v>
      </c>
      <c r="S1111" s="7" t="s">
        <v>28</v>
      </c>
      <c r="T1111" s="6"/>
      <c r="U1111" s="8"/>
      <c r="Y1111" s="8"/>
      <c r="Z1111" s="8"/>
      <c r="AA1111" s="8"/>
      <c r="AB1111" s="8"/>
      <c r="AC1111" s="8"/>
      <c r="AD1111" s="8"/>
      <c r="AE1111" s="8"/>
      <c r="AF1111" s="8"/>
      <c r="AG1111" s="8"/>
      <c r="AH1111" s="8"/>
    </row>
    <row r="1112" spans="1:39" ht="13.5" customHeight="1">
      <c r="A1112" s="8" t="s">
        <v>4921</v>
      </c>
      <c r="B1112" s="16">
        <v>34</v>
      </c>
      <c r="C1112" s="8" t="s">
        <v>20</v>
      </c>
      <c r="D1112" s="8" t="s">
        <v>85</v>
      </c>
      <c r="E1112" s="8" t="s">
        <v>4922</v>
      </c>
      <c r="F1112" s="17">
        <v>42019</v>
      </c>
      <c r="G1112" s="8" t="s">
        <v>4923</v>
      </c>
      <c r="H1112" s="8" t="s">
        <v>4924</v>
      </c>
      <c r="I1112" s="8" t="s">
        <v>247</v>
      </c>
      <c r="J1112" s="16" t="s">
        <v>4925</v>
      </c>
      <c r="K1112" s="2" t="s">
        <v>4924</v>
      </c>
      <c r="L1112" s="8" t="s">
        <v>4926</v>
      </c>
      <c r="M1112" s="8" t="s">
        <v>27</v>
      </c>
      <c r="N1112" s="8" t="s">
        <v>4927</v>
      </c>
      <c r="O1112" s="8" t="s">
        <v>1018</v>
      </c>
      <c r="P1112" s="8" t="s">
        <v>405</v>
      </c>
      <c r="Q1112" s="12" t="s">
        <v>4928</v>
      </c>
      <c r="R1112" s="8" t="s">
        <v>559</v>
      </c>
      <c r="S1112" s="7" t="s">
        <v>28</v>
      </c>
      <c r="T1112" s="6"/>
      <c r="U1112" s="8"/>
    </row>
    <row r="1113" spans="1:39" ht="13.5" customHeight="1">
      <c r="A1113" s="8" t="s">
        <v>4956</v>
      </c>
      <c r="B1113" s="16">
        <v>33</v>
      </c>
      <c r="C1113" s="8" t="s">
        <v>20</v>
      </c>
      <c r="D1113" s="8" t="s">
        <v>30</v>
      </c>
      <c r="E1113" s="8" t="s">
        <v>4957</v>
      </c>
      <c r="F1113" s="17">
        <v>42019</v>
      </c>
      <c r="G1113" s="8" t="s">
        <v>4958</v>
      </c>
      <c r="H1113" s="8" t="s">
        <v>4959</v>
      </c>
      <c r="I1113" s="8" t="s">
        <v>25</v>
      </c>
      <c r="J1113" s="16" t="s">
        <v>4960</v>
      </c>
      <c r="K1113" s="2" t="s">
        <v>4961</v>
      </c>
      <c r="L1113" s="8" t="s">
        <v>4962</v>
      </c>
      <c r="M1113" s="8" t="s">
        <v>27</v>
      </c>
      <c r="N1113" s="8" t="s">
        <v>4963</v>
      </c>
      <c r="O1113" s="8" t="s">
        <v>1018</v>
      </c>
      <c r="P1113" s="8" t="s">
        <v>405</v>
      </c>
      <c r="Q1113" s="12" t="str">
        <f>HYPERLINK("http://theadvocate.com/news/11346884-123/evangeline-parish-man-shot-killed","http://theadvocate.com/news/11346884-123/evangeline-parish-man-shot-killed")</f>
        <v>http://theadvocate.com/news/11346884-123/evangeline-parish-man-shot-killed</v>
      </c>
      <c r="R1113" s="8" t="s">
        <v>100</v>
      </c>
      <c r="S1113" s="7" t="s">
        <v>28</v>
      </c>
      <c r="T1113" s="6"/>
      <c r="U1113" s="8"/>
    </row>
    <row r="1114" spans="1:39" ht="13.5" customHeight="1">
      <c r="A1114" s="8" t="s">
        <v>4949</v>
      </c>
      <c r="B1114" s="16">
        <v>24</v>
      </c>
      <c r="C1114" s="8" t="s">
        <v>20</v>
      </c>
      <c r="D1114" s="8" t="s">
        <v>37</v>
      </c>
      <c r="E1114" s="8" t="s">
        <v>20909</v>
      </c>
      <c r="F1114" s="17">
        <v>42019</v>
      </c>
      <c r="G1114" s="8" t="s">
        <v>4950</v>
      </c>
      <c r="H1114" s="8" t="s">
        <v>4951</v>
      </c>
      <c r="I1114" s="8" t="s">
        <v>135</v>
      </c>
      <c r="J1114" s="16" t="s">
        <v>4952</v>
      </c>
      <c r="K1114" s="2" t="s">
        <v>1081</v>
      </c>
      <c r="L1114" s="8" t="s">
        <v>4953</v>
      </c>
      <c r="M1114" s="8" t="s">
        <v>27</v>
      </c>
      <c r="N1114" s="8" t="s">
        <v>4954</v>
      </c>
      <c r="O1114" s="8" t="s">
        <v>404</v>
      </c>
      <c r="P1114" s="8" t="s">
        <v>405</v>
      </c>
      <c r="Q1114" s="12" t="s">
        <v>4955</v>
      </c>
      <c r="R1114" s="8" t="s">
        <v>559</v>
      </c>
      <c r="S1114" s="7" t="s">
        <v>28</v>
      </c>
      <c r="T1114" s="6"/>
      <c r="U1114" s="8"/>
    </row>
    <row r="1115" spans="1:39" ht="13.5" customHeight="1">
      <c r="A1115" s="8" t="s">
        <v>5012</v>
      </c>
      <c r="B1115" s="16">
        <v>34</v>
      </c>
      <c r="C1115" s="8" t="s">
        <v>20</v>
      </c>
      <c r="D1115" s="8" t="s">
        <v>37</v>
      </c>
      <c r="E1115" s="8" t="s">
        <v>5013</v>
      </c>
      <c r="F1115" s="17">
        <v>42018</v>
      </c>
      <c r="G1115" s="8" t="s">
        <v>5014</v>
      </c>
      <c r="H1115" s="8" t="s">
        <v>5015</v>
      </c>
      <c r="I1115" s="8" t="s">
        <v>243</v>
      </c>
      <c r="J1115" s="16" t="s">
        <v>5016</v>
      </c>
      <c r="K1115" s="2" t="s">
        <v>617</v>
      </c>
      <c r="L1115" s="8" t="s">
        <v>5017</v>
      </c>
      <c r="M1115" s="8" t="s">
        <v>27</v>
      </c>
      <c r="N1115" s="8" t="s">
        <v>5018</v>
      </c>
      <c r="O1115" s="8" t="s">
        <v>1018</v>
      </c>
      <c r="P1115" s="8" t="s">
        <v>405</v>
      </c>
      <c r="Q1115" s="12" t="s">
        <v>5019</v>
      </c>
      <c r="R1115" s="8" t="s">
        <v>29</v>
      </c>
      <c r="S1115" s="7" t="s">
        <v>28</v>
      </c>
      <c r="T1115" s="6"/>
      <c r="U1115" s="8"/>
    </row>
    <row r="1116" spans="1:39" ht="13.5" customHeight="1">
      <c r="A1116" s="8" t="s">
        <v>5003</v>
      </c>
      <c r="B1116" s="16">
        <v>87</v>
      </c>
      <c r="C1116" s="8" t="s">
        <v>20</v>
      </c>
      <c r="D1116" s="8" t="s">
        <v>37</v>
      </c>
      <c r="E1116" s="8" t="s">
        <v>5004</v>
      </c>
      <c r="F1116" s="17">
        <v>42018</v>
      </c>
      <c r="G1116" s="8" t="s">
        <v>5005</v>
      </c>
      <c r="H1116" s="8" t="s">
        <v>5006</v>
      </c>
      <c r="I1116" s="8" t="s">
        <v>427</v>
      </c>
      <c r="J1116" s="16" t="s">
        <v>5007</v>
      </c>
      <c r="K1116" s="2" t="s">
        <v>5008</v>
      </c>
      <c r="L1116" s="8" t="s">
        <v>5009</v>
      </c>
      <c r="M1116" s="8" t="s">
        <v>383</v>
      </c>
      <c r="N1116" s="8" t="s">
        <v>5010</v>
      </c>
      <c r="O1116" s="8" t="s">
        <v>404</v>
      </c>
      <c r="P1116" s="8" t="s">
        <v>405</v>
      </c>
      <c r="Q1116" s="12" t="s">
        <v>5011</v>
      </c>
      <c r="R1116" s="8" t="s">
        <v>100</v>
      </c>
      <c r="S1116" s="7" t="s">
        <v>18</v>
      </c>
      <c r="T1116" s="6"/>
      <c r="U1116" s="8"/>
    </row>
    <row r="1117" spans="1:39" ht="13.5" customHeight="1">
      <c r="A1117" s="8" t="s">
        <v>4972</v>
      </c>
      <c r="B1117" s="16">
        <v>24</v>
      </c>
      <c r="C1117" s="8" t="s">
        <v>20</v>
      </c>
      <c r="D1117" s="8" t="s">
        <v>85</v>
      </c>
      <c r="E1117" s="8" t="s">
        <v>4973</v>
      </c>
      <c r="F1117" s="17">
        <v>42018</v>
      </c>
      <c r="G1117" s="8" t="s">
        <v>4974</v>
      </c>
      <c r="H1117" s="8" t="s">
        <v>3637</v>
      </c>
      <c r="I1117" s="8" t="s">
        <v>135</v>
      </c>
      <c r="J1117" s="16" t="s">
        <v>4975</v>
      </c>
      <c r="K1117" s="2" t="s">
        <v>3639</v>
      </c>
      <c r="L1117" s="8" t="s">
        <v>4976</v>
      </c>
      <c r="M1117" s="8" t="s">
        <v>27</v>
      </c>
      <c r="N1117" s="8" t="s">
        <v>4977</v>
      </c>
      <c r="O1117" s="8" t="s">
        <v>404</v>
      </c>
      <c r="P1117" s="8" t="s">
        <v>405</v>
      </c>
      <c r="Q1117" s="12" t="s">
        <v>4978</v>
      </c>
      <c r="R1117" s="8" t="s">
        <v>29</v>
      </c>
      <c r="S1117" s="7" t="s">
        <v>28</v>
      </c>
      <c r="T1117" s="6"/>
      <c r="U1117" s="8"/>
    </row>
    <row r="1118" spans="1:39" ht="13.5" customHeight="1">
      <c r="A1118" s="8" t="s">
        <v>4995</v>
      </c>
      <c r="B1118" s="16">
        <v>29</v>
      </c>
      <c r="C1118" s="8" t="s">
        <v>20</v>
      </c>
      <c r="D1118" s="8" t="s">
        <v>37</v>
      </c>
      <c r="E1118" s="8" t="s">
        <v>4996</v>
      </c>
      <c r="F1118" s="17">
        <v>42018</v>
      </c>
      <c r="G1118" s="8" t="s">
        <v>4997</v>
      </c>
      <c r="H1118" s="8" t="s">
        <v>4998</v>
      </c>
      <c r="I1118" s="8" t="s">
        <v>435</v>
      </c>
      <c r="J1118" s="16" t="s">
        <v>4999</v>
      </c>
      <c r="K1118" s="2" t="s">
        <v>1301</v>
      </c>
      <c r="L1118" s="8" t="s">
        <v>5000</v>
      </c>
      <c r="M1118" s="8" t="s">
        <v>27</v>
      </c>
      <c r="N1118" s="8" t="s">
        <v>5001</v>
      </c>
      <c r="O1118" s="8" t="s">
        <v>1018</v>
      </c>
      <c r="P1118" s="8" t="s">
        <v>405</v>
      </c>
      <c r="Q1118" s="12" t="s">
        <v>5002</v>
      </c>
      <c r="R1118" s="8" t="s">
        <v>100</v>
      </c>
      <c r="S1118" s="7" t="s">
        <v>383</v>
      </c>
      <c r="T1118" s="6"/>
      <c r="U1118" s="8"/>
    </row>
    <row r="1119" spans="1:39" ht="13.5" customHeight="1">
      <c r="A1119" s="8" t="s">
        <v>4986</v>
      </c>
      <c r="B1119" s="16">
        <v>68</v>
      </c>
      <c r="C1119" s="8" t="s">
        <v>20</v>
      </c>
      <c r="D1119" s="8" t="s">
        <v>37</v>
      </c>
      <c r="E1119" s="8" t="s">
        <v>4987</v>
      </c>
      <c r="F1119" s="17">
        <v>42018</v>
      </c>
      <c r="G1119" s="8" t="s">
        <v>4988</v>
      </c>
      <c r="H1119" s="8" t="s">
        <v>4989</v>
      </c>
      <c r="I1119" s="8" t="s">
        <v>73</v>
      </c>
      <c r="J1119" s="16" t="s">
        <v>4990</v>
      </c>
      <c r="K1119" s="2" t="s">
        <v>4991</v>
      </c>
      <c r="L1119" s="8" t="s">
        <v>4992</v>
      </c>
      <c r="M1119" s="8" t="s">
        <v>27</v>
      </c>
      <c r="N1119" s="8" t="s">
        <v>4993</v>
      </c>
      <c r="O1119" s="8" t="s">
        <v>1018</v>
      </c>
      <c r="P1119" s="8" t="s">
        <v>405</v>
      </c>
      <c r="Q1119" s="12" t="s">
        <v>4994</v>
      </c>
      <c r="R1119" s="8" t="s">
        <v>29</v>
      </c>
      <c r="S1119" s="7" t="s">
        <v>28</v>
      </c>
      <c r="T1119" s="6"/>
      <c r="U1119" s="8"/>
    </row>
    <row r="1120" spans="1:39" ht="13.5" customHeight="1">
      <c r="A1120" s="8" t="s">
        <v>4979</v>
      </c>
      <c r="B1120" s="16">
        <v>75</v>
      </c>
      <c r="C1120" s="8" t="s">
        <v>20</v>
      </c>
      <c r="D1120" s="8" t="s">
        <v>30</v>
      </c>
      <c r="F1120" s="17">
        <v>42018</v>
      </c>
      <c r="G1120" s="8" t="s">
        <v>4980</v>
      </c>
      <c r="H1120" s="8" t="s">
        <v>4981</v>
      </c>
      <c r="I1120" s="8" t="s">
        <v>81</v>
      </c>
      <c r="J1120" s="16" t="s">
        <v>4982</v>
      </c>
      <c r="K1120" s="2" t="s">
        <v>42</v>
      </c>
      <c r="L1120" s="8" t="s">
        <v>4983</v>
      </c>
      <c r="M1120" s="8" t="s">
        <v>27</v>
      </c>
      <c r="N1120" s="8" t="s">
        <v>4984</v>
      </c>
      <c r="O1120" s="8" t="s">
        <v>404</v>
      </c>
      <c r="P1120" s="8" t="s">
        <v>405</v>
      </c>
      <c r="Q1120" s="12" t="s">
        <v>4985</v>
      </c>
      <c r="R1120" s="8" t="s">
        <v>29</v>
      </c>
      <c r="S1120" s="7" t="s">
        <v>28</v>
      </c>
      <c r="T1120" s="6"/>
      <c r="U1120" s="8"/>
    </row>
    <row r="1121" spans="1:34" ht="13.5" customHeight="1">
      <c r="A1121" s="8" t="s">
        <v>5020</v>
      </c>
      <c r="B1121" s="16">
        <v>35</v>
      </c>
      <c r="C1121" s="8" t="s">
        <v>20</v>
      </c>
      <c r="D1121" s="8" t="s">
        <v>37</v>
      </c>
      <c r="E1121" s="8" t="s">
        <v>5021</v>
      </c>
      <c r="F1121" s="17">
        <v>42017</v>
      </c>
      <c r="G1121" s="8" t="s">
        <v>5022</v>
      </c>
      <c r="H1121" s="8" t="s">
        <v>930</v>
      </c>
      <c r="I1121" s="8" t="s">
        <v>198</v>
      </c>
      <c r="J1121" s="16" t="s">
        <v>5023</v>
      </c>
      <c r="K1121" s="2" t="s">
        <v>471</v>
      </c>
      <c r="L1121" s="8" t="s">
        <v>5024</v>
      </c>
      <c r="M1121" s="8" t="s">
        <v>27</v>
      </c>
      <c r="N1121" s="8" t="s">
        <v>5025</v>
      </c>
      <c r="O1121" s="8" t="s">
        <v>1018</v>
      </c>
      <c r="P1121" s="8" t="s">
        <v>405</v>
      </c>
      <c r="Q1121" s="12" t="s">
        <v>5026</v>
      </c>
      <c r="R1121" s="8" t="s">
        <v>100</v>
      </c>
      <c r="S1121" s="7" t="s">
        <v>28</v>
      </c>
      <c r="T1121" s="6"/>
      <c r="U1121" s="8"/>
      <c r="Y1121" s="8"/>
      <c r="Z1121" s="8"/>
      <c r="AA1121" s="8"/>
      <c r="AB1121" s="8"/>
      <c r="AC1121" s="8"/>
      <c r="AD1121" s="8"/>
      <c r="AE1121" s="8"/>
      <c r="AF1121" s="8"/>
      <c r="AG1121" s="8"/>
      <c r="AH1121" s="8"/>
    </row>
    <row r="1122" spans="1:34" ht="13.5" customHeight="1">
      <c r="A1122" s="8" t="s">
        <v>5027</v>
      </c>
      <c r="B1122" s="16">
        <v>43</v>
      </c>
      <c r="C1122" s="8" t="s">
        <v>20</v>
      </c>
      <c r="D1122" s="8" t="s">
        <v>37</v>
      </c>
      <c r="E1122" s="8" t="s">
        <v>5028</v>
      </c>
      <c r="F1122" s="17">
        <v>42017</v>
      </c>
      <c r="G1122" s="8" t="s">
        <v>5029</v>
      </c>
      <c r="H1122" s="8" t="s">
        <v>5030</v>
      </c>
      <c r="I1122" s="8" t="s">
        <v>73</v>
      </c>
      <c r="J1122" s="16" t="s">
        <v>5031</v>
      </c>
      <c r="K1122" s="2" t="s">
        <v>5032</v>
      </c>
      <c r="L1122" s="8" t="s">
        <v>5033</v>
      </c>
      <c r="M1122" s="8" t="s">
        <v>27</v>
      </c>
      <c r="N1122" s="8" t="s">
        <v>5034</v>
      </c>
      <c r="O1122" s="8" t="s">
        <v>404</v>
      </c>
      <c r="P1122" s="8" t="s">
        <v>405</v>
      </c>
      <c r="Q1122" s="12" t="s">
        <v>5035</v>
      </c>
      <c r="R1122" s="8" t="s">
        <v>559</v>
      </c>
      <c r="S1122" s="7" t="s">
        <v>28</v>
      </c>
      <c r="T1122" s="6"/>
      <c r="U1122" s="8"/>
    </row>
    <row r="1123" spans="1:34" ht="13.5" customHeight="1">
      <c r="A1123" s="8" t="s">
        <v>5041</v>
      </c>
      <c r="B1123" s="16">
        <v>23</v>
      </c>
      <c r="C1123" s="8" t="s">
        <v>20</v>
      </c>
      <c r="D1123" s="8" t="s">
        <v>30</v>
      </c>
      <c r="F1123" s="17">
        <v>42015</v>
      </c>
      <c r="G1123" s="8" t="s">
        <v>5042</v>
      </c>
      <c r="H1123" s="8" t="s">
        <v>3743</v>
      </c>
      <c r="I1123" s="8" t="s">
        <v>45</v>
      </c>
      <c r="J1123" s="16" t="s">
        <v>3744</v>
      </c>
      <c r="K1123" s="2" t="s">
        <v>98</v>
      </c>
      <c r="L1123" s="8" t="s">
        <v>5043</v>
      </c>
      <c r="M1123" s="8" t="s">
        <v>27</v>
      </c>
      <c r="N1123" s="8" t="s">
        <v>5044</v>
      </c>
      <c r="O1123" s="8" t="s">
        <v>404</v>
      </c>
      <c r="P1123" s="8" t="s">
        <v>405</v>
      </c>
      <c r="Q1123" s="12" t="s">
        <v>5045</v>
      </c>
      <c r="R1123" s="8" t="s">
        <v>100</v>
      </c>
      <c r="S1123" s="7" t="s">
        <v>28</v>
      </c>
      <c r="T1123" s="6"/>
      <c r="U1123" s="8"/>
    </row>
    <row r="1124" spans="1:34" ht="13.5" customHeight="1">
      <c r="A1124" s="8" t="s">
        <v>5036</v>
      </c>
      <c r="B1124" s="16">
        <v>29</v>
      </c>
      <c r="C1124" s="8" t="s">
        <v>20</v>
      </c>
      <c r="D1124" s="8" t="s">
        <v>48</v>
      </c>
      <c r="F1124" s="17">
        <v>42015</v>
      </c>
      <c r="G1124" s="8" t="s">
        <v>5037</v>
      </c>
      <c r="H1124" s="8" t="s">
        <v>271</v>
      </c>
      <c r="I1124" s="8" t="s">
        <v>272</v>
      </c>
      <c r="J1124" s="16" t="s">
        <v>5038</v>
      </c>
      <c r="K1124" s="2" t="s">
        <v>574</v>
      </c>
      <c r="L1124" s="8" t="s">
        <v>273</v>
      </c>
      <c r="M1124" s="8" t="s">
        <v>27</v>
      </c>
      <c r="N1124" s="8" t="s">
        <v>5039</v>
      </c>
      <c r="O1124" s="8" t="s">
        <v>404</v>
      </c>
      <c r="P1124" s="8" t="s">
        <v>405</v>
      </c>
      <c r="Q1124" s="12" t="s">
        <v>5040</v>
      </c>
      <c r="R1124" s="8" t="s">
        <v>100</v>
      </c>
      <c r="S1124" s="7" t="s">
        <v>28</v>
      </c>
      <c r="T1124" s="6"/>
      <c r="U1124" s="8"/>
    </row>
    <row r="1125" spans="1:34" ht="13.5" customHeight="1">
      <c r="A1125" s="8" t="s">
        <v>5046</v>
      </c>
      <c r="B1125" s="16">
        <v>39</v>
      </c>
      <c r="C1125" s="8" t="s">
        <v>20</v>
      </c>
      <c r="D1125" s="8" t="s">
        <v>37</v>
      </c>
      <c r="E1125" s="8" t="s">
        <v>5047</v>
      </c>
      <c r="F1125" s="17">
        <v>42015</v>
      </c>
      <c r="G1125" s="8" t="s">
        <v>5048</v>
      </c>
      <c r="H1125" s="8" t="s">
        <v>5049</v>
      </c>
      <c r="I1125" s="8" t="s">
        <v>44</v>
      </c>
      <c r="J1125" s="16" t="s">
        <v>5050</v>
      </c>
      <c r="K1125" s="2" t="s">
        <v>946</v>
      </c>
      <c r="L1125" s="8" t="s">
        <v>5051</v>
      </c>
      <c r="M1125" s="8" t="s">
        <v>27</v>
      </c>
      <c r="N1125" s="8" t="s">
        <v>5052</v>
      </c>
      <c r="O1125" s="8" t="s">
        <v>1018</v>
      </c>
      <c r="P1125" s="8" t="s">
        <v>405</v>
      </c>
      <c r="Q1125" s="12" t="s">
        <v>5053</v>
      </c>
      <c r="R1125" s="8" t="s">
        <v>100</v>
      </c>
      <c r="S1125" s="7" t="s">
        <v>28</v>
      </c>
      <c r="T1125" s="6"/>
      <c r="U1125" s="8"/>
      <c r="Y1125" s="8"/>
      <c r="Z1125" s="8"/>
      <c r="AA1125" s="8"/>
      <c r="AB1125" s="8"/>
      <c r="AC1125" s="8"/>
      <c r="AD1125" s="8"/>
      <c r="AE1125" s="8"/>
      <c r="AF1125" s="8"/>
      <c r="AG1125" s="8"/>
      <c r="AH1125" s="8"/>
    </row>
    <row r="1126" spans="1:34" ht="13.5" customHeight="1">
      <c r="A1126" s="8" t="s">
        <v>5054</v>
      </c>
      <c r="B1126" s="16" t="s">
        <v>29</v>
      </c>
      <c r="C1126" s="8" t="s">
        <v>20</v>
      </c>
      <c r="D1126" s="8" t="s">
        <v>30</v>
      </c>
      <c r="F1126" s="17">
        <v>42013</v>
      </c>
      <c r="G1126" s="8" t="s">
        <v>5055</v>
      </c>
      <c r="H1126" s="8" t="s">
        <v>5056</v>
      </c>
      <c r="I1126" s="8" t="s">
        <v>986</v>
      </c>
      <c r="J1126" s="16" t="s">
        <v>5057</v>
      </c>
      <c r="K1126" s="2" t="s">
        <v>2280</v>
      </c>
      <c r="L1126" s="8" t="s">
        <v>5058</v>
      </c>
      <c r="M1126" s="8" t="s">
        <v>27</v>
      </c>
      <c r="N1126" s="8" t="s">
        <v>5059</v>
      </c>
      <c r="O1126" s="8" t="s">
        <v>554</v>
      </c>
      <c r="P1126" s="8" t="s">
        <v>405</v>
      </c>
      <c r="Q1126" s="12" t="s">
        <v>5060</v>
      </c>
      <c r="R1126" s="8" t="s">
        <v>100</v>
      </c>
      <c r="S1126" s="7" t="s">
        <v>28</v>
      </c>
      <c r="T1126" s="6"/>
      <c r="U1126" s="8"/>
    </row>
    <row r="1127" spans="1:34" ht="13.5" customHeight="1">
      <c r="A1127" s="8" t="s">
        <v>5061</v>
      </c>
      <c r="B1127" s="16">
        <v>49</v>
      </c>
      <c r="C1127" s="8" t="s">
        <v>20</v>
      </c>
      <c r="D1127" s="8" t="s">
        <v>37</v>
      </c>
      <c r="E1127" s="8" t="s">
        <v>5062</v>
      </c>
      <c r="F1127" s="17">
        <v>42013</v>
      </c>
      <c r="G1127" s="8" t="s">
        <v>5063</v>
      </c>
      <c r="H1127" s="8" t="s">
        <v>5064</v>
      </c>
      <c r="I1127" s="8" t="s">
        <v>243</v>
      </c>
      <c r="J1127" s="16" t="s">
        <v>5065</v>
      </c>
      <c r="K1127" s="2" t="s">
        <v>5066</v>
      </c>
      <c r="L1127" s="8" t="s">
        <v>5067</v>
      </c>
      <c r="M1127" s="8" t="s">
        <v>27</v>
      </c>
      <c r="N1127" s="8" t="s">
        <v>5068</v>
      </c>
      <c r="O1127" s="8" t="s">
        <v>1018</v>
      </c>
      <c r="P1127" s="8" t="s">
        <v>405</v>
      </c>
      <c r="Q1127" s="12" t="s">
        <v>5069</v>
      </c>
      <c r="R1127" s="8" t="s">
        <v>559</v>
      </c>
      <c r="S1127" s="7" t="s">
        <v>28</v>
      </c>
      <c r="T1127" s="6"/>
      <c r="U1127" s="8"/>
    </row>
    <row r="1128" spans="1:34" ht="13.5" customHeight="1">
      <c r="A1128" s="8" t="s">
        <v>5070</v>
      </c>
      <c r="B1128" s="16">
        <v>36</v>
      </c>
      <c r="C1128" s="8" t="s">
        <v>20</v>
      </c>
      <c r="D1128" s="8" t="s">
        <v>85</v>
      </c>
      <c r="E1128" s="8" t="s">
        <v>5071</v>
      </c>
      <c r="F1128" s="17">
        <v>42012</v>
      </c>
      <c r="G1128" s="8" t="s">
        <v>5072</v>
      </c>
      <c r="H1128" s="8" t="s">
        <v>5073</v>
      </c>
      <c r="I1128" s="8" t="s">
        <v>986</v>
      </c>
      <c r="J1128" s="16" t="s">
        <v>5074</v>
      </c>
      <c r="K1128" s="2" t="s">
        <v>676</v>
      </c>
      <c r="L1128" s="8" t="s">
        <v>5075</v>
      </c>
      <c r="M1128" s="8" t="s">
        <v>27</v>
      </c>
      <c r="N1128" s="8" t="s">
        <v>5076</v>
      </c>
      <c r="O1128" s="8" t="s">
        <v>404</v>
      </c>
      <c r="P1128" s="8" t="s">
        <v>405</v>
      </c>
      <c r="Q1128" s="12"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1128" s="8" t="s">
        <v>100</v>
      </c>
      <c r="S1128" s="7" t="s">
        <v>28</v>
      </c>
      <c r="T1128" s="6"/>
      <c r="U1128" s="8"/>
    </row>
    <row r="1129" spans="1:34" ht="13.5" customHeight="1">
      <c r="A1129" s="8" t="s">
        <v>5077</v>
      </c>
      <c r="B1129" s="16">
        <v>42</v>
      </c>
      <c r="C1129" s="8" t="s">
        <v>20</v>
      </c>
      <c r="D1129" s="8" t="s">
        <v>37</v>
      </c>
      <c r="E1129" s="8" t="s">
        <v>5078</v>
      </c>
      <c r="F1129" s="17">
        <v>42012</v>
      </c>
      <c r="G1129" s="8" t="s">
        <v>5079</v>
      </c>
      <c r="H1129" s="8" t="s">
        <v>242</v>
      </c>
      <c r="I1129" s="8" t="s">
        <v>243</v>
      </c>
      <c r="J1129" s="16" t="s">
        <v>5080</v>
      </c>
      <c r="K1129" s="2" t="s">
        <v>617</v>
      </c>
      <c r="L1129" s="8" t="s">
        <v>244</v>
      </c>
      <c r="M1129" s="8" t="s">
        <v>27</v>
      </c>
      <c r="N1129" s="8" t="s">
        <v>5081</v>
      </c>
      <c r="O1129" s="8" t="s">
        <v>404</v>
      </c>
      <c r="P1129" s="8" t="s">
        <v>405</v>
      </c>
      <c r="Q1129" s="12" t="s">
        <v>5082</v>
      </c>
      <c r="R1129" s="8" t="s">
        <v>29</v>
      </c>
      <c r="S1129" s="7" t="s">
        <v>35</v>
      </c>
      <c r="T1129" s="6"/>
      <c r="U1129" s="8"/>
    </row>
    <row r="1130" spans="1:34" ht="13.5" customHeight="1">
      <c r="A1130" s="8" t="s">
        <v>5083</v>
      </c>
      <c r="B1130" s="16">
        <v>28</v>
      </c>
      <c r="C1130" s="8" t="s">
        <v>20</v>
      </c>
      <c r="D1130" s="8" t="s">
        <v>37</v>
      </c>
      <c r="E1130" s="8" t="s">
        <v>5084</v>
      </c>
      <c r="F1130" s="17">
        <v>42012</v>
      </c>
      <c r="G1130" s="8" t="s">
        <v>5085</v>
      </c>
      <c r="H1130" s="8" t="s">
        <v>5086</v>
      </c>
      <c r="I1130" s="8" t="s">
        <v>862</v>
      </c>
      <c r="J1130" s="16" t="s">
        <v>5087</v>
      </c>
      <c r="K1130" s="2" t="s">
        <v>4631</v>
      </c>
      <c r="L1130" s="8" t="s">
        <v>5088</v>
      </c>
      <c r="M1130" s="8" t="s">
        <v>27</v>
      </c>
      <c r="N1130" s="8" t="s">
        <v>5089</v>
      </c>
      <c r="O1130" s="8" t="s">
        <v>404</v>
      </c>
      <c r="P1130" s="8" t="s">
        <v>405</v>
      </c>
      <c r="Q1130" s="12" t="s">
        <v>5090</v>
      </c>
      <c r="R1130" s="8" t="s">
        <v>100</v>
      </c>
      <c r="S1130" s="7" t="s">
        <v>383</v>
      </c>
      <c r="T1130" s="6"/>
      <c r="U1130" s="8"/>
    </row>
    <row r="1131" spans="1:34" ht="13.5" customHeight="1">
      <c r="A1131" s="8" t="s">
        <v>5110</v>
      </c>
      <c r="B1131" s="16">
        <v>42</v>
      </c>
      <c r="C1131" s="8" t="s">
        <v>20</v>
      </c>
      <c r="D1131" s="8" t="s">
        <v>85</v>
      </c>
      <c r="E1131" s="8" t="s">
        <v>5111</v>
      </c>
      <c r="F1131" s="17">
        <v>42011</v>
      </c>
      <c r="G1131" s="8" t="s">
        <v>5112</v>
      </c>
      <c r="H1131" s="8" t="s">
        <v>3353</v>
      </c>
      <c r="I1131" s="8" t="s">
        <v>467</v>
      </c>
      <c r="J1131" s="16" t="s">
        <v>5113</v>
      </c>
      <c r="K1131" s="2" t="s">
        <v>2179</v>
      </c>
      <c r="L1131" s="8" t="s">
        <v>5114</v>
      </c>
      <c r="M1131" s="8" t="s">
        <v>1706</v>
      </c>
      <c r="N1131" s="8" t="s">
        <v>5115</v>
      </c>
      <c r="O1131" s="8" t="s">
        <v>404</v>
      </c>
      <c r="P1131" s="8" t="s">
        <v>405</v>
      </c>
      <c r="Q1131" s="12"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1131" s="8" t="s">
        <v>29</v>
      </c>
      <c r="S1131" s="7" t="s">
        <v>18</v>
      </c>
      <c r="T1131" s="6"/>
      <c r="U1131" s="8"/>
    </row>
    <row r="1132" spans="1:34" ht="13.5" customHeight="1">
      <c r="A1132" s="8" t="s">
        <v>5091</v>
      </c>
      <c r="B1132" s="16">
        <v>41</v>
      </c>
      <c r="C1132" s="8" t="s">
        <v>20</v>
      </c>
      <c r="D1132" s="8" t="s">
        <v>85</v>
      </c>
      <c r="E1132" s="8" t="s">
        <v>5092</v>
      </c>
      <c r="F1132" s="17">
        <v>42011</v>
      </c>
      <c r="G1132" s="8" t="s">
        <v>5093</v>
      </c>
      <c r="H1132" s="8" t="s">
        <v>1300</v>
      </c>
      <c r="I1132" s="8" t="s">
        <v>69</v>
      </c>
      <c r="J1132" s="16" t="s">
        <v>5094</v>
      </c>
      <c r="K1132" s="2" t="s">
        <v>1301</v>
      </c>
      <c r="L1132" s="8" t="s">
        <v>12726</v>
      </c>
      <c r="M1132" s="8" t="s">
        <v>27</v>
      </c>
      <c r="N1132" s="8" t="s">
        <v>5095</v>
      </c>
      <c r="O1132" s="8" t="s">
        <v>554</v>
      </c>
      <c r="P1132" s="8" t="s">
        <v>405</v>
      </c>
      <c r="Q1132" s="12" t="s">
        <v>5096</v>
      </c>
      <c r="R1132" s="8" t="s">
        <v>29</v>
      </c>
      <c r="S1132" s="7" t="s">
        <v>28</v>
      </c>
      <c r="T1132" s="6"/>
      <c r="U1132" s="8"/>
    </row>
    <row r="1133" spans="1:34" ht="13.5" customHeight="1">
      <c r="A1133" s="8" t="s">
        <v>5122</v>
      </c>
      <c r="B1133" s="16">
        <v>31</v>
      </c>
      <c r="C1133" s="8" t="s">
        <v>20</v>
      </c>
      <c r="D1133" s="8" t="s">
        <v>37</v>
      </c>
      <c r="E1133" s="8" t="s">
        <v>5123</v>
      </c>
      <c r="F1133" s="17">
        <v>42011</v>
      </c>
      <c r="G1133" s="8" t="s">
        <v>5124</v>
      </c>
      <c r="H1133" s="8" t="s">
        <v>5125</v>
      </c>
      <c r="I1133" s="8" t="s">
        <v>44</v>
      </c>
      <c r="J1133" s="16" t="s">
        <v>5126</v>
      </c>
      <c r="K1133" s="2" t="s">
        <v>88</v>
      </c>
      <c r="L1133" s="8" t="s">
        <v>5127</v>
      </c>
      <c r="M1133" s="8" t="s">
        <v>27</v>
      </c>
      <c r="N1133" s="8" t="s">
        <v>5128</v>
      </c>
      <c r="O1133" s="8" t="s">
        <v>404</v>
      </c>
      <c r="P1133" s="8" t="s">
        <v>405</v>
      </c>
      <c r="Q1133" s="12" t="s">
        <v>5129</v>
      </c>
      <c r="R1133" s="8" t="s">
        <v>29</v>
      </c>
      <c r="S1133" s="7" t="s">
        <v>383</v>
      </c>
      <c r="T1133" s="6"/>
      <c r="U1133" s="8"/>
    </row>
    <row r="1134" spans="1:34" ht="13.5" customHeight="1">
      <c r="A1134" s="8" t="s">
        <v>5116</v>
      </c>
      <c r="B1134" s="16">
        <v>30</v>
      </c>
      <c r="C1134" s="8" t="s">
        <v>20</v>
      </c>
      <c r="D1134" s="8" t="s">
        <v>37</v>
      </c>
      <c r="E1134" s="8" t="s">
        <v>5117</v>
      </c>
      <c r="F1134" s="17">
        <v>42011</v>
      </c>
      <c r="G1134" s="8" t="s">
        <v>5118</v>
      </c>
      <c r="H1134" s="8" t="s">
        <v>1879</v>
      </c>
      <c r="I1134" s="8" t="s">
        <v>374</v>
      </c>
      <c r="J1134" s="16" t="s">
        <v>5119</v>
      </c>
      <c r="K1134" s="2" t="s">
        <v>1881</v>
      </c>
      <c r="L1134" s="8" t="s">
        <v>1882</v>
      </c>
      <c r="M1134" s="8" t="s">
        <v>27</v>
      </c>
      <c r="N1134" s="8" t="s">
        <v>5120</v>
      </c>
      <c r="O1134" s="8" t="s">
        <v>404</v>
      </c>
      <c r="P1134" s="8" t="s">
        <v>405</v>
      </c>
      <c r="Q1134" s="12" t="s">
        <v>5121</v>
      </c>
      <c r="R1134" s="8" t="s">
        <v>100</v>
      </c>
      <c r="S1134" s="7" t="s">
        <v>28</v>
      </c>
      <c r="T1134" s="6"/>
      <c r="U1134" s="8"/>
    </row>
    <row r="1135" spans="1:34" ht="13.5" customHeight="1">
      <c r="A1135" s="8" t="s">
        <v>5105</v>
      </c>
      <c r="B1135" s="16">
        <v>37</v>
      </c>
      <c r="C1135" s="8" t="s">
        <v>20</v>
      </c>
      <c r="D1135" s="8" t="s">
        <v>85</v>
      </c>
      <c r="F1135" s="17">
        <v>42011</v>
      </c>
      <c r="G1135" s="8" t="s">
        <v>5106</v>
      </c>
      <c r="H1135" s="8" t="s">
        <v>1048</v>
      </c>
      <c r="I1135" s="8" t="s">
        <v>25</v>
      </c>
      <c r="J1135" s="16" t="s">
        <v>5107</v>
      </c>
      <c r="K1135" s="2" t="s">
        <v>2605</v>
      </c>
      <c r="L1135" s="8" t="s">
        <v>1050</v>
      </c>
      <c r="M1135" s="8" t="s">
        <v>27</v>
      </c>
      <c r="N1135" s="8" t="s">
        <v>5108</v>
      </c>
      <c r="O1135" s="8" t="s">
        <v>554</v>
      </c>
      <c r="P1135" s="8" t="s">
        <v>405</v>
      </c>
      <c r="Q1135" s="12" t="s">
        <v>5109</v>
      </c>
      <c r="R1135" s="8" t="s">
        <v>100</v>
      </c>
      <c r="S1135" s="7" t="s">
        <v>28</v>
      </c>
      <c r="T1135" s="6"/>
      <c r="U1135" s="8"/>
    </row>
    <row r="1136" spans="1:34" ht="13.5" customHeight="1">
      <c r="A1136" s="8" t="s">
        <v>5097</v>
      </c>
      <c r="B1136" s="16">
        <v>31</v>
      </c>
      <c r="C1136" s="8" t="s">
        <v>20</v>
      </c>
      <c r="D1136" s="8" t="s">
        <v>85</v>
      </c>
      <c r="E1136" s="8" t="s">
        <v>5098</v>
      </c>
      <c r="F1136" s="17">
        <v>42011</v>
      </c>
      <c r="G1136" s="8" t="s">
        <v>5099</v>
      </c>
      <c r="H1136" s="8" t="s">
        <v>5100</v>
      </c>
      <c r="I1136" s="8" t="s">
        <v>73</v>
      </c>
      <c r="J1136" s="16" t="s">
        <v>5101</v>
      </c>
      <c r="K1136" s="2" t="s">
        <v>4991</v>
      </c>
      <c r="L1136" s="8" t="s">
        <v>5102</v>
      </c>
      <c r="M1136" s="8" t="s">
        <v>27</v>
      </c>
      <c r="N1136" s="8" t="s">
        <v>5103</v>
      </c>
      <c r="O1136" s="8" t="s">
        <v>554</v>
      </c>
      <c r="P1136" s="8" t="s">
        <v>405</v>
      </c>
      <c r="Q1136" s="12" t="s">
        <v>5104</v>
      </c>
      <c r="R1136" s="8" t="s">
        <v>100</v>
      </c>
      <c r="S1136" s="7" t="s">
        <v>28</v>
      </c>
      <c r="T1136" s="6"/>
      <c r="U1136" s="8"/>
    </row>
    <row r="1137" spans="1:39" ht="13.5" customHeight="1">
      <c r="A1137" s="8" t="s">
        <v>5157</v>
      </c>
      <c r="B1137" s="16">
        <v>35</v>
      </c>
      <c r="C1137" s="8" t="s">
        <v>115</v>
      </c>
      <c r="D1137" s="8" t="s">
        <v>37</v>
      </c>
      <c r="E1137" s="8" t="s">
        <v>5158</v>
      </c>
      <c r="F1137" s="17">
        <v>42010</v>
      </c>
      <c r="G1137" s="8" t="s">
        <v>5159</v>
      </c>
      <c r="H1137" s="8" t="s">
        <v>5160</v>
      </c>
      <c r="I1137" s="8" t="s">
        <v>374</v>
      </c>
      <c r="J1137" s="16" t="s">
        <v>5161</v>
      </c>
      <c r="K1137" s="2" t="s">
        <v>1879</v>
      </c>
      <c r="L1137" s="8" t="s">
        <v>5162</v>
      </c>
      <c r="M1137" s="8" t="s">
        <v>27</v>
      </c>
      <c r="N1137" s="8" t="s">
        <v>5163</v>
      </c>
      <c r="O1137" s="8" t="s">
        <v>1018</v>
      </c>
      <c r="P1137" s="8" t="s">
        <v>405</v>
      </c>
      <c r="Q1137" s="12"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1137" s="8" t="s">
        <v>29</v>
      </c>
      <c r="S1137" s="7" t="s">
        <v>28</v>
      </c>
      <c r="T1137" s="6"/>
      <c r="U1137" s="8"/>
    </row>
    <row r="1138" spans="1:39" ht="13.5" customHeight="1">
      <c r="A1138" s="8" t="s">
        <v>5130</v>
      </c>
      <c r="B1138" s="16">
        <v>26</v>
      </c>
      <c r="C1138" s="8" t="s">
        <v>20</v>
      </c>
      <c r="D1138" s="8" t="s">
        <v>85</v>
      </c>
      <c r="F1138" s="17">
        <v>42010</v>
      </c>
      <c r="G1138" s="8" t="s">
        <v>5131</v>
      </c>
      <c r="H1138" s="8" t="s">
        <v>98</v>
      </c>
      <c r="I1138" s="8" t="s">
        <v>45</v>
      </c>
      <c r="J1138" s="16" t="s">
        <v>5132</v>
      </c>
      <c r="K1138" s="2" t="s">
        <v>98</v>
      </c>
      <c r="L1138" s="8" t="s">
        <v>5043</v>
      </c>
      <c r="M1138" s="8" t="s">
        <v>1706</v>
      </c>
      <c r="N1138" s="8" t="s">
        <v>5133</v>
      </c>
      <c r="O1138" s="8" t="s">
        <v>404</v>
      </c>
      <c r="P1138" s="8" t="s">
        <v>405</v>
      </c>
      <c r="Q1138" s="12" t="str">
        <f>HYPERLINK("http://www.latimes.com/local/lanow/la-me-ln-taser-death-20150107-story.html","http://www.latimes.com/local/lanow/la-me-ln-taser-death-20150107-story.html")</f>
        <v>http://www.latimes.com/local/lanow/la-me-ln-taser-death-20150107-story.html</v>
      </c>
      <c r="R1138" s="8" t="s">
        <v>972</v>
      </c>
      <c r="S1138" s="7" t="s">
        <v>18</v>
      </c>
      <c r="T1138" s="6"/>
      <c r="U1138" s="8"/>
    </row>
    <row r="1139" spans="1:39" ht="13.5" customHeight="1">
      <c r="A1139" s="8" t="s">
        <v>5148</v>
      </c>
      <c r="B1139" s="16">
        <v>35</v>
      </c>
      <c r="C1139" s="8" t="s">
        <v>20</v>
      </c>
      <c r="D1139" s="8" t="s">
        <v>37</v>
      </c>
      <c r="E1139" s="8" t="s">
        <v>5149</v>
      </c>
      <c r="F1139" s="17">
        <v>42010</v>
      </c>
      <c r="G1139" s="8" t="s">
        <v>5150</v>
      </c>
      <c r="H1139" s="8" t="s">
        <v>5151</v>
      </c>
      <c r="I1139" s="8" t="s">
        <v>367</v>
      </c>
      <c r="J1139" s="16" t="s">
        <v>5152</v>
      </c>
      <c r="K1139" s="2" t="s">
        <v>5153</v>
      </c>
      <c r="L1139" s="8" t="s">
        <v>5154</v>
      </c>
      <c r="M1139" s="8" t="s">
        <v>27</v>
      </c>
      <c r="N1139" s="8" t="s">
        <v>5155</v>
      </c>
      <c r="O1139" s="8" t="s">
        <v>554</v>
      </c>
      <c r="P1139" s="8" t="s">
        <v>405</v>
      </c>
      <c r="Q1139" s="12" t="s">
        <v>5156</v>
      </c>
      <c r="R1139" s="8" t="s">
        <v>972</v>
      </c>
      <c r="S1139" s="7" t="s">
        <v>28</v>
      </c>
      <c r="T1139" s="6"/>
      <c r="U1139" s="8"/>
    </row>
    <row r="1140" spans="1:39" ht="13.5" customHeight="1">
      <c r="A1140" s="8" t="s">
        <v>5134</v>
      </c>
      <c r="B1140" s="16">
        <v>47</v>
      </c>
      <c r="C1140" s="8" t="s">
        <v>20</v>
      </c>
      <c r="D1140" s="8" t="s">
        <v>85</v>
      </c>
      <c r="E1140" s="8" t="s">
        <v>5135</v>
      </c>
      <c r="F1140" s="17">
        <v>42010</v>
      </c>
      <c r="G1140" s="8" t="s">
        <v>5136</v>
      </c>
      <c r="H1140" s="8" t="s">
        <v>391</v>
      </c>
      <c r="I1140" s="8" t="s">
        <v>408</v>
      </c>
      <c r="J1140" s="16" t="s">
        <v>5137</v>
      </c>
      <c r="K1140" s="2" t="s">
        <v>1651</v>
      </c>
      <c r="L1140" s="8" t="s">
        <v>5704</v>
      </c>
      <c r="M1140" s="8" t="s">
        <v>27</v>
      </c>
      <c r="N1140" s="8" t="s">
        <v>5138</v>
      </c>
      <c r="O1140" s="8" t="s">
        <v>1018</v>
      </c>
      <c r="P1140" s="8" t="s">
        <v>405</v>
      </c>
      <c r="Q1140" s="12" t="s">
        <v>5139</v>
      </c>
      <c r="R1140" s="8" t="s">
        <v>100</v>
      </c>
      <c r="S1140" s="7" t="s">
        <v>18</v>
      </c>
      <c r="T1140" s="6"/>
      <c r="U1140" s="8"/>
    </row>
    <row r="1141" spans="1:39" ht="13.5" customHeight="1">
      <c r="A1141" s="8" t="s">
        <v>5164</v>
      </c>
      <c r="B1141" s="16">
        <v>47</v>
      </c>
      <c r="C1141" s="8" t="s">
        <v>20</v>
      </c>
      <c r="D1141" s="8" t="s">
        <v>37</v>
      </c>
      <c r="F1141" s="17">
        <v>42010</v>
      </c>
      <c r="H1141" s="8" t="s">
        <v>5165</v>
      </c>
      <c r="I1141" s="8" t="s">
        <v>175</v>
      </c>
      <c r="J1141" s="16">
        <v>30143</v>
      </c>
      <c r="K1141" s="2" t="s">
        <v>5166</v>
      </c>
      <c r="L1141" s="8" t="s">
        <v>5167</v>
      </c>
      <c r="M1141" s="8" t="s">
        <v>27</v>
      </c>
      <c r="N1141" s="8" t="s">
        <v>5168</v>
      </c>
      <c r="P1141" s="8" t="s">
        <v>405</v>
      </c>
      <c r="Q1141"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S1141" s="7" t="s">
        <v>28</v>
      </c>
      <c r="T1141" s="6"/>
      <c r="U1141" s="8"/>
    </row>
    <row r="1142" spans="1:39" ht="13.5" customHeight="1">
      <c r="A1142" s="8" t="s">
        <v>5140</v>
      </c>
      <c r="B1142" s="16">
        <v>25</v>
      </c>
      <c r="C1142" s="8" t="s">
        <v>20</v>
      </c>
      <c r="D1142" s="8" t="s">
        <v>37</v>
      </c>
      <c r="E1142" s="8" t="s">
        <v>5141</v>
      </c>
      <c r="F1142" s="17">
        <v>42010</v>
      </c>
      <c r="G1142" s="8" t="s">
        <v>5142</v>
      </c>
      <c r="H1142" s="8" t="s">
        <v>1777</v>
      </c>
      <c r="I1142" s="8" t="s">
        <v>45</v>
      </c>
      <c r="J1142" s="16" t="s">
        <v>5143</v>
      </c>
      <c r="K1142" s="2" t="s">
        <v>1779</v>
      </c>
      <c r="L1142" s="8" t="s">
        <v>1780</v>
      </c>
      <c r="M1142" s="8" t="s">
        <v>27</v>
      </c>
      <c r="N1142" s="8" t="s">
        <v>5145</v>
      </c>
      <c r="O1142" s="8" t="s">
        <v>1018</v>
      </c>
      <c r="P1142" s="8" t="s">
        <v>405</v>
      </c>
      <c r="Q1142" s="12" t="s">
        <v>5146</v>
      </c>
      <c r="R1142" s="8" t="s">
        <v>5147</v>
      </c>
      <c r="S1142" s="7" t="s">
        <v>28</v>
      </c>
      <c r="T1142" s="6"/>
      <c r="U1142" s="8"/>
    </row>
    <row r="1143" spans="1:39" ht="13.5" customHeight="1">
      <c r="A1143" s="8" t="s">
        <v>5169</v>
      </c>
      <c r="B1143" s="16">
        <v>22</v>
      </c>
      <c r="C1143" s="8" t="s">
        <v>20</v>
      </c>
      <c r="D1143" s="8" t="s">
        <v>48</v>
      </c>
      <c r="E1143" s="8" t="s">
        <v>5170</v>
      </c>
      <c r="F1143" s="17">
        <v>42009</v>
      </c>
      <c r="G1143" s="8" t="s">
        <v>5171</v>
      </c>
      <c r="H1143" s="8" t="s">
        <v>5172</v>
      </c>
      <c r="I1143" s="8" t="s">
        <v>124</v>
      </c>
      <c r="J1143" s="16" t="s">
        <v>5173</v>
      </c>
      <c r="K1143" s="2" t="s">
        <v>639</v>
      </c>
      <c r="L1143" s="8" t="s">
        <v>5174</v>
      </c>
      <c r="M1143" s="8" t="s">
        <v>27</v>
      </c>
      <c r="N1143" s="8" t="s">
        <v>5175</v>
      </c>
      <c r="O1143" s="8" t="s">
        <v>1018</v>
      </c>
      <c r="P1143" s="8" t="s">
        <v>405</v>
      </c>
      <c r="Q1143" s="12" t="s">
        <v>5176</v>
      </c>
      <c r="R1143" s="8" t="s">
        <v>100</v>
      </c>
      <c r="S1143" s="7" t="s">
        <v>28</v>
      </c>
      <c r="T1143" s="6"/>
      <c r="U1143" s="8"/>
    </row>
    <row r="1144" spans="1:39" ht="13.5" customHeight="1">
      <c r="A1144" s="8" t="s">
        <v>5185</v>
      </c>
      <c r="B1144" s="16">
        <v>18</v>
      </c>
      <c r="C1144" s="8" t="s">
        <v>20</v>
      </c>
      <c r="D1144" s="8" t="s">
        <v>37</v>
      </c>
      <c r="E1144" s="8" t="s">
        <v>5186</v>
      </c>
      <c r="F1144" s="17">
        <v>42008</v>
      </c>
      <c r="G1144" s="8" t="s">
        <v>5187</v>
      </c>
      <c r="H1144" s="8" t="s">
        <v>5188</v>
      </c>
      <c r="I1144" s="8" t="s">
        <v>399</v>
      </c>
      <c r="J1144" s="16" t="s">
        <v>5189</v>
      </c>
      <c r="K1144" s="2" t="s">
        <v>998</v>
      </c>
      <c r="L1144" s="8" t="s">
        <v>2062</v>
      </c>
      <c r="M1144" s="8" t="s">
        <v>27</v>
      </c>
      <c r="N1144" s="8" t="s">
        <v>5190</v>
      </c>
      <c r="O1144" s="8" t="s">
        <v>1018</v>
      </c>
      <c r="P1144" s="8" t="s">
        <v>405</v>
      </c>
      <c r="Q1144" s="12" t="s">
        <v>5191</v>
      </c>
      <c r="R1144" s="8" t="s">
        <v>100</v>
      </c>
      <c r="S1144" s="7" t="s">
        <v>28</v>
      </c>
      <c r="T1144" s="6"/>
      <c r="U1144" s="8"/>
    </row>
    <row r="1145" spans="1:39" ht="13.5" customHeight="1">
      <c r="A1145" s="8" t="s">
        <v>5192</v>
      </c>
      <c r="B1145" s="16">
        <v>32</v>
      </c>
      <c r="C1145" s="8" t="s">
        <v>20</v>
      </c>
      <c r="D1145" s="8" t="s">
        <v>37</v>
      </c>
      <c r="F1145" s="17">
        <v>42008</v>
      </c>
      <c r="G1145" s="8" t="s">
        <v>5193</v>
      </c>
      <c r="H1145" s="8" t="s">
        <v>953</v>
      </c>
      <c r="I1145" s="8" t="s">
        <v>45</v>
      </c>
      <c r="J1145" s="16" t="s">
        <v>4058</v>
      </c>
      <c r="K1145" s="2" t="s">
        <v>953</v>
      </c>
      <c r="L1145" s="8" t="s">
        <v>954</v>
      </c>
      <c r="M1145" s="8" t="s">
        <v>27</v>
      </c>
      <c r="N1145" s="8" t="s">
        <v>5194</v>
      </c>
      <c r="O1145" s="8" t="s">
        <v>4742</v>
      </c>
      <c r="P1145" s="8" t="s">
        <v>405</v>
      </c>
      <c r="Q1145" s="12" t="s">
        <v>5195</v>
      </c>
      <c r="R1145" s="8" t="s">
        <v>29</v>
      </c>
      <c r="S1145" s="7" t="s">
        <v>18</v>
      </c>
      <c r="T1145" s="6"/>
      <c r="U1145" s="8"/>
    </row>
    <row r="1146" spans="1:39" ht="13.5" customHeight="1">
      <c r="A1146" s="8" t="s">
        <v>5196</v>
      </c>
      <c r="B1146" s="16">
        <v>19</v>
      </c>
      <c r="C1146" s="8" t="s">
        <v>20</v>
      </c>
      <c r="D1146" s="8" t="s">
        <v>37</v>
      </c>
      <c r="E1146" s="8" t="s">
        <v>5197</v>
      </c>
      <c r="F1146" s="17">
        <v>42008</v>
      </c>
      <c r="G1146" s="8" t="s">
        <v>5198</v>
      </c>
      <c r="H1146" s="8" t="s">
        <v>5199</v>
      </c>
      <c r="I1146" s="8" t="s">
        <v>878</v>
      </c>
      <c r="J1146" s="16" t="s">
        <v>5200</v>
      </c>
      <c r="K1146" s="2" t="s">
        <v>5201</v>
      </c>
      <c r="L1146" s="8" t="s">
        <v>5202</v>
      </c>
      <c r="M1146" s="8" t="s">
        <v>383</v>
      </c>
      <c r="N1146" s="8" t="s">
        <v>5203</v>
      </c>
      <c r="O1146" s="8" t="s">
        <v>1018</v>
      </c>
      <c r="P1146" s="8" t="s">
        <v>405</v>
      </c>
      <c r="Q1146" s="12" t="s">
        <v>5204</v>
      </c>
      <c r="R1146" s="8" t="s">
        <v>100</v>
      </c>
      <c r="S1146" s="7" t="s">
        <v>18</v>
      </c>
      <c r="T1146" s="6"/>
      <c r="U1146" s="8"/>
    </row>
    <row r="1147" spans="1:39" ht="13.5" customHeight="1">
      <c r="A1147" s="8" t="s">
        <v>5177</v>
      </c>
      <c r="B1147" s="16">
        <v>39</v>
      </c>
      <c r="C1147" s="8" t="s">
        <v>20</v>
      </c>
      <c r="D1147" s="8" t="s">
        <v>48</v>
      </c>
      <c r="E1147" s="8" t="s">
        <v>5178</v>
      </c>
      <c r="F1147" s="17">
        <v>42008</v>
      </c>
      <c r="G1147" s="8" t="s">
        <v>5179</v>
      </c>
      <c r="H1147" s="8" t="s">
        <v>5180</v>
      </c>
      <c r="I1147" s="8" t="s">
        <v>212</v>
      </c>
      <c r="J1147" s="16" t="s">
        <v>5181</v>
      </c>
      <c r="K1147" s="2" t="s">
        <v>1722</v>
      </c>
      <c r="L1147" s="8" t="s">
        <v>5182</v>
      </c>
      <c r="M1147" s="8" t="s">
        <v>27</v>
      </c>
      <c r="N1147" s="8" t="s">
        <v>5183</v>
      </c>
      <c r="O1147" s="8" t="s">
        <v>554</v>
      </c>
      <c r="P1147" s="8" t="s">
        <v>405</v>
      </c>
      <c r="Q1147" s="12" t="s">
        <v>5184</v>
      </c>
      <c r="R1147" s="8" t="s">
        <v>100</v>
      </c>
      <c r="S1147" s="7" t="s">
        <v>28</v>
      </c>
      <c r="T1147" s="6"/>
      <c r="U1147" s="8"/>
    </row>
    <row r="1148" spans="1:39" ht="13.5" customHeight="1">
      <c r="A1148" s="8" t="s">
        <v>5205</v>
      </c>
      <c r="B1148" s="16">
        <v>23</v>
      </c>
      <c r="C1148" s="8" t="s">
        <v>20</v>
      </c>
      <c r="D1148" s="8" t="s">
        <v>48</v>
      </c>
      <c r="E1148" s="8" t="s">
        <v>5206</v>
      </c>
      <c r="F1148" s="17">
        <v>42007</v>
      </c>
      <c r="G1148" s="8" t="s">
        <v>5207</v>
      </c>
      <c r="H1148" s="8" t="s">
        <v>690</v>
      </c>
      <c r="I1148" s="8" t="s">
        <v>367</v>
      </c>
      <c r="J1148" s="16" t="s">
        <v>5208</v>
      </c>
      <c r="K1148" s="2" t="s">
        <v>691</v>
      </c>
      <c r="L1148" s="8" t="s">
        <v>692</v>
      </c>
      <c r="M1148" s="8" t="s">
        <v>27</v>
      </c>
      <c r="N1148" s="8" t="s">
        <v>5209</v>
      </c>
      <c r="O1148" s="8" t="s">
        <v>1018</v>
      </c>
      <c r="P1148" s="8" t="s">
        <v>405</v>
      </c>
      <c r="Q1148" s="12" t="s">
        <v>5210</v>
      </c>
      <c r="R1148" s="8" t="s">
        <v>100</v>
      </c>
      <c r="S1148" s="7" t="s">
        <v>28</v>
      </c>
      <c r="T1148" s="6"/>
      <c r="U1148" s="8"/>
      <c r="V1148" s="8"/>
      <c r="W1148" s="8"/>
      <c r="X1148" s="8"/>
    </row>
    <row r="1149" spans="1:39" ht="13.5" customHeight="1">
      <c r="A1149" s="8" t="s">
        <v>5218</v>
      </c>
      <c r="B1149" s="16">
        <v>47</v>
      </c>
      <c r="C1149" s="8" t="s">
        <v>20</v>
      </c>
      <c r="D1149" s="8" t="s">
        <v>30</v>
      </c>
      <c r="F1149" s="17">
        <v>42006</v>
      </c>
      <c r="G1149" s="8" t="s">
        <v>5219</v>
      </c>
      <c r="H1149" s="8" t="s">
        <v>117</v>
      </c>
      <c r="I1149" s="8" t="s">
        <v>118</v>
      </c>
      <c r="J1149" s="16" t="s">
        <v>5220</v>
      </c>
      <c r="K1149" s="2" t="s">
        <v>119</v>
      </c>
      <c r="L1149" s="8" t="s">
        <v>120</v>
      </c>
      <c r="M1149" s="8" t="s">
        <v>27</v>
      </c>
      <c r="N1149" s="8" t="s">
        <v>5221</v>
      </c>
      <c r="O1149" s="8" t="s">
        <v>1018</v>
      </c>
      <c r="P1149" s="8" t="s">
        <v>405</v>
      </c>
      <c r="Q1149" s="12" t="s">
        <v>5222</v>
      </c>
      <c r="R1149" s="8" t="s">
        <v>972</v>
      </c>
      <c r="S1149" s="7" t="s">
        <v>28</v>
      </c>
      <c r="T1149" s="6"/>
      <c r="U1149" s="8"/>
    </row>
    <row r="1150" spans="1:39" ht="13.5" customHeight="1">
      <c r="A1150" s="8" t="s">
        <v>5211</v>
      </c>
      <c r="B1150" s="16">
        <v>53</v>
      </c>
      <c r="C1150" s="8" t="s">
        <v>20</v>
      </c>
      <c r="D1150" s="8" t="s">
        <v>21</v>
      </c>
      <c r="E1150" s="8" t="s">
        <v>5212</v>
      </c>
      <c r="F1150" s="17">
        <v>42006</v>
      </c>
      <c r="G1150" s="8" t="s">
        <v>5213</v>
      </c>
      <c r="H1150" s="8" t="s">
        <v>5214</v>
      </c>
      <c r="I1150" s="8" t="s">
        <v>306</v>
      </c>
      <c r="J1150" s="16" t="s">
        <v>5215</v>
      </c>
      <c r="K1150" s="2" t="s">
        <v>706</v>
      </c>
      <c r="L1150" s="8" t="s">
        <v>707</v>
      </c>
      <c r="M1150" s="8" t="s">
        <v>27</v>
      </c>
      <c r="N1150" s="8" t="s">
        <v>5216</v>
      </c>
      <c r="O1150" s="8" t="s">
        <v>1018</v>
      </c>
      <c r="P1150" s="8" t="s">
        <v>405</v>
      </c>
      <c r="Q1150" s="12" t="s">
        <v>5217</v>
      </c>
      <c r="R1150" s="8" t="s">
        <v>559</v>
      </c>
      <c r="S1150" s="7" t="s">
        <v>28</v>
      </c>
      <c r="T1150" s="6"/>
      <c r="U1150" s="8"/>
      <c r="AI1150" s="8"/>
      <c r="AJ1150" s="8"/>
      <c r="AK1150" s="8"/>
      <c r="AL1150" s="8"/>
      <c r="AM1150" s="8"/>
    </row>
    <row r="1151" spans="1:39" ht="13.5" customHeight="1">
      <c r="A1151" s="8" t="s">
        <v>5237</v>
      </c>
      <c r="B1151" s="16">
        <v>22</v>
      </c>
      <c r="C1151" s="8" t="s">
        <v>20</v>
      </c>
      <c r="D1151" s="8" t="s">
        <v>37</v>
      </c>
      <c r="E1151" s="8" t="s">
        <v>5238</v>
      </c>
      <c r="F1151" s="17">
        <v>42005</v>
      </c>
      <c r="G1151" s="8" t="s">
        <v>5239</v>
      </c>
      <c r="H1151" s="8" t="s">
        <v>3782</v>
      </c>
      <c r="I1151" s="8" t="s">
        <v>46</v>
      </c>
      <c r="J1151" s="16" t="s">
        <v>5240</v>
      </c>
      <c r="K1151" s="2" t="s">
        <v>5241</v>
      </c>
      <c r="L1151" s="8" t="s">
        <v>5242</v>
      </c>
      <c r="M1151" s="8" t="s">
        <v>383</v>
      </c>
      <c r="N1151" s="8" t="s">
        <v>5243</v>
      </c>
      <c r="O1151" s="8" t="s">
        <v>404</v>
      </c>
      <c r="P1151" s="8" t="s">
        <v>405</v>
      </c>
      <c r="Q1151" s="12" t="s">
        <v>5244</v>
      </c>
      <c r="R1151" s="8" t="s">
        <v>972</v>
      </c>
      <c r="S1151" s="7" t="s">
        <v>18</v>
      </c>
      <c r="T1151" s="6"/>
      <c r="U1151" s="8"/>
    </row>
    <row r="1152" spans="1:39" ht="13.5" customHeight="1">
      <c r="A1152" s="8" t="s">
        <v>5223</v>
      </c>
      <c r="B1152" s="16">
        <v>22</v>
      </c>
      <c r="C1152" s="8" t="s">
        <v>20</v>
      </c>
      <c r="D1152" s="8" t="s">
        <v>85</v>
      </c>
      <c r="E1152" s="8" t="s">
        <v>5224</v>
      </c>
      <c r="F1152" s="17">
        <v>42005</v>
      </c>
      <c r="G1152" s="8" t="s">
        <v>5225</v>
      </c>
      <c r="H1152" s="8" t="s">
        <v>5226</v>
      </c>
      <c r="I1152" s="8" t="s">
        <v>175</v>
      </c>
      <c r="J1152" s="16" t="s">
        <v>5227</v>
      </c>
      <c r="K1152" s="2" t="s">
        <v>3782</v>
      </c>
      <c r="L1152" s="8" t="s">
        <v>5228</v>
      </c>
      <c r="M1152" s="8" t="s">
        <v>29</v>
      </c>
      <c r="N1152" s="8" t="s">
        <v>5229</v>
      </c>
      <c r="O1152" s="8" t="s">
        <v>404</v>
      </c>
      <c r="P1152" s="8" t="s">
        <v>405</v>
      </c>
      <c r="Q1152" s="12" t="s">
        <v>5230</v>
      </c>
      <c r="R1152" s="8" t="s">
        <v>559</v>
      </c>
      <c r="S1152" s="7" t="s">
        <v>18</v>
      </c>
      <c r="T1152" s="6"/>
      <c r="U1152" s="8"/>
    </row>
    <row r="1153" spans="1:21" ht="13.5" customHeight="1">
      <c r="A1153" s="8" t="s">
        <v>5231</v>
      </c>
      <c r="B1153" s="16">
        <v>18</v>
      </c>
      <c r="C1153" s="8" t="s">
        <v>20</v>
      </c>
      <c r="D1153" s="8" t="s">
        <v>48</v>
      </c>
      <c r="E1153" s="8"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1153" s="17">
        <v>42005</v>
      </c>
      <c r="G1153" s="8" t="s">
        <v>5232</v>
      </c>
      <c r="H1153" s="8" t="s">
        <v>5233</v>
      </c>
      <c r="I1153" s="8" t="s">
        <v>62</v>
      </c>
      <c r="J1153" s="16" t="s">
        <v>5234</v>
      </c>
      <c r="K1153" s="2" t="s">
        <v>1115</v>
      </c>
      <c r="L1153" s="8" t="s">
        <v>5235</v>
      </c>
      <c r="M1153" s="8" t="s">
        <v>1706</v>
      </c>
      <c r="N1153" s="8" t="s">
        <v>5236</v>
      </c>
      <c r="O1153" s="8" t="s">
        <v>1018</v>
      </c>
      <c r="P1153" s="8" t="s">
        <v>405</v>
      </c>
      <c r="Q1153" s="12" t="str">
        <f>HYPERLINK("http://www.miamiherald.com/news/local/community/florida-keys/article5621958.html","http://www.miamiherald.com/news/local/community/florida-keys/article5621958.html")</f>
        <v>http://www.miamiherald.com/news/local/community/florida-keys/article5621958.html</v>
      </c>
      <c r="R1153" s="8" t="s">
        <v>972</v>
      </c>
      <c r="S1153" s="7" t="s">
        <v>18</v>
      </c>
      <c r="T1153" s="6"/>
      <c r="U1153" s="8"/>
    </row>
    <row r="1154" spans="1:21" ht="13.5" customHeight="1">
      <c r="A1154" s="8" t="s">
        <v>5271</v>
      </c>
      <c r="B1154" s="16">
        <v>79</v>
      </c>
      <c r="C1154" s="8" t="s">
        <v>115</v>
      </c>
      <c r="D1154" s="8" t="s">
        <v>37</v>
      </c>
      <c r="F1154" s="17">
        <v>42004</v>
      </c>
      <c r="H1154" s="8" t="s">
        <v>1104</v>
      </c>
      <c r="I1154" s="8" t="s">
        <v>399</v>
      </c>
      <c r="K1154" s="2" t="s">
        <v>1105</v>
      </c>
      <c r="L1154" s="8" t="s">
        <v>1106</v>
      </c>
      <c r="M1154" s="8" t="s">
        <v>383</v>
      </c>
      <c r="N1154" s="8" t="s">
        <v>5272</v>
      </c>
      <c r="O1154" s="8" t="s">
        <v>1804</v>
      </c>
      <c r="P1154" s="8" t="s">
        <v>1171</v>
      </c>
      <c r="Q1154" s="12" t="s">
        <v>5273</v>
      </c>
      <c r="R1154" s="8" t="s">
        <v>100</v>
      </c>
      <c r="S1154" s="7" t="s">
        <v>18</v>
      </c>
      <c r="T1154" s="6"/>
      <c r="U1154" s="8"/>
    </row>
    <row r="1155" spans="1:21" ht="13.5" customHeight="1">
      <c r="A1155" s="8" t="s">
        <v>5247</v>
      </c>
      <c r="B1155" s="16">
        <v>28</v>
      </c>
      <c r="C1155" s="8" t="s">
        <v>20</v>
      </c>
      <c r="D1155" s="8" t="s">
        <v>85</v>
      </c>
      <c r="E1155" s="8"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1155" s="17">
        <v>42004</v>
      </c>
      <c r="G1155" s="8" t="s">
        <v>5248</v>
      </c>
      <c r="H1155" s="8" t="s">
        <v>216</v>
      </c>
      <c r="I1155" s="8" t="s">
        <v>62</v>
      </c>
      <c r="J1155" s="16">
        <v>33150</v>
      </c>
      <c r="K1155" s="2" t="s">
        <v>1134</v>
      </c>
      <c r="L1155" s="8" t="s">
        <v>5249</v>
      </c>
      <c r="M1155" s="8" t="s">
        <v>27</v>
      </c>
      <c r="N1155" s="8" t="s">
        <v>5250</v>
      </c>
      <c r="P1155" s="8" t="s">
        <v>405</v>
      </c>
      <c r="Q1155" s="12" t="str">
        <f>HYPERLINK("http://www.local10.com/news/1-dead-in-new-years-eve-policeinvolved-shooting-in-miami/30477214","http://www.local10.com/news/1-dead-in-new-years-eve-policeinvolved-shooting-in-miami/30477214")</f>
        <v>http://www.local10.com/news/1-dead-in-new-years-eve-policeinvolved-shooting-in-miami/30477214</v>
      </c>
      <c r="R1155" s="8" t="s">
        <v>100</v>
      </c>
      <c r="S1155" s="7" t="s">
        <v>28</v>
      </c>
      <c r="T1155" s="6"/>
      <c r="U1155" s="8"/>
    </row>
    <row r="1156" spans="1:21" ht="13.5" customHeight="1">
      <c r="A1156" s="8" t="s">
        <v>5267</v>
      </c>
      <c r="B1156" s="16">
        <v>48</v>
      </c>
      <c r="C1156" s="8" t="s">
        <v>20</v>
      </c>
      <c r="D1156" s="8" t="s">
        <v>37</v>
      </c>
      <c r="F1156" s="17">
        <v>42004</v>
      </c>
      <c r="H1156" s="8" t="s">
        <v>5268</v>
      </c>
      <c r="I1156" s="8" t="s">
        <v>319</v>
      </c>
      <c r="J1156" s="16">
        <v>41164</v>
      </c>
      <c r="K1156" s="2" t="s">
        <v>825</v>
      </c>
      <c r="L1156" s="8" t="s">
        <v>3406</v>
      </c>
      <c r="M1156" s="8" t="s">
        <v>27</v>
      </c>
      <c r="N1156" s="8" t="s">
        <v>5269</v>
      </c>
      <c r="P1156" s="8" t="s">
        <v>405</v>
      </c>
      <c r="Q1156" s="12" t="s">
        <v>5270</v>
      </c>
      <c r="S1156" s="7" t="s">
        <v>28</v>
      </c>
      <c r="T1156" s="6"/>
      <c r="U1156" s="8"/>
    </row>
    <row r="1157" spans="1:21" ht="13.5" customHeight="1">
      <c r="A1157" s="8" t="s">
        <v>5261</v>
      </c>
      <c r="B1157" s="16">
        <v>20</v>
      </c>
      <c r="C1157" s="8" t="s">
        <v>20</v>
      </c>
      <c r="D1157" s="8" t="s">
        <v>37</v>
      </c>
      <c r="F1157" s="17">
        <v>42004</v>
      </c>
      <c r="G1157" s="8" t="s">
        <v>5262</v>
      </c>
      <c r="H1157" s="8" t="s">
        <v>5263</v>
      </c>
      <c r="I1157" s="8" t="s">
        <v>862</v>
      </c>
      <c r="J1157" s="16">
        <v>59808</v>
      </c>
      <c r="K1157" s="2" t="s">
        <v>5263</v>
      </c>
      <c r="L1157" s="8" t="s">
        <v>5264</v>
      </c>
      <c r="M1157" s="8" t="s">
        <v>27</v>
      </c>
      <c r="N1157" s="8" t="s">
        <v>5265</v>
      </c>
      <c r="O1157" s="8" t="s">
        <v>554</v>
      </c>
      <c r="P1157" s="8" t="s">
        <v>405</v>
      </c>
      <c r="Q1157" s="12" t="s">
        <v>5266</v>
      </c>
      <c r="R1157" s="8" t="s">
        <v>972</v>
      </c>
      <c r="S1157" s="7" t="s">
        <v>18</v>
      </c>
      <c r="T1157" s="6"/>
      <c r="U1157" s="8"/>
    </row>
    <row r="1158" spans="1:21" ht="13.5" customHeight="1">
      <c r="A1158" s="8" t="s">
        <v>5245</v>
      </c>
      <c r="B1158" s="16">
        <v>44</v>
      </c>
      <c r="C1158" s="8" t="s">
        <v>20</v>
      </c>
      <c r="D1158" s="8" t="s">
        <v>85</v>
      </c>
      <c r="E1158" s="8"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1158" s="17">
        <v>42004</v>
      </c>
      <c r="H1158" s="8" t="s">
        <v>1043</v>
      </c>
      <c r="I1158" s="8" t="s">
        <v>175</v>
      </c>
      <c r="J1158" s="16">
        <v>30030</v>
      </c>
      <c r="K1158" s="2" t="s">
        <v>869</v>
      </c>
      <c r="L1158" s="8" t="s">
        <v>870</v>
      </c>
      <c r="M1158" s="8" t="s">
        <v>27</v>
      </c>
      <c r="N1158" s="8" t="s">
        <v>5246</v>
      </c>
      <c r="P1158" s="8" t="s">
        <v>405</v>
      </c>
      <c r="Q1158" s="12"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1158" s="8" t="s">
        <v>100</v>
      </c>
      <c r="S1158" s="7" t="s">
        <v>28</v>
      </c>
      <c r="T1158" s="6"/>
      <c r="U1158" s="8"/>
    </row>
    <row r="1159" spans="1:21" ht="13.5" customHeight="1">
      <c r="A1159" s="8" t="s">
        <v>5251</v>
      </c>
      <c r="B1159" s="16">
        <v>34</v>
      </c>
      <c r="C1159" s="8" t="s">
        <v>20</v>
      </c>
      <c r="D1159" s="8" t="s">
        <v>48</v>
      </c>
      <c r="F1159" s="17">
        <v>42004</v>
      </c>
      <c r="G1159" s="8" t="s">
        <v>5252</v>
      </c>
      <c r="H1159" s="8" t="s">
        <v>5253</v>
      </c>
      <c r="I1159" s="8" t="s">
        <v>399</v>
      </c>
      <c r="J1159" s="16">
        <v>73072</v>
      </c>
      <c r="K1159" s="2" t="s">
        <v>992</v>
      </c>
      <c r="L1159" s="8" t="s">
        <v>5254</v>
      </c>
      <c r="M1159" s="8" t="s">
        <v>27</v>
      </c>
      <c r="N1159" s="8" t="s">
        <v>5255</v>
      </c>
      <c r="O1159" s="8" t="s">
        <v>554</v>
      </c>
      <c r="P1159" s="8" t="s">
        <v>405</v>
      </c>
      <c r="Q1159" s="12" t="s">
        <v>5256</v>
      </c>
      <c r="R1159" s="8" t="s">
        <v>972</v>
      </c>
      <c r="S1159" s="7" t="s">
        <v>28</v>
      </c>
      <c r="T1159" s="6"/>
      <c r="U1159" s="8"/>
    </row>
    <row r="1160" spans="1:21" ht="13.5" customHeight="1">
      <c r="A1160" s="8" t="s">
        <v>5257</v>
      </c>
      <c r="B1160" s="16">
        <v>34</v>
      </c>
      <c r="C1160" s="8" t="s">
        <v>115</v>
      </c>
      <c r="D1160" s="8" t="s">
        <v>48</v>
      </c>
      <c r="F1160" s="17">
        <v>42004</v>
      </c>
      <c r="G1160" s="8" t="s">
        <v>5258</v>
      </c>
      <c r="H1160" s="8" t="s">
        <v>5259</v>
      </c>
      <c r="I1160" s="8" t="s">
        <v>45</v>
      </c>
      <c r="J1160" s="16">
        <v>90220</v>
      </c>
      <c r="K1160" s="2" t="s">
        <v>98</v>
      </c>
      <c r="L1160" s="8" t="s">
        <v>418</v>
      </c>
      <c r="M1160" s="8" t="s">
        <v>27</v>
      </c>
      <c r="N1160" s="8" t="s">
        <v>5260</v>
      </c>
      <c r="P1160" s="8" t="s">
        <v>405</v>
      </c>
      <c r="Q1160" s="12"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160" s="7" t="s">
        <v>28</v>
      </c>
      <c r="T1160" s="6"/>
      <c r="U1160" s="8"/>
    </row>
    <row r="1161" spans="1:21" ht="13.5" customHeight="1">
      <c r="A1161" s="8" t="s">
        <v>5274</v>
      </c>
      <c r="B1161" s="16">
        <v>36</v>
      </c>
      <c r="C1161" s="8" t="s">
        <v>20</v>
      </c>
      <c r="D1161" s="8" t="s">
        <v>85</v>
      </c>
      <c r="E1161" s="8" t="s">
        <v>5275</v>
      </c>
      <c r="F1161" s="17">
        <v>42003</v>
      </c>
      <c r="G1161" s="8" t="s">
        <v>5276</v>
      </c>
      <c r="H1161" s="8" t="s">
        <v>5277</v>
      </c>
      <c r="I1161" s="8" t="s">
        <v>81</v>
      </c>
      <c r="J1161" s="16" t="s">
        <v>5278</v>
      </c>
      <c r="K1161" s="2" t="s">
        <v>3187</v>
      </c>
      <c r="L1161" s="8" t="s">
        <v>5279</v>
      </c>
      <c r="M1161" s="8" t="s">
        <v>27</v>
      </c>
      <c r="N1161" s="8" t="s">
        <v>5280</v>
      </c>
      <c r="O1161" s="8" t="s">
        <v>404</v>
      </c>
      <c r="P1161" s="8" t="s">
        <v>405</v>
      </c>
      <c r="Q1161" s="12" t="s">
        <v>5281</v>
      </c>
      <c r="R1161" s="8" t="s">
        <v>100</v>
      </c>
      <c r="S1161" s="7" t="s">
        <v>18</v>
      </c>
      <c r="T1161" s="6"/>
      <c r="U1161" s="8"/>
    </row>
    <row r="1162" spans="1:21" ht="13.5" customHeight="1">
      <c r="A1162" s="8" t="s">
        <v>5282</v>
      </c>
      <c r="B1162" s="16">
        <v>52</v>
      </c>
      <c r="C1162" s="8" t="s">
        <v>20</v>
      </c>
      <c r="D1162" s="8" t="s">
        <v>37</v>
      </c>
      <c r="F1162" s="17">
        <v>42003</v>
      </c>
      <c r="H1162" s="8" t="s">
        <v>5283</v>
      </c>
      <c r="I1162" s="8" t="s">
        <v>408</v>
      </c>
      <c r="J1162" s="16">
        <v>19041</v>
      </c>
      <c r="K1162" s="2" t="s">
        <v>914</v>
      </c>
      <c r="L1162" s="8" t="s">
        <v>5284</v>
      </c>
      <c r="M1162" s="8" t="s">
        <v>27</v>
      </c>
      <c r="N1162" s="8" t="s">
        <v>5285</v>
      </c>
      <c r="P1162" s="8" t="s">
        <v>405</v>
      </c>
      <c r="Q1162" s="12" t="str">
        <f>HYPERLINK("http://6abc.com/news/sources-suspect-shot-killed-by-police-in-drexel-hill/455767/","http://6abc.com/news/sources-suspect-shot-killed-by-police-in-drexel-hill/455767/")</f>
        <v>http://6abc.com/news/sources-suspect-shot-killed-by-police-in-drexel-hill/455767/</v>
      </c>
      <c r="S1162" s="7" t="s">
        <v>383</v>
      </c>
      <c r="T1162" s="6"/>
      <c r="U1162" s="8"/>
    </row>
    <row r="1163" spans="1:21" ht="13.5" customHeight="1">
      <c r="A1163" s="8" t="s">
        <v>5286</v>
      </c>
      <c r="B1163" s="16">
        <v>30</v>
      </c>
      <c r="C1163" s="8" t="s">
        <v>20</v>
      </c>
      <c r="D1163" s="8" t="s">
        <v>37</v>
      </c>
      <c r="E1163" s="8" t="s">
        <v>5287</v>
      </c>
      <c r="F1163" s="17">
        <v>42003</v>
      </c>
      <c r="G1163" s="8" t="s">
        <v>5288</v>
      </c>
      <c r="H1163" s="8" t="s">
        <v>5289</v>
      </c>
      <c r="I1163" s="8" t="s">
        <v>94</v>
      </c>
      <c r="J1163" s="16" t="s">
        <v>5290</v>
      </c>
      <c r="K1163" s="2" t="s">
        <v>731</v>
      </c>
      <c r="L1163" s="8" t="s">
        <v>5291</v>
      </c>
      <c r="M1163" s="8" t="s">
        <v>27</v>
      </c>
      <c r="N1163" s="8" t="s">
        <v>5292</v>
      </c>
      <c r="O1163" s="8" t="s">
        <v>404</v>
      </c>
      <c r="P1163" s="8" t="s">
        <v>405</v>
      </c>
      <c r="Q1163" s="12" t="s">
        <v>5293</v>
      </c>
      <c r="R1163" s="8" t="s">
        <v>100</v>
      </c>
      <c r="S1163" s="7" t="s">
        <v>18</v>
      </c>
      <c r="T1163" s="6"/>
      <c r="U1163" s="8"/>
    </row>
    <row r="1164" spans="1:21" ht="13.5" customHeight="1">
      <c r="A1164" s="8" t="s">
        <v>5294</v>
      </c>
      <c r="B1164" s="16">
        <v>48</v>
      </c>
      <c r="C1164" s="8" t="s">
        <v>20</v>
      </c>
      <c r="D1164" s="8" t="s">
        <v>37</v>
      </c>
      <c r="E1164" s="8" t="s">
        <v>5295</v>
      </c>
      <c r="F1164" s="17">
        <v>42003</v>
      </c>
      <c r="G1164" s="8" t="s">
        <v>5296</v>
      </c>
      <c r="H1164" s="8" t="s">
        <v>5297</v>
      </c>
      <c r="I1164" s="8" t="s">
        <v>62</v>
      </c>
      <c r="J1164" s="16">
        <v>32086</v>
      </c>
      <c r="K1164" s="2" t="s">
        <v>2423</v>
      </c>
      <c r="L1164" s="8" t="s">
        <v>5298</v>
      </c>
      <c r="M1164" s="8" t="s">
        <v>27</v>
      </c>
      <c r="N1164" s="8" t="s">
        <v>5299</v>
      </c>
      <c r="P1164" s="8" t="s">
        <v>405</v>
      </c>
      <c r="Q1164" s="12"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1164" s="7" t="s">
        <v>28</v>
      </c>
      <c r="T1164" s="6"/>
      <c r="U1164" s="8"/>
    </row>
    <row r="1165" spans="1:21" ht="13.5" customHeight="1">
      <c r="A1165" s="8" t="s">
        <v>5300</v>
      </c>
      <c r="B1165" s="16">
        <v>28</v>
      </c>
      <c r="C1165" s="8" t="s">
        <v>20</v>
      </c>
      <c r="D1165" s="8" t="s">
        <v>37</v>
      </c>
      <c r="F1165" s="17">
        <v>42002</v>
      </c>
      <c r="G1165" s="8" t="s">
        <v>5301</v>
      </c>
      <c r="H1165" s="8" t="s">
        <v>5302</v>
      </c>
      <c r="I1165" s="8" t="s">
        <v>45</v>
      </c>
      <c r="J1165" s="16">
        <v>95969</v>
      </c>
      <c r="K1165" s="2" t="s">
        <v>5303</v>
      </c>
      <c r="L1165" s="8" t="s">
        <v>5304</v>
      </c>
      <c r="M1165" s="8" t="s">
        <v>27</v>
      </c>
      <c r="N1165" s="8" t="s">
        <v>5305</v>
      </c>
      <c r="O1165" s="8" t="s">
        <v>554</v>
      </c>
      <c r="P1165" s="8" t="s">
        <v>405</v>
      </c>
      <c r="Q1165" s="12" t="str">
        <f>HYPERLINK("http://www.chicoer.com/general-news/20141229/man-shot-killed-by-sheriffs-deputy-in-paradise","http://www.chicoer.com/general-news/20141229/man-shot-killed-by-sheriffs-deputy-in-paradise")</f>
        <v>http://www.chicoer.com/general-news/20141229/man-shot-killed-by-sheriffs-deputy-in-paradise</v>
      </c>
      <c r="S1165" s="7" t="s">
        <v>28</v>
      </c>
      <c r="T1165" s="6"/>
      <c r="U1165" s="8"/>
    </row>
    <row r="1166" spans="1:21" ht="13.5" customHeight="1">
      <c r="A1166" s="8" t="s">
        <v>5306</v>
      </c>
      <c r="B1166" s="16" t="s">
        <v>29</v>
      </c>
      <c r="C1166" s="8" t="s">
        <v>20</v>
      </c>
      <c r="D1166" s="8" t="s">
        <v>37</v>
      </c>
      <c r="F1166" s="17">
        <v>42002</v>
      </c>
      <c r="H1166" s="8" t="s">
        <v>5307</v>
      </c>
      <c r="I1166" s="8" t="s">
        <v>94</v>
      </c>
      <c r="J1166" s="16">
        <v>36773</v>
      </c>
      <c r="K1166" s="2" t="s">
        <v>288</v>
      </c>
      <c r="L1166" s="8" t="s">
        <v>5308</v>
      </c>
      <c r="M1166" s="8" t="s">
        <v>27</v>
      </c>
      <c r="N1166" s="8" t="s">
        <v>5309</v>
      </c>
      <c r="P1166" s="8" t="s">
        <v>405</v>
      </c>
      <c r="Q1166" s="12" t="s">
        <v>5310</v>
      </c>
      <c r="S1166" s="7" t="s">
        <v>28</v>
      </c>
      <c r="T1166" s="6"/>
      <c r="U1166" s="8"/>
    </row>
    <row r="1167" spans="1:21" ht="13.5" customHeight="1">
      <c r="A1167" s="8" t="s">
        <v>5335</v>
      </c>
      <c r="B1167" s="16">
        <v>54</v>
      </c>
      <c r="C1167" s="8" t="s">
        <v>20</v>
      </c>
      <c r="D1167" s="8" t="s">
        <v>37</v>
      </c>
      <c r="F1167" s="17">
        <v>42001</v>
      </c>
      <c r="G1167" s="8" t="s">
        <v>5336</v>
      </c>
      <c r="H1167" s="8" t="s">
        <v>3389</v>
      </c>
      <c r="I1167" s="8" t="s">
        <v>427</v>
      </c>
      <c r="J1167" s="16">
        <v>11751</v>
      </c>
      <c r="K1167" s="2" t="s">
        <v>1716</v>
      </c>
      <c r="L1167" s="8" t="s">
        <v>3391</v>
      </c>
      <c r="M1167" s="8" t="s">
        <v>383</v>
      </c>
      <c r="N1167" s="8" t="s">
        <v>5337</v>
      </c>
      <c r="P1167" s="8" t="s">
        <v>405</v>
      </c>
      <c r="Q1167" s="12" t="s">
        <v>5338</v>
      </c>
      <c r="S1167" s="7" t="s">
        <v>18</v>
      </c>
      <c r="T1167" s="6"/>
      <c r="U1167" s="8"/>
    </row>
    <row r="1168" spans="1:21" ht="13.5" customHeight="1">
      <c r="A1168" s="8" t="s">
        <v>5314</v>
      </c>
      <c r="B1168" s="16">
        <v>51</v>
      </c>
      <c r="C1168" s="8" t="s">
        <v>20</v>
      </c>
      <c r="D1168" s="8" t="s">
        <v>30</v>
      </c>
      <c r="F1168" s="17">
        <v>42001</v>
      </c>
      <c r="G1168" s="8" t="s">
        <v>5315</v>
      </c>
      <c r="H1168" s="8" t="s">
        <v>5316</v>
      </c>
      <c r="I1168" s="8" t="s">
        <v>124</v>
      </c>
      <c r="J1168" s="16" t="s">
        <v>5317</v>
      </c>
      <c r="K1168" s="2" t="s">
        <v>181</v>
      </c>
      <c r="L1168" s="8" t="s">
        <v>5318</v>
      </c>
      <c r="M1168" s="8" t="s">
        <v>27</v>
      </c>
      <c r="N1168" s="8" t="s">
        <v>5319</v>
      </c>
      <c r="O1168" s="8" t="s">
        <v>554</v>
      </c>
      <c r="P1168" s="8" t="s">
        <v>405</v>
      </c>
      <c r="Q1168" s="12" t="s">
        <v>5320</v>
      </c>
      <c r="R1168" s="8" t="s">
        <v>559</v>
      </c>
      <c r="S1168" s="7" t="s">
        <v>28</v>
      </c>
      <c r="T1168" s="6"/>
      <c r="U1168" s="8"/>
    </row>
    <row r="1169" spans="1:21" ht="13.5" customHeight="1">
      <c r="A1169" s="8" t="s">
        <v>5311</v>
      </c>
      <c r="B1169" s="16">
        <v>28</v>
      </c>
      <c r="C1169" s="8" t="s">
        <v>20</v>
      </c>
      <c r="D1169" s="8" t="s">
        <v>85</v>
      </c>
      <c r="E1169" s="8"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1169" s="17">
        <v>42001</v>
      </c>
      <c r="G1169" s="8" t="s">
        <v>5312</v>
      </c>
      <c r="H1169" s="8" t="s">
        <v>657</v>
      </c>
      <c r="I1169" s="8" t="s">
        <v>62</v>
      </c>
      <c r="J1169" s="16">
        <v>32277</v>
      </c>
      <c r="K1169" s="2" t="s">
        <v>658</v>
      </c>
      <c r="L1169" s="8" t="s">
        <v>659</v>
      </c>
      <c r="M1169" s="8" t="s">
        <v>27</v>
      </c>
      <c r="N1169" s="8" t="s">
        <v>5313</v>
      </c>
      <c r="O1169" s="8" t="s">
        <v>1018</v>
      </c>
      <c r="P1169" s="8" t="s">
        <v>405</v>
      </c>
      <c r="Q1169" s="12" t="str">
        <f>HYPERLINK("http://www.actionnewsjax.com/news/news/local/swat-called-out-fort-caroline-area/njbtC/","http://www.actionnewsjax.com/news/news/local/swat-called-out-fort-caroline-area/njbtC/")</f>
        <v>http://www.actionnewsjax.com/news/news/local/swat-called-out-fort-caroline-area/njbtC/</v>
      </c>
      <c r="R1169" s="8" t="s">
        <v>100</v>
      </c>
      <c r="S1169" s="7" t="s">
        <v>18</v>
      </c>
      <c r="T1169" s="6"/>
      <c r="U1169" s="8"/>
    </row>
    <row r="1170" spans="1:21" ht="13.5" customHeight="1">
      <c r="A1170" s="8" t="s">
        <v>5330</v>
      </c>
      <c r="B1170" s="16">
        <v>10</v>
      </c>
      <c r="C1170" s="8" t="s">
        <v>20</v>
      </c>
      <c r="D1170" s="8" t="s">
        <v>37</v>
      </c>
      <c r="F1170" s="17">
        <v>42001</v>
      </c>
      <c r="G1170" s="8" t="s">
        <v>5331</v>
      </c>
      <c r="H1170" s="8" t="s">
        <v>1301</v>
      </c>
      <c r="I1170" s="8" t="s">
        <v>81</v>
      </c>
      <c r="J1170" s="16">
        <v>8873</v>
      </c>
      <c r="K1170" s="2" t="s">
        <v>2209</v>
      </c>
      <c r="L1170" s="8" t="s">
        <v>5332</v>
      </c>
      <c r="M1170" s="8" t="s">
        <v>383</v>
      </c>
      <c r="N1170" s="8" t="s">
        <v>5333</v>
      </c>
      <c r="P1170" s="8" t="s">
        <v>405</v>
      </c>
      <c r="Q1170" s="12" t="s">
        <v>5334</v>
      </c>
      <c r="R1170" s="8" t="s">
        <v>100</v>
      </c>
      <c r="S1170" s="7" t="s">
        <v>18</v>
      </c>
      <c r="T1170" s="6"/>
      <c r="U1170" s="8"/>
    </row>
    <row r="1171" spans="1:21" ht="13.5" customHeight="1">
      <c r="A1171" s="8" t="s">
        <v>5321</v>
      </c>
      <c r="B1171" s="16">
        <v>28</v>
      </c>
      <c r="C1171" s="8" t="s">
        <v>20</v>
      </c>
      <c r="D1171" s="8" t="s">
        <v>37</v>
      </c>
      <c r="E1171" s="8" t="s">
        <v>5322</v>
      </c>
      <c r="F1171" s="17">
        <v>42001</v>
      </c>
      <c r="G1171" s="8" t="s">
        <v>5323</v>
      </c>
      <c r="H1171" s="8" t="s">
        <v>5324</v>
      </c>
      <c r="I1171" s="8" t="s">
        <v>243</v>
      </c>
      <c r="J1171" s="16" t="s">
        <v>5325</v>
      </c>
      <c r="K1171" s="2" t="s">
        <v>5326</v>
      </c>
      <c r="L1171" s="8" t="s">
        <v>5327</v>
      </c>
      <c r="M1171" s="8" t="s">
        <v>27</v>
      </c>
      <c r="N1171" s="8" t="s">
        <v>5328</v>
      </c>
      <c r="O1171" s="8" t="s">
        <v>404</v>
      </c>
      <c r="P1171" s="8" t="s">
        <v>405</v>
      </c>
      <c r="Q1171" s="12" t="s">
        <v>5329</v>
      </c>
      <c r="R1171" s="8" t="s">
        <v>100</v>
      </c>
      <c r="S1171" s="7" t="s">
        <v>28</v>
      </c>
      <c r="T1171" s="6"/>
      <c r="U1171" s="8"/>
    </row>
    <row r="1172" spans="1:21" ht="13.5" customHeight="1">
      <c r="A1172" s="8" t="s">
        <v>5339</v>
      </c>
      <c r="B1172" s="16">
        <v>51</v>
      </c>
      <c r="C1172" s="8" t="s">
        <v>20</v>
      </c>
      <c r="D1172" s="8" t="s">
        <v>37</v>
      </c>
      <c r="F1172" s="17">
        <v>42000</v>
      </c>
      <c r="G1172" s="8" t="s">
        <v>5340</v>
      </c>
      <c r="H1172" s="8" t="s">
        <v>5341</v>
      </c>
      <c r="I1172" s="8" t="s">
        <v>94</v>
      </c>
      <c r="J1172" s="16">
        <v>35083</v>
      </c>
      <c r="K1172" s="2" t="s">
        <v>5342</v>
      </c>
      <c r="L1172" s="8" t="s">
        <v>5343</v>
      </c>
      <c r="M1172" s="8" t="s">
        <v>27</v>
      </c>
      <c r="N1172" s="8" t="s">
        <v>5344</v>
      </c>
      <c r="O1172" s="8" t="s">
        <v>554</v>
      </c>
      <c r="P1172" s="8" t="s">
        <v>405</v>
      </c>
      <c r="Q1172" s="12" t="str">
        <f>HYPERLINK("http://www.al.com/news/birmingham/index.ssf/2014/12/51-year-old_man_shot_to_death.html","http://www.al.com/news/birmingham/index.ssf/2014/12/51-year-old_man_shot_to_death.html")</f>
        <v>http://www.al.com/news/birmingham/index.ssf/2014/12/51-year-old_man_shot_to_death.html</v>
      </c>
      <c r="S1172" s="7" t="s">
        <v>28</v>
      </c>
      <c r="T1172" s="6"/>
      <c r="U1172" s="8"/>
    </row>
    <row r="1173" spans="1:21" ht="13.5" customHeight="1">
      <c r="A1173" s="8" t="s">
        <v>5348</v>
      </c>
      <c r="B1173" s="16">
        <v>20</v>
      </c>
      <c r="C1173" s="8" t="s">
        <v>20</v>
      </c>
      <c r="D1173" s="8" t="s">
        <v>85</v>
      </c>
      <c r="E1173" s="8" t="str">
        <f>HYPERLINK("http://ww3.hdnux.com/photos/33/73/31/7321166/3/622x350.jpg","http://ww3.hdnux.com/photos/33/73/31/7321166/3/622x350.jpg")</f>
        <v>http://ww3.hdnux.com/photos/33/73/31/7321166/3/622x350.jpg</v>
      </c>
      <c r="F1173" s="17">
        <v>41999</v>
      </c>
      <c r="G1173" s="8" t="s">
        <v>5349</v>
      </c>
      <c r="H1173" s="8" t="s">
        <v>5350</v>
      </c>
      <c r="I1173" s="8" t="s">
        <v>73</v>
      </c>
      <c r="J1173" s="16">
        <v>77591</v>
      </c>
      <c r="K1173" s="2" t="s">
        <v>5351</v>
      </c>
      <c r="L1173" s="8" t="s">
        <v>5352</v>
      </c>
      <c r="M1173" s="8" t="s">
        <v>27</v>
      </c>
      <c r="N1173" s="8" t="s">
        <v>5353</v>
      </c>
      <c r="P1173" s="8" t="s">
        <v>405</v>
      </c>
      <c r="Q1173" s="12"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1173" s="8" t="s">
        <v>29</v>
      </c>
      <c r="S1173" s="7" t="s">
        <v>28</v>
      </c>
      <c r="T1173" s="6"/>
      <c r="U1173" s="8"/>
    </row>
    <row r="1174" spans="1:21" ht="13.5" customHeight="1">
      <c r="A1174" s="8" t="s">
        <v>5354</v>
      </c>
      <c r="B1174" s="16">
        <v>43</v>
      </c>
      <c r="C1174" s="8" t="s">
        <v>20</v>
      </c>
      <c r="D1174" s="8" t="s">
        <v>37</v>
      </c>
      <c r="E1174" s="8" t="s">
        <v>5355</v>
      </c>
      <c r="F1174" s="17">
        <v>41999</v>
      </c>
      <c r="G1174" s="8" t="s">
        <v>5356</v>
      </c>
      <c r="H1174" s="8" t="s">
        <v>5357</v>
      </c>
      <c r="I1174" s="8" t="s">
        <v>69</v>
      </c>
      <c r="J1174" s="16">
        <v>44146</v>
      </c>
      <c r="K1174" s="2" t="s">
        <v>105</v>
      </c>
      <c r="L1174" s="8" t="s">
        <v>5358</v>
      </c>
      <c r="M1174" s="8" t="s">
        <v>27</v>
      </c>
      <c r="N1174" s="8" t="s">
        <v>5359</v>
      </c>
      <c r="P1174" s="8" t="s">
        <v>405</v>
      </c>
      <c r="Q1174" s="12"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1174" s="7" t="s">
        <v>28</v>
      </c>
      <c r="T1174" s="6"/>
      <c r="U1174" s="8"/>
    </row>
    <row r="1175" spans="1:21" ht="13.5" customHeight="1">
      <c r="A1175" s="8" t="s">
        <v>5345</v>
      </c>
      <c r="B1175" s="16">
        <v>23</v>
      </c>
      <c r="C1175" s="8" t="s">
        <v>20</v>
      </c>
      <c r="D1175" s="8" t="s">
        <v>85</v>
      </c>
      <c r="E1175" s="8" t="str">
        <f>HYPERLINK("http://www.wesh.com/image/view/-/30418970/medRes/2/-/maxh/220/maxw/220/-/o2mpgg/-/Quinten-Jamal-Smith-jpg.jpg","http://www.wesh.com/image/view/-/30418970/medRes/2/-/maxh/220/maxw/220/-/o2mpgg/-/Quinten-Jamal-Smith-jpg.jpg")</f>
        <v>http://www.wesh.com/image/view/-/30418970/medRes/2/-/maxh/220/maxw/220/-/o2mpgg/-/Quinten-Jamal-Smith-jpg.jpg</v>
      </c>
      <c r="F1175" s="17">
        <v>41999</v>
      </c>
      <c r="G1175" s="8" t="s">
        <v>5346</v>
      </c>
      <c r="H1175" s="8" t="s">
        <v>1784</v>
      </c>
      <c r="I1175" s="8" t="s">
        <v>62</v>
      </c>
      <c r="J1175" s="16">
        <v>32922</v>
      </c>
      <c r="K1175" s="2" t="s">
        <v>1786</v>
      </c>
      <c r="L1175" s="8" t="s">
        <v>3813</v>
      </c>
      <c r="M1175" s="8" t="s">
        <v>27</v>
      </c>
      <c r="N1175" s="8" t="s">
        <v>5347</v>
      </c>
      <c r="P1175" s="8" t="s">
        <v>405</v>
      </c>
      <c r="Q1175" s="12" t="str">
        <f>HYPERLINK("http://www.wesh.com/news/sheriff-brevard-deputy-fatally-shoots-armed-wanted-man/30415088","http://www.wesh.com/news/sheriff-brevard-deputy-fatally-shoots-armed-wanted-man/30415088")</f>
        <v>http://www.wesh.com/news/sheriff-brevard-deputy-fatally-shoots-armed-wanted-man/30415088</v>
      </c>
      <c r="R1175" s="8" t="s">
        <v>100</v>
      </c>
      <c r="S1175" s="7" t="s">
        <v>28</v>
      </c>
      <c r="T1175" s="6"/>
      <c r="U1175" s="8"/>
    </row>
    <row r="1176" spans="1:21" ht="13.5" customHeight="1">
      <c r="A1176" s="8" t="s">
        <v>5371</v>
      </c>
      <c r="B1176" s="16">
        <v>40</v>
      </c>
      <c r="C1176" s="8" t="s">
        <v>20</v>
      </c>
      <c r="D1176" s="8" t="s">
        <v>48</v>
      </c>
      <c r="F1176" s="17">
        <v>41998</v>
      </c>
      <c r="G1176" s="8" t="s">
        <v>5372</v>
      </c>
      <c r="H1176" s="8" t="s">
        <v>158</v>
      </c>
      <c r="I1176" s="8" t="s">
        <v>45</v>
      </c>
      <c r="J1176" s="16">
        <v>92173</v>
      </c>
      <c r="K1176" s="2" t="s">
        <v>158</v>
      </c>
      <c r="L1176" s="8" t="s">
        <v>4790</v>
      </c>
      <c r="M1176" s="8" t="s">
        <v>395</v>
      </c>
      <c r="N1176" s="8" t="s">
        <v>5373</v>
      </c>
      <c r="P1176" s="8" t="s">
        <v>405</v>
      </c>
      <c r="Q1176" s="12" t="s">
        <v>5374</v>
      </c>
      <c r="S1176" s="7" t="s">
        <v>18</v>
      </c>
      <c r="T1176" s="6"/>
      <c r="U1176" s="8"/>
    </row>
    <row r="1177" spans="1:21" ht="13.5" customHeight="1">
      <c r="A1177" s="8" t="s">
        <v>5366</v>
      </c>
      <c r="B1177" s="16" t="s">
        <v>29</v>
      </c>
      <c r="D1177" s="8" t="s">
        <v>48</v>
      </c>
      <c r="F1177" s="17">
        <v>41998</v>
      </c>
      <c r="G1177" s="8" t="s">
        <v>5367</v>
      </c>
      <c r="H1177" s="8" t="s">
        <v>5368</v>
      </c>
      <c r="I1177" s="8" t="s">
        <v>45</v>
      </c>
      <c r="J1177" s="16">
        <v>92236</v>
      </c>
      <c r="K1177" s="2" t="s">
        <v>791</v>
      </c>
      <c r="L1177" s="8" t="s">
        <v>792</v>
      </c>
      <c r="M1177" s="8" t="s">
        <v>27</v>
      </c>
      <c r="N1177" s="8" t="s">
        <v>5369</v>
      </c>
      <c r="P1177" s="8" t="s">
        <v>405</v>
      </c>
      <c r="Q1177" s="12" t="s">
        <v>5370</v>
      </c>
      <c r="S1177" s="7" t="s">
        <v>18</v>
      </c>
      <c r="T1177" s="6"/>
      <c r="U1177" s="8"/>
    </row>
    <row r="1178" spans="1:21" ht="13.5" customHeight="1">
      <c r="A1178" s="8" t="s">
        <v>5360</v>
      </c>
      <c r="B1178" s="16">
        <v>25</v>
      </c>
      <c r="C1178" s="8" t="s">
        <v>20</v>
      </c>
      <c r="D1178" s="8" t="s">
        <v>85</v>
      </c>
      <c r="E1178" s="8" t="s">
        <v>5361</v>
      </c>
      <c r="F1178" s="17">
        <v>41998</v>
      </c>
      <c r="G1178" s="8" t="s">
        <v>5362</v>
      </c>
      <c r="H1178" s="8" t="s">
        <v>87</v>
      </c>
      <c r="I1178" s="8" t="s">
        <v>44</v>
      </c>
      <c r="J1178" s="16" t="s">
        <v>5363</v>
      </c>
      <c r="K1178" s="2" t="s">
        <v>88</v>
      </c>
      <c r="L1178" s="8" t="s">
        <v>89</v>
      </c>
      <c r="M1178" s="8" t="s">
        <v>27</v>
      </c>
      <c r="N1178" s="8" t="s">
        <v>5364</v>
      </c>
      <c r="O1178" s="8" t="s">
        <v>1018</v>
      </c>
      <c r="P1178" s="8" t="s">
        <v>405</v>
      </c>
      <c r="Q1178" s="12" t="s">
        <v>5365</v>
      </c>
      <c r="R1178" s="8" t="s">
        <v>559</v>
      </c>
      <c r="S1178" s="7" t="s">
        <v>28</v>
      </c>
      <c r="T1178" s="6"/>
      <c r="U1178" s="8"/>
    </row>
    <row r="1179" spans="1:21" ht="13.5" customHeight="1">
      <c r="A1179" s="8" t="s">
        <v>5375</v>
      </c>
      <c r="B1179" s="16">
        <v>33</v>
      </c>
      <c r="C1179" s="8" t="s">
        <v>20</v>
      </c>
      <c r="D1179" s="8" t="s">
        <v>85</v>
      </c>
      <c r="F1179" s="17">
        <v>41997</v>
      </c>
      <c r="G1179" s="8" t="s">
        <v>5376</v>
      </c>
      <c r="H1179" s="8" t="s">
        <v>119</v>
      </c>
      <c r="I1179" s="8" t="s">
        <v>3709</v>
      </c>
      <c r="J1179" s="16">
        <v>20018</v>
      </c>
      <c r="K1179" s="2" t="s">
        <v>3711</v>
      </c>
      <c r="L1179" s="8" t="s">
        <v>19944</v>
      </c>
      <c r="M1179" s="8" t="s">
        <v>27</v>
      </c>
      <c r="N1179" s="8" t="s">
        <v>5377</v>
      </c>
      <c r="P1179" s="8" t="s">
        <v>405</v>
      </c>
      <c r="Q1179" s="12" t="s">
        <v>5378</v>
      </c>
      <c r="R1179" s="8" t="s">
        <v>100</v>
      </c>
      <c r="S1179" s="7" t="s">
        <v>28</v>
      </c>
      <c r="T1179" s="6"/>
      <c r="U1179" s="8"/>
    </row>
    <row r="1180" spans="1:21" ht="13.5" customHeight="1">
      <c r="A1180" s="8" t="s">
        <v>5384</v>
      </c>
      <c r="B1180" s="16">
        <v>21</v>
      </c>
      <c r="C1180" s="8" t="s">
        <v>20</v>
      </c>
      <c r="D1180" s="8" t="s">
        <v>37</v>
      </c>
      <c r="F1180" s="17">
        <v>41997</v>
      </c>
      <c r="G1180" s="8" t="s">
        <v>5385</v>
      </c>
      <c r="H1180" s="8" t="s">
        <v>5386</v>
      </c>
      <c r="I1180" s="8" t="s">
        <v>62</v>
      </c>
      <c r="J1180" s="16">
        <v>33483</v>
      </c>
      <c r="K1180" s="2" t="s">
        <v>5387</v>
      </c>
      <c r="L1180" s="8" t="s">
        <v>63</v>
      </c>
      <c r="M1180" s="8" t="s">
        <v>27</v>
      </c>
      <c r="N1180" s="8" t="s">
        <v>5388</v>
      </c>
      <c r="P1180" s="8" t="s">
        <v>405</v>
      </c>
      <c r="Q1180" s="12" t="s">
        <v>5389</v>
      </c>
      <c r="S1180" s="7" t="s">
        <v>35</v>
      </c>
      <c r="T1180" s="6"/>
      <c r="U1180" s="8"/>
    </row>
    <row r="1181" spans="1:21" ht="13.5" customHeight="1">
      <c r="A1181" s="8" t="s">
        <v>5164</v>
      </c>
      <c r="B1181" s="16">
        <v>47</v>
      </c>
      <c r="C1181" s="8" t="s">
        <v>20</v>
      </c>
      <c r="D1181" s="8" t="s">
        <v>37</v>
      </c>
      <c r="E1181" s="8" t="s">
        <v>5390</v>
      </c>
      <c r="F1181" s="17">
        <v>41997</v>
      </c>
      <c r="G1181" s="8" t="s">
        <v>5391</v>
      </c>
      <c r="H1181" s="8" t="s">
        <v>5165</v>
      </c>
      <c r="I1181" s="8" t="s">
        <v>175</v>
      </c>
      <c r="J1181" s="16" t="s">
        <v>5392</v>
      </c>
      <c r="K1181" s="2" t="s">
        <v>5166</v>
      </c>
      <c r="L1181" s="8" t="s">
        <v>5393</v>
      </c>
      <c r="M1181" s="8" t="s">
        <v>27</v>
      </c>
      <c r="N1181" s="8" t="s">
        <v>5394</v>
      </c>
      <c r="O1181" s="8" t="s">
        <v>1018</v>
      </c>
      <c r="P1181" s="8" t="s">
        <v>405</v>
      </c>
      <c r="Q1181"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1181" s="8" t="s">
        <v>100</v>
      </c>
      <c r="S1181" s="7" t="s">
        <v>28</v>
      </c>
      <c r="T1181" s="6"/>
      <c r="U1181" s="8"/>
    </row>
    <row r="1182" spans="1:21" ht="13.5" customHeight="1">
      <c r="A1182" s="8" t="s">
        <v>5379</v>
      </c>
      <c r="B1182" s="16">
        <v>55</v>
      </c>
      <c r="C1182" s="8" t="s">
        <v>20</v>
      </c>
      <c r="D1182" s="8" t="s">
        <v>30</v>
      </c>
      <c r="F1182" s="17">
        <v>41997</v>
      </c>
      <c r="G1182" s="8" t="s">
        <v>5380</v>
      </c>
      <c r="H1182" s="8" t="s">
        <v>5381</v>
      </c>
      <c r="I1182" s="8" t="s">
        <v>118</v>
      </c>
      <c r="J1182" s="16">
        <v>97467</v>
      </c>
      <c r="K1182" s="2" t="s">
        <v>946</v>
      </c>
      <c r="L1182" s="8" t="s">
        <v>5382</v>
      </c>
      <c r="M1182" s="8" t="s">
        <v>27</v>
      </c>
      <c r="N1182" s="8" t="s">
        <v>5383</v>
      </c>
      <c r="O1182" s="8" t="s">
        <v>554</v>
      </c>
      <c r="P1182" s="8" t="s">
        <v>405</v>
      </c>
      <c r="Q1182" s="12" t="str">
        <f>HYPERLINK("http://www.oregonlive.com/portland/index.ssf/2014/12/man_dies_after_officer-involve.html","http://www.oregonlive.com/portland/index.ssf/2014/12/man_dies_after_officer-involve.html")</f>
        <v>http://www.oregonlive.com/portland/index.ssf/2014/12/man_dies_after_officer-involve.html</v>
      </c>
      <c r="S1182" s="7" t="s">
        <v>28</v>
      </c>
      <c r="T1182" s="6"/>
      <c r="U1182" s="8"/>
    </row>
    <row r="1183" spans="1:21" ht="13.5" customHeight="1">
      <c r="A1183" s="8" t="s">
        <v>5395</v>
      </c>
      <c r="B1183" s="16">
        <v>18</v>
      </c>
      <c r="C1183" s="8" t="s">
        <v>20</v>
      </c>
      <c r="D1183" s="8" t="s">
        <v>85</v>
      </c>
      <c r="E1183" s="8" t="s">
        <v>5396</v>
      </c>
      <c r="F1183" s="17">
        <v>41996</v>
      </c>
      <c r="G1183" s="8" t="s">
        <v>5397</v>
      </c>
      <c r="H1183" s="8" t="s">
        <v>5398</v>
      </c>
      <c r="I1183" s="8" t="s">
        <v>435</v>
      </c>
      <c r="J1183" s="16">
        <v>63134</v>
      </c>
      <c r="K1183" s="2" t="s">
        <v>717</v>
      </c>
      <c r="L1183" s="8" t="s">
        <v>5399</v>
      </c>
      <c r="M1183" s="8" t="s">
        <v>27</v>
      </c>
      <c r="N1183" s="8" t="s">
        <v>5400</v>
      </c>
      <c r="O1183" s="8" t="s">
        <v>1018</v>
      </c>
      <c r="P1183" s="8" t="s">
        <v>405</v>
      </c>
      <c r="Q1183" s="12" t="str">
        <f>HYPERLINK("http://www.huffingtonpost.com/2014/12/24/antonio-martin-police-shooting_n_6376210.html","http://www.huffingtonpost.com/2014/12/24/antonio-martin-police-shooting_n_6376210.html")</f>
        <v>http://www.huffingtonpost.com/2014/12/24/antonio-martin-police-shooting_n_6376210.html</v>
      </c>
      <c r="R1183" s="8" t="s">
        <v>100</v>
      </c>
      <c r="S1183" s="7" t="s">
        <v>28</v>
      </c>
      <c r="T1183" s="6"/>
      <c r="U1183" s="8"/>
    </row>
    <row r="1184" spans="1:21" ht="13.5" customHeight="1">
      <c r="A1184" s="8" t="s">
        <v>5401</v>
      </c>
      <c r="B1184" s="16">
        <v>61</v>
      </c>
      <c r="C1184" s="8" t="s">
        <v>20</v>
      </c>
      <c r="D1184" s="8" t="s">
        <v>30</v>
      </c>
      <c r="F1184" s="17">
        <v>41996</v>
      </c>
      <c r="G1184" s="8" t="s">
        <v>5402</v>
      </c>
      <c r="H1184" s="8" t="s">
        <v>4070</v>
      </c>
      <c r="I1184" s="8" t="s">
        <v>62</v>
      </c>
      <c r="J1184" s="16">
        <v>33805</v>
      </c>
      <c r="K1184" s="2" t="s">
        <v>1881</v>
      </c>
      <c r="L1184" s="8" t="s">
        <v>4072</v>
      </c>
      <c r="M1184" s="8" t="s">
        <v>27</v>
      </c>
      <c r="N1184" s="8" t="s">
        <v>5403</v>
      </c>
      <c r="P1184" s="8" t="s">
        <v>405</v>
      </c>
      <c r="Q1184" s="12" t="s">
        <v>5404</v>
      </c>
      <c r="R1184" s="8" t="s">
        <v>559</v>
      </c>
      <c r="S1184" s="7" t="s">
        <v>28</v>
      </c>
      <c r="T1184" s="6"/>
      <c r="U1184" s="8"/>
    </row>
    <row r="1185" spans="1:24" ht="13.5" customHeight="1">
      <c r="A1185" s="8" t="s">
        <v>5419</v>
      </c>
      <c r="B1185" s="16">
        <v>27</v>
      </c>
      <c r="C1185" s="8" t="s">
        <v>20</v>
      </c>
      <c r="D1185" s="8" t="s">
        <v>37</v>
      </c>
      <c r="E1185" s="8" t="s">
        <v>5420</v>
      </c>
      <c r="F1185" s="17">
        <v>41995</v>
      </c>
      <c r="G1185" s="8" t="s">
        <v>5421</v>
      </c>
      <c r="H1185" s="8" t="s">
        <v>5422</v>
      </c>
      <c r="I1185" s="8" t="s">
        <v>319</v>
      </c>
      <c r="J1185" s="16" t="s">
        <v>5423</v>
      </c>
      <c r="K1185" s="2" t="s">
        <v>874</v>
      </c>
      <c r="L1185" s="8" t="s">
        <v>5424</v>
      </c>
      <c r="M1185" s="8" t="s">
        <v>27</v>
      </c>
      <c r="N1185" s="8" t="s">
        <v>5425</v>
      </c>
      <c r="O1185" s="8" t="s">
        <v>1018</v>
      </c>
      <c r="P1185" s="8" t="s">
        <v>405</v>
      </c>
      <c r="Q1185" s="12" t="s">
        <v>5426</v>
      </c>
      <c r="R1185" s="8" t="s">
        <v>100</v>
      </c>
      <c r="S1185" s="7" t="s">
        <v>28</v>
      </c>
      <c r="T1185" s="6"/>
      <c r="U1185" s="8"/>
    </row>
    <row r="1186" spans="1:24" ht="13.5" customHeight="1">
      <c r="A1186" s="8" t="s">
        <v>5410</v>
      </c>
      <c r="B1186" s="16">
        <v>20</v>
      </c>
      <c r="C1186" s="8" t="s">
        <v>20</v>
      </c>
      <c r="D1186" s="8" t="s">
        <v>37</v>
      </c>
      <c r="F1186" s="17">
        <v>41995</v>
      </c>
      <c r="G1186" s="8" t="s">
        <v>5411</v>
      </c>
      <c r="H1186" s="8" t="s">
        <v>1043</v>
      </c>
      <c r="I1186" s="8" t="s">
        <v>175</v>
      </c>
      <c r="J1186" s="16">
        <v>30034</v>
      </c>
      <c r="K1186" s="2" t="s">
        <v>869</v>
      </c>
      <c r="L1186" s="8" t="s">
        <v>870</v>
      </c>
      <c r="M1186" s="8" t="s">
        <v>27</v>
      </c>
      <c r="N1186" s="8" t="s">
        <v>5412</v>
      </c>
      <c r="P1186" s="8" t="s">
        <v>405</v>
      </c>
      <c r="Q1186" s="12" t="s">
        <v>5413</v>
      </c>
      <c r="S1186" s="7" t="s">
        <v>28</v>
      </c>
      <c r="T1186" s="6"/>
      <c r="U1186" s="8"/>
    </row>
    <row r="1187" spans="1:24" ht="13.5" customHeight="1">
      <c r="A1187" s="8" t="s">
        <v>5405</v>
      </c>
      <c r="B1187" s="16">
        <v>29</v>
      </c>
      <c r="C1187" s="8" t="s">
        <v>20</v>
      </c>
      <c r="D1187" s="8" t="s">
        <v>48</v>
      </c>
      <c r="F1187" s="17">
        <v>41995</v>
      </c>
      <c r="G1187" s="8" t="s">
        <v>5406</v>
      </c>
      <c r="H1187" s="8" t="s">
        <v>979</v>
      </c>
      <c r="I1187" s="8" t="s">
        <v>198</v>
      </c>
      <c r="J1187" s="16">
        <v>88001</v>
      </c>
      <c r="K1187" s="2" t="s">
        <v>980</v>
      </c>
      <c r="L1187" s="8" t="s">
        <v>5407</v>
      </c>
      <c r="M1187" s="8" t="s">
        <v>27</v>
      </c>
      <c r="N1187" s="8" t="s">
        <v>5408</v>
      </c>
      <c r="O1187" s="8" t="s">
        <v>554</v>
      </c>
      <c r="P1187" s="8" t="s">
        <v>405</v>
      </c>
      <c r="Q1187" s="12" t="s">
        <v>5409</v>
      </c>
      <c r="S1187" s="7" t="s">
        <v>35</v>
      </c>
      <c r="T1187" s="6"/>
      <c r="U1187" s="8"/>
    </row>
    <row r="1188" spans="1:24" ht="13.5" customHeight="1">
      <c r="A1188" s="8" t="s">
        <v>5414</v>
      </c>
      <c r="B1188" s="16">
        <v>62</v>
      </c>
      <c r="C1188" s="8" t="s">
        <v>20</v>
      </c>
      <c r="D1188" s="8" t="s">
        <v>37</v>
      </c>
      <c r="F1188" s="17">
        <v>41995</v>
      </c>
      <c r="G1188" s="8" t="s">
        <v>5415</v>
      </c>
      <c r="H1188" s="8" t="s">
        <v>5416</v>
      </c>
      <c r="I1188" s="8" t="s">
        <v>135</v>
      </c>
      <c r="J1188" s="16">
        <v>56531</v>
      </c>
      <c r="K1188" s="2" t="s">
        <v>401</v>
      </c>
      <c r="L1188" s="8" t="s">
        <v>5417</v>
      </c>
      <c r="M1188" s="8" t="s">
        <v>383</v>
      </c>
      <c r="N1188" s="8" t="s">
        <v>5418</v>
      </c>
      <c r="P1188" s="8" t="s">
        <v>405</v>
      </c>
      <c r="Q1188" s="12" t="str">
        <f>HYPERLINK("http://www.valleynewslive.com/home/headlines/Man-Dead-in-Otter-Tail-Police-Chase-286635971.html","http://www.valleynewslive.com/home/headlines/Man-Dead-in-Otter-Tail-Police-Chase-286635971.html")</f>
        <v>http://www.valleynewslive.com/home/headlines/Man-Dead-in-Otter-Tail-Police-Chase-286635971.html</v>
      </c>
      <c r="S1188" s="7" t="s">
        <v>383</v>
      </c>
      <c r="T1188" s="6"/>
      <c r="U1188" s="8"/>
    </row>
    <row r="1189" spans="1:24" ht="13.5" customHeight="1">
      <c r="A1189" s="8" t="s">
        <v>5443</v>
      </c>
      <c r="B1189" s="16">
        <v>39</v>
      </c>
      <c r="C1189" s="8" t="s">
        <v>20</v>
      </c>
      <c r="D1189" s="8" t="s">
        <v>37</v>
      </c>
      <c r="E1189" s="8" t="s">
        <v>5444</v>
      </c>
      <c r="F1189" s="17">
        <v>41994</v>
      </c>
      <c r="G1189" s="8" t="s">
        <v>5445</v>
      </c>
      <c r="H1189" s="8" t="s">
        <v>5446</v>
      </c>
      <c r="I1189" s="8" t="s">
        <v>62</v>
      </c>
      <c r="J1189" s="16" t="s">
        <v>5447</v>
      </c>
      <c r="K1189" s="2" t="s">
        <v>3940</v>
      </c>
      <c r="L1189" s="8" t="s">
        <v>5448</v>
      </c>
      <c r="M1189" s="8" t="s">
        <v>383</v>
      </c>
      <c r="N1189" s="8" t="s">
        <v>5449</v>
      </c>
      <c r="O1189" s="8" t="s">
        <v>404</v>
      </c>
      <c r="P1189" s="8" t="s">
        <v>405</v>
      </c>
      <c r="Q1189" s="12" t="s">
        <v>5450</v>
      </c>
      <c r="R1189" s="8" t="s">
        <v>100</v>
      </c>
      <c r="S1189" s="7" t="s">
        <v>18</v>
      </c>
      <c r="T1189" s="6"/>
      <c r="U1189" s="8"/>
    </row>
    <row r="1190" spans="1:24" ht="13.5" customHeight="1">
      <c r="A1190" s="8" t="s">
        <v>5433</v>
      </c>
      <c r="B1190" s="16">
        <v>52</v>
      </c>
      <c r="C1190" s="8" t="s">
        <v>20</v>
      </c>
      <c r="D1190" s="8" t="s">
        <v>37</v>
      </c>
      <c r="E1190" s="8" t="s">
        <v>5434</v>
      </c>
      <c r="F1190" s="17">
        <v>41994</v>
      </c>
      <c r="G1190" s="8" t="s">
        <v>5435</v>
      </c>
      <c r="H1190" s="8" t="s">
        <v>5436</v>
      </c>
      <c r="I1190" s="8" t="s">
        <v>228</v>
      </c>
      <c r="J1190" s="16">
        <v>19904</v>
      </c>
      <c r="K1190" s="2" t="s">
        <v>2560</v>
      </c>
      <c r="L1190" s="8" t="s">
        <v>5437</v>
      </c>
      <c r="M1190" s="8" t="s">
        <v>27</v>
      </c>
      <c r="N1190" s="8" t="s">
        <v>5438</v>
      </c>
      <c r="P1190" s="8" t="s">
        <v>405</v>
      </c>
      <c r="Q1190" s="12" t="str">
        <f>HYPERLINK("http://www.doverpost.com/article/20141221/NEWS/141229971/13421/NEWS","http://www.doverpost.com/article/20141221/NEWS/141229971/13421/NEWS")</f>
        <v>http://www.doverpost.com/article/20141221/NEWS/141229971/13421/NEWS</v>
      </c>
      <c r="S1190" s="7" t="s">
        <v>18</v>
      </c>
      <c r="T1190" s="6"/>
      <c r="U1190" s="8"/>
    </row>
    <row r="1191" spans="1:24" ht="13.5" customHeight="1">
      <c r="A1191" s="8" t="s">
        <v>5427</v>
      </c>
      <c r="B1191" s="16">
        <v>28</v>
      </c>
      <c r="C1191" s="8" t="s">
        <v>20</v>
      </c>
      <c r="D1191" s="8" t="s">
        <v>37</v>
      </c>
      <c r="F1191" s="17">
        <v>41994</v>
      </c>
      <c r="H1191" s="8" t="s">
        <v>5428</v>
      </c>
      <c r="I1191" s="8" t="s">
        <v>862</v>
      </c>
      <c r="J1191" s="16">
        <v>59722</v>
      </c>
      <c r="K1191" s="2" t="s">
        <v>5429</v>
      </c>
      <c r="L1191" s="8" t="s">
        <v>5430</v>
      </c>
      <c r="M1191" s="8" t="s">
        <v>27</v>
      </c>
      <c r="N1191" s="8" t="s">
        <v>5431</v>
      </c>
      <c r="P1191" s="8" t="s">
        <v>405</v>
      </c>
      <c r="Q1191" s="12" t="s">
        <v>5432</v>
      </c>
      <c r="S1191" s="7" t="s">
        <v>35</v>
      </c>
      <c r="T1191" s="6"/>
      <c r="U1191" s="8"/>
    </row>
    <row r="1192" spans="1:24" ht="13.5" customHeight="1">
      <c r="A1192" s="8" t="s">
        <v>5439</v>
      </c>
      <c r="B1192" s="16">
        <v>53</v>
      </c>
      <c r="C1192" s="8" t="s">
        <v>20</v>
      </c>
      <c r="D1192" s="8" t="s">
        <v>37</v>
      </c>
      <c r="F1192" s="17">
        <v>41994</v>
      </c>
      <c r="G1192" s="8" t="s">
        <v>5440</v>
      </c>
      <c r="H1192" s="8" t="s">
        <v>5441</v>
      </c>
      <c r="I1192" s="8" t="s">
        <v>45</v>
      </c>
      <c r="J1192" s="16">
        <v>95603</v>
      </c>
      <c r="K1192" s="2" t="s">
        <v>1075</v>
      </c>
      <c r="L1192" s="8" t="s">
        <v>1076</v>
      </c>
      <c r="M1192" s="8" t="s">
        <v>27</v>
      </c>
      <c r="N1192" s="8" t="s">
        <v>5442</v>
      </c>
      <c r="P1192" s="8" t="s">
        <v>405</v>
      </c>
      <c r="Q1192" s="12" t="str">
        <f>HYPERLINK("http://www.sacbee.com/news/local/crime/article4774815.html","http://www.sacbee.com/news/local/crime/article4774815.html")</f>
        <v>http://www.sacbee.com/news/local/crime/article4774815.html</v>
      </c>
      <c r="S1192" s="7" t="s">
        <v>28</v>
      </c>
      <c r="T1192" s="6"/>
      <c r="U1192" s="8"/>
    </row>
    <row r="1193" spans="1:24" ht="13.5" customHeight="1">
      <c r="A1193" s="8" t="s">
        <v>5451</v>
      </c>
      <c r="B1193" s="16">
        <v>30</v>
      </c>
      <c r="C1193" s="8" t="s">
        <v>20</v>
      </c>
      <c r="D1193" s="8" t="s">
        <v>141</v>
      </c>
      <c r="E1193" s="8" t="s">
        <v>5452</v>
      </c>
      <c r="F1193" s="17">
        <v>41993</v>
      </c>
      <c r="G1193" s="8" t="s">
        <v>5453</v>
      </c>
      <c r="H1193" s="8" t="s">
        <v>144</v>
      </c>
      <c r="I1193" s="8" t="s">
        <v>145</v>
      </c>
      <c r="J1193" s="16" t="s">
        <v>5454</v>
      </c>
      <c r="K1193" s="2" t="s">
        <v>146</v>
      </c>
      <c r="L1193" s="8" t="s">
        <v>5455</v>
      </c>
      <c r="M1193" s="8" t="s">
        <v>27</v>
      </c>
      <c r="N1193" s="8" t="s">
        <v>5456</v>
      </c>
      <c r="O1193" s="8" t="s">
        <v>404</v>
      </c>
      <c r="P1193" s="8" t="s">
        <v>405</v>
      </c>
      <c r="Q1193" s="12" t="s">
        <v>5457</v>
      </c>
      <c r="R1193" s="8" t="s">
        <v>100</v>
      </c>
      <c r="S1193" s="7" t="s">
        <v>28</v>
      </c>
      <c r="T1193" s="6"/>
      <c r="U1193" s="8"/>
    </row>
    <row r="1194" spans="1:24" ht="13.5" customHeight="1">
      <c r="A1194" s="8" t="s">
        <v>5464</v>
      </c>
      <c r="B1194" s="16">
        <v>41</v>
      </c>
      <c r="C1194" s="8" t="s">
        <v>20</v>
      </c>
      <c r="D1194" s="8" t="s">
        <v>37</v>
      </c>
      <c r="E1194" s="8" t="s">
        <v>5465</v>
      </c>
      <c r="F1194" s="17">
        <v>41992</v>
      </c>
      <c r="G1194" s="8" t="s">
        <v>5466</v>
      </c>
      <c r="H1194" s="8" t="s">
        <v>5467</v>
      </c>
      <c r="I1194" s="8" t="s">
        <v>62</v>
      </c>
      <c r="J1194" s="16" t="s">
        <v>5468</v>
      </c>
      <c r="K1194" s="2" t="s">
        <v>4406</v>
      </c>
      <c r="L1194" s="8" t="s">
        <v>5469</v>
      </c>
      <c r="M1194" s="8" t="s">
        <v>27</v>
      </c>
      <c r="N1194" s="8" t="s">
        <v>5470</v>
      </c>
      <c r="O1194" s="8" t="s">
        <v>1018</v>
      </c>
      <c r="P1194" s="8" t="s">
        <v>405</v>
      </c>
      <c r="Q1194" s="12" t="s">
        <v>5471</v>
      </c>
      <c r="R1194" s="8" t="s">
        <v>100</v>
      </c>
      <c r="S1194" s="7" t="s">
        <v>28</v>
      </c>
      <c r="T1194" s="6"/>
      <c r="U1194" s="8"/>
    </row>
    <row r="1195" spans="1:24" ht="13.5" customHeight="1">
      <c r="A1195" s="8" t="s">
        <v>5472</v>
      </c>
      <c r="B1195" s="16">
        <v>35</v>
      </c>
      <c r="C1195" s="8" t="s">
        <v>20</v>
      </c>
      <c r="D1195" s="8" t="s">
        <v>37</v>
      </c>
      <c r="F1195" s="17">
        <v>41992</v>
      </c>
      <c r="G1195" s="8" t="s">
        <v>5473</v>
      </c>
      <c r="H1195" s="8" t="s">
        <v>638</v>
      </c>
      <c r="I1195" s="8" t="s">
        <v>124</v>
      </c>
      <c r="J1195" s="16">
        <v>85023</v>
      </c>
      <c r="K1195" s="2" t="s">
        <v>639</v>
      </c>
      <c r="L1195" s="8" t="s">
        <v>640</v>
      </c>
      <c r="M1195" s="8" t="s">
        <v>27</v>
      </c>
      <c r="N1195" s="8" t="s">
        <v>5474</v>
      </c>
      <c r="P1195" s="8" t="s">
        <v>405</v>
      </c>
      <c r="Q1195" s="12" t="str">
        <f>HYPERLINK("http://www.kpho.com/story/27660383/pd-phoenix-officer-involved-in-shooting","http://www.kpho.com/story/27660383/pd-phoenix-officer-involved-in-shooting")</f>
        <v>http://www.kpho.com/story/27660383/pd-phoenix-officer-involved-in-shooting</v>
      </c>
      <c r="S1195" s="7" t="s">
        <v>28</v>
      </c>
      <c r="T1195" s="6"/>
      <c r="U1195" s="8"/>
    </row>
    <row r="1196" spans="1:24" ht="13.5" customHeight="1">
      <c r="A1196" s="8" t="s">
        <v>5458</v>
      </c>
      <c r="B1196" s="16">
        <v>28</v>
      </c>
      <c r="C1196" s="8" t="s">
        <v>20</v>
      </c>
      <c r="D1196" s="8" t="s">
        <v>85</v>
      </c>
      <c r="E1196" s="8" t="s">
        <v>5459</v>
      </c>
      <c r="F1196" s="17">
        <v>41992</v>
      </c>
      <c r="G1196" s="8" t="s">
        <v>5460</v>
      </c>
      <c r="H1196" s="8" t="s">
        <v>717</v>
      </c>
      <c r="I1196" s="8" t="s">
        <v>435</v>
      </c>
      <c r="J1196" s="16" t="s">
        <v>5461</v>
      </c>
      <c r="K1196" s="2" t="s">
        <v>717</v>
      </c>
      <c r="L1196" s="8" t="s">
        <v>4572</v>
      </c>
      <c r="M1196" s="8" t="s">
        <v>27</v>
      </c>
      <c r="N1196" s="8" t="s">
        <v>5462</v>
      </c>
      <c r="O1196" s="8" t="s">
        <v>1018</v>
      </c>
      <c r="P1196" s="8" t="s">
        <v>405</v>
      </c>
      <c r="Q1196" s="12" t="s">
        <v>5463</v>
      </c>
      <c r="R1196" s="8" t="s">
        <v>100</v>
      </c>
      <c r="S1196" s="7" t="s">
        <v>383</v>
      </c>
      <c r="T1196" s="6"/>
      <c r="U1196" s="8"/>
    </row>
    <row r="1197" spans="1:24" ht="13.5" customHeight="1">
      <c r="A1197" s="8" t="s">
        <v>5483</v>
      </c>
      <c r="B1197" s="16">
        <v>39</v>
      </c>
      <c r="C1197" s="8" t="s">
        <v>20</v>
      </c>
      <c r="D1197" s="8" t="s">
        <v>37</v>
      </c>
      <c r="E1197" s="8" t="s">
        <v>5484</v>
      </c>
      <c r="F1197" s="17">
        <v>41991</v>
      </c>
      <c r="H1197" s="8" t="s">
        <v>5485</v>
      </c>
      <c r="I1197" s="8" t="s">
        <v>220</v>
      </c>
      <c r="J1197" s="16">
        <v>46166</v>
      </c>
      <c r="K1197" s="2" t="s">
        <v>5486</v>
      </c>
      <c r="L1197" s="8" t="s">
        <v>5487</v>
      </c>
      <c r="M1197" s="8" t="s">
        <v>27</v>
      </c>
      <c r="N1197" s="8" t="s">
        <v>5488</v>
      </c>
      <c r="P1197" s="8" t="s">
        <v>405</v>
      </c>
      <c r="Q1197" s="12"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1197" s="7" t="s">
        <v>28</v>
      </c>
      <c r="T1197" s="6"/>
      <c r="U1197" s="8"/>
    </row>
    <row r="1198" spans="1:24" ht="13.5" customHeight="1">
      <c r="A1198" s="8" t="s">
        <v>5475</v>
      </c>
      <c r="B1198" s="16">
        <v>17</v>
      </c>
      <c r="C1198" s="8" t="s">
        <v>20</v>
      </c>
      <c r="D1198" s="8" t="s">
        <v>141</v>
      </c>
      <c r="E1198" s="8" t="s">
        <v>5476</v>
      </c>
      <c r="F1198" s="17">
        <v>41991</v>
      </c>
      <c r="H1198" s="8" t="s">
        <v>5477</v>
      </c>
      <c r="I1198" s="8" t="s">
        <v>45</v>
      </c>
      <c r="J1198" s="16" t="s">
        <v>5478</v>
      </c>
      <c r="K1198" s="2" t="s">
        <v>5479</v>
      </c>
      <c r="L1198" s="8" t="s">
        <v>965</v>
      </c>
      <c r="M1198" s="8" t="s">
        <v>5480</v>
      </c>
      <c r="N1198" s="8" t="s">
        <v>5481</v>
      </c>
      <c r="O1198" s="8" t="s">
        <v>404</v>
      </c>
      <c r="P1198" s="8" t="s">
        <v>405</v>
      </c>
      <c r="Q1198" s="12" t="s">
        <v>5482</v>
      </c>
      <c r="R1198" s="8" t="s">
        <v>29</v>
      </c>
      <c r="S1198" s="7" t="s">
        <v>18</v>
      </c>
      <c r="T1198" s="6"/>
      <c r="U1198" s="8"/>
      <c r="V1198" s="8"/>
      <c r="W1198" s="8"/>
      <c r="X1198" s="8"/>
    </row>
    <row r="1199" spans="1:24" ht="13.5" customHeight="1">
      <c r="A1199" s="8" t="s">
        <v>5489</v>
      </c>
      <c r="B1199" s="16">
        <v>34</v>
      </c>
      <c r="C1199" s="8" t="s">
        <v>20</v>
      </c>
      <c r="D1199" s="8" t="s">
        <v>48</v>
      </c>
      <c r="E1199" s="8" t="s">
        <v>5490</v>
      </c>
      <c r="F1199" s="17">
        <v>41990</v>
      </c>
      <c r="G1199" s="8" t="s">
        <v>5491</v>
      </c>
      <c r="H1199" s="8" t="s">
        <v>930</v>
      </c>
      <c r="I1199" s="8" t="s">
        <v>198</v>
      </c>
      <c r="J1199" s="16" t="s">
        <v>5492</v>
      </c>
      <c r="K1199" s="2" t="s">
        <v>471</v>
      </c>
      <c r="L1199" s="8" t="s">
        <v>5493</v>
      </c>
      <c r="M1199" s="8" t="s">
        <v>27</v>
      </c>
      <c r="N1199" s="8" t="s">
        <v>5494</v>
      </c>
      <c r="O1199" s="8" t="s">
        <v>1018</v>
      </c>
      <c r="P1199" s="8" t="s">
        <v>405</v>
      </c>
      <c r="Q1199" s="12" t="s">
        <v>5495</v>
      </c>
      <c r="R1199" s="8" t="s">
        <v>100</v>
      </c>
      <c r="S1199" s="7" t="s">
        <v>28</v>
      </c>
      <c r="T1199" s="6"/>
      <c r="U1199" s="8"/>
    </row>
    <row r="1200" spans="1:24" ht="13.5" customHeight="1">
      <c r="A1200" s="8" t="s">
        <v>5525</v>
      </c>
      <c r="B1200" s="16">
        <v>25</v>
      </c>
      <c r="C1200" s="8" t="s">
        <v>20</v>
      </c>
      <c r="D1200" s="8" t="s">
        <v>37</v>
      </c>
      <c r="F1200" s="17">
        <v>41990</v>
      </c>
      <c r="G1200" s="8" t="s">
        <v>5526</v>
      </c>
      <c r="H1200" s="8" t="s">
        <v>5527</v>
      </c>
      <c r="I1200" s="8" t="s">
        <v>374</v>
      </c>
      <c r="J1200" s="16">
        <v>50158</v>
      </c>
      <c r="K1200" s="2" t="s">
        <v>665</v>
      </c>
      <c r="L1200" s="8" t="s">
        <v>5528</v>
      </c>
      <c r="M1200" s="8" t="s">
        <v>27</v>
      </c>
      <c r="N1200" s="8" t="s">
        <v>5529</v>
      </c>
      <c r="P1200" s="8" t="s">
        <v>405</v>
      </c>
      <c r="Q1200" s="12" t="str">
        <f>HYPERLINK("http://whotv.com/2014/12/17/marshalltown-police-critically-wound-armed-suspect-overnight/","http://whotv.com/2014/12/17/marshalltown-police-critically-wound-armed-suspect-overnight/")</f>
        <v>http://whotv.com/2014/12/17/marshalltown-police-critically-wound-armed-suspect-overnight/</v>
      </c>
      <c r="S1200" s="7" t="s">
        <v>28</v>
      </c>
      <c r="T1200" s="6"/>
      <c r="U1200" s="8"/>
    </row>
    <row r="1201" spans="1:39" ht="13.5" customHeight="1">
      <c r="A1201" s="8" t="s">
        <v>5502</v>
      </c>
      <c r="B1201" s="16">
        <v>28</v>
      </c>
      <c r="C1201" s="8" t="s">
        <v>20</v>
      </c>
      <c r="D1201" s="8" t="s">
        <v>37</v>
      </c>
      <c r="E1201" s="8" t="s">
        <v>5503</v>
      </c>
      <c r="F1201" s="17">
        <v>41990</v>
      </c>
      <c r="G1201" s="8" t="s">
        <v>5504</v>
      </c>
      <c r="H1201" s="8" t="s">
        <v>5505</v>
      </c>
      <c r="I1201" s="8" t="s">
        <v>62</v>
      </c>
      <c r="J1201" s="16">
        <v>32506</v>
      </c>
      <c r="K1201" s="2" t="s">
        <v>5506</v>
      </c>
      <c r="L1201" s="8" t="s">
        <v>5507</v>
      </c>
      <c r="M1201" s="8" t="s">
        <v>395</v>
      </c>
      <c r="N1201" s="8" t="s">
        <v>5508</v>
      </c>
      <c r="P1201" s="8" t="s">
        <v>405</v>
      </c>
      <c r="Q1201" s="12" t="str">
        <f>HYPERLINK("http://www.pnj.com/story/news/crime/2014/12/17/man-dies-two-weeks-tased/20545199/","http://www.pnj.com/story/news/crime/2014/12/17/man-dies-two-weeks-tased/20545199/")</f>
        <v>http://www.pnj.com/story/news/crime/2014/12/17/man-dies-two-weeks-tased/20545199/</v>
      </c>
      <c r="S1201" s="7" t="s">
        <v>28</v>
      </c>
      <c r="T1201" s="6"/>
      <c r="U1201" s="8"/>
    </row>
    <row r="1202" spans="1:39" ht="13.5" customHeight="1">
      <c r="A1202" s="8" t="s">
        <v>5496</v>
      </c>
      <c r="B1202" s="16">
        <v>48</v>
      </c>
      <c r="C1202" s="8" t="s">
        <v>20</v>
      </c>
      <c r="D1202" s="8" t="s">
        <v>48</v>
      </c>
      <c r="F1202" s="17">
        <v>41990</v>
      </c>
      <c r="G1202" s="8" t="s">
        <v>5497</v>
      </c>
      <c r="H1202" s="8" t="s">
        <v>579</v>
      </c>
      <c r="I1202" s="8" t="s">
        <v>73</v>
      </c>
      <c r="J1202" s="16">
        <v>78228</v>
      </c>
      <c r="K1202" s="2" t="s">
        <v>580</v>
      </c>
      <c r="L1202" s="8" t="s">
        <v>581</v>
      </c>
      <c r="M1202" s="8" t="s">
        <v>27</v>
      </c>
      <c r="N1202" s="8" t="s">
        <v>5498</v>
      </c>
      <c r="P1202" s="8" t="s">
        <v>405</v>
      </c>
      <c r="Q1202" s="12" t="s">
        <v>5499</v>
      </c>
      <c r="S1202" s="7" t="s">
        <v>35</v>
      </c>
      <c r="T1202" s="6"/>
      <c r="U1202" s="8"/>
    </row>
    <row r="1203" spans="1:39" ht="13.5" customHeight="1">
      <c r="A1203" s="8" t="s">
        <v>5512</v>
      </c>
      <c r="B1203" s="16">
        <v>18</v>
      </c>
      <c r="C1203" s="8" t="s">
        <v>20</v>
      </c>
      <c r="D1203" s="8" t="s">
        <v>37</v>
      </c>
      <c r="E1203" s="8" t="str">
        <f>HYPERLINK("http://www.muellersfuneralhomes.com/obituaries/Johnathon-Jd-Mar/Print/Wall","http://www.muellersfuneralhomes.com/obituaries/Johnathon-Jd-Mar/Print/Wall")</f>
        <v>http://www.muellersfuneralhomes.com/obituaries/Johnathon-Jd-Mar/Print/Wall</v>
      </c>
      <c r="F1203" s="17">
        <v>41990</v>
      </c>
      <c r="G1203" s="8" t="s">
        <v>5513</v>
      </c>
      <c r="H1203" s="8" t="s">
        <v>5514</v>
      </c>
      <c r="I1203" s="8" t="s">
        <v>135</v>
      </c>
      <c r="J1203" s="16" t="s">
        <v>5515</v>
      </c>
      <c r="K1203" s="2" t="s">
        <v>3639</v>
      </c>
      <c r="L1203" s="8" t="s">
        <v>5516</v>
      </c>
      <c r="M1203" s="8" t="s">
        <v>27</v>
      </c>
      <c r="N1203" s="8" t="s">
        <v>5517</v>
      </c>
      <c r="O1203" s="8" t="s">
        <v>404</v>
      </c>
      <c r="P1203" s="8" t="s">
        <v>405</v>
      </c>
      <c r="Q1203" s="12" t="s">
        <v>5518</v>
      </c>
      <c r="R1203" s="8" t="s">
        <v>559</v>
      </c>
      <c r="S1203" s="7" t="s">
        <v>28</v>
      </c>
      <c r="T1203" s="6"/>
      <c r="U1203" s="8"/>
    </row>
    <row r="1204" spans="1:39" ht="13.5" customHeight="1">
      <c r="A1204" s="8" t="s">
        <v>5519</v>
      </c>
      <c r="B1204" s="16">
        <v>48</v>
      </c>
      <c r="C1204" s="8" t="s">
        <v>20</v>
      </c>
      <c r="D1204" s="8" t="s">
        <v>37</v>
      </c>
      <c r="E1204" s="8" t="s">
        <v>5520</v>
      </c>
      <c r="F1204" s="17">
        <v>41990</v>
      </c>
      <c r="G1204" s="8" t="s">
        <v>5521</v>
      </c>
      <c r="H1204" s="8" t="s">
        <v>5522</v>
      </c>
      <c r="I1204" s="8" t="s">
        <v>45</v>
      </c>
      <c r="J1204" s="16">
        <v>92626</v>
      </c>
      <c r="K1204" s="2" t="s">
        <v>1070</v>
      </c>
      <c r="L1204" s="8" t="s">
        <v>5523</v>
      </c>
      <c r="M1204" s="8" t="s">
        <v>27</v>
      </c>
      <c r="N1204" s="8" t="s">
        <v>5524</v>
      </c>
      <c r="P1204" s="8" t="s">
        <v>405</v>
      </c>
      <c r="Q1204" s="12" t="str">
        <f>HYPERLINK("http://www.ocregister.com/articles/mesa-645510-costa-warrants.html","http://www.ocregister.com/articles/mesa-645510-costa-warrants.html")</f>
        <v>http://www.ocregister.com/articles/mesa-645510-costa-warrants.html</v>
      </c>
      <c r="S1204" s="7" t="s">
        <v>28</v>
      </c>
      <c r="T1204" s="6"/>
      <c r="U1204" s="8"/>
    </row>
    <row r="1205" spans="1:39" ht="13.5" customHeight="1">
      <c r="A1205" s="8" t="s">
        <v>3288</v>
      </c>
      <c r="B1205" s="16" t="s">
        <v>29</v>
      </c>
      <c r="C1205" s="8" t="s">
        <v>20</v>
      </c>
      <c r="D1205" s="8" t="s">
        <v>30</v>
      </c>
      <c r="F1205" s="17">
        <v>41990</v>
      </c>
      <c r="G1205" s="8" t="s">
        <v>5500</v>
      </c>
      <c r="H1205" s="8" t="s">
        <v>890</v>
      </c>
      <c r="I1205" s="8" t="s">
        <v>306</v>
      </c>
      <c r="J1205" s="16">
        <v>98444</v>
      </c>
      <c r="K1205" s="2" t="s">
        <v>891</v>
      </c>
      <c r="L1205" s="8" t="s">
        <v>892</v>
      </c>
      <c r="M1205" s="8" t="s">
        <v>27</v>
      </c>
      <c r="N1205" s="8" t="s">
        <v>5501</v>
      </c>
      <c r="P1205" s="8" t="s">
        <v>405</v>
      </c>
      <c r="Q1205" s="12" t="str">
        <f>HYPERLINK("http://www.kirotv.com/news/news/deputy-involved-shooting-tacoma/njTnD/","http://www.kirotv.com/news/news/deputy-involved-shooting-tacoma/njTnD/")</f>
        <v>http://www.kirotv.com/news/news/deputy-involved-shooting-tacoma/njTnD/</v>
      </c>
      <c r="S1205" s="7" t="s">
        <v>28</v>
      </c>
      <c r="T1205" s="6"/>
      <c r="U1205" s="8"/>
    </row>
    <row r="1206" spans="1:39" ht="13.5" customHeight="1">
      <c r="A1206" s="8" t="s">
        <v>5509</v>
      </c>
      <c r="B1206" s="16">
        <v>18</v>
      </c>
      <c r="C1206" s="8" t="s">
        <v>20</v>
      </c>
      <c r="D1206" s="8" t="s">
        <v>37</v>
      </c>
      <c r="F1206" s="17">
        <v>41990</v>
      </c>
      <c r="G1206" s="8" t="s">
        <v>5510</v>
      </c>
      <c r="H1206" s="8" t="s">
        <v>638</v>
      </c>
      <c r="I1206" s="8" t="s">
        <v>124</v>
      </c>
      <c r="J1206" s="16">
        <v>85054</v>
      </c>
      <c r="K1206" s="2" t="s">
        <v>639</v>
      </c>
      <c r="L1206" s="8" t="s">
        <v>640</v>
      </c>
      <c r="M1206" s="8" t="s">
        <v>27</v>
      </c>
      <c r="N1206" s="8" t="s">
        <v>5511</v>
      </c>
      <c r="O1206" s="8" t="s">
        <v>554</v>
      </c>
      <c r="P1206" s="8" t="s">
        <v>405</v>
      </c>
      <c r="Q1206" s="12"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1206" s="7" t="s">
        <v>28</v>
      </c>
      <c r="T1206" s="6"/>
      <c r="U1206" s="8"/>
      <c r="V1206" s="8"/>
      <c r="W1206" s="8"/>
      <c r="X1206" s="8"/>
    </row>
    <row r="1207" spans="1:39" ht="13.5" customHeight="1">
      <c r="A1207" s="8" t="s">
        <v>5530</v>
      </c>
      <c r="B1207" s="16">
        <v>20</v>
      </c>
      <c r="C1207" s="8" t="s">
        <v>20</v>
      </c>
      <c r="D1207" s="8" t="s">
        <v>30</v>
      </c>
      <c r="F1207" s="17">
        <v>41989</v>
      </c>
      <c r="G1207" s="8" t="s">
        <v>5531</v>
      </c>
      <c r="H1207" s="8" t="s">
        <v>953</v>
      </c>
      <c r="I1207" s="8" t="s">
        <v>45</v>
      </c>
      <c r="J1207" s="16" t="s">
        <v>5532</v>
      </c>
      <c r="K1207" s="2" t="s">
        <v>953</v>
      </c>
      <c r="L1207" s="8" t="s">
        <v>965</v>
      </c>
      <c r="M1207" s="8" t="s">
        <v>383</v>
      </c>
      <c r="N1207" s="8" t="s">
        <v>5533</v>
      </c>
      <c r="O1207" s="8" t="s">
        <v>1018</v>
      </c>
      <c r="P1207" s="8" t="s">
        <v>405</v>
      </c>
      <c r="Q1207" s="12" t="s">
        <v>5534</v>
      </c>
      <c r="R1207" s="8" t="s">
        <v>100</v>
      </c>
      <c r="S1207" s="7" t="s">
        <v>383</v>
      </c>
      <c r="T1207" s="6"/>
      <c r="U1207" s="8"/>
    </row>
    <row r="1208" spans="1:39" ht="13.5" customHeight="1">
      <c r="A1208" s="8" t="s">
        <v>5535</v>
      </c>
      <c r="B1208" s="16">
        <v>26</v>
      </c>
      <c r="C1208" s="8" t="s">
        <v>20</v>
      </c>
      <c r="D1208" s="8" t="s">
        <v>85</v>
      </c>
      <c r="F1208" s="17">
        <v>41988</v>
      </c>
      <c r="G1208" s="8" t="s">
        <v>5536</v>
      </c>
      <c r="H1208" s="8" t="s">
        <v>1110</v>
      </c>
      <c r="I1208" s="8" t="s">
        <v>408</v>
      </c>
      <c r="J1208" s="16">
        <v>19135</v>
      </c>
      <c r="K1208" s="2" t="s">
        <v>1110</v>
      </c>
      <c r="L1208" s="8" t="s">
        <v>1111</v>
      </c>
      <c r="M1208" s="8" t="s">
        <v>27</v>
      </c>
      <c r="N1208" s="8" t="s">
        <v>5537</v>
      </c>
      <c r="P1208" s="8" t="s">
        <v>405</v>
      </c>
      <c r="Q1208" s="12" t="str">
        <f>HYPERLINK("http://www.nbcphiladelphia.com/news/local/Mayfair-Police-Shooting-285796911.html","http://www.nbcphiladelphia.com/news/local/Mayfair-Police-Shooting-285796911.html")</f>
        <v>http://www.nbcphiladelphia.com/news/local/Mayfair-Police-Shooting-285796911.html</v>
      </c>
      <c r="R1208" s="8" t="s">
        <v>100</v>
      </c>
      <c r="S1208" s="7" t="s">
        <v>28</v>
      </c>
      <c r="T1208" s="6"/>
      <c r="U1208" s="8"/>
    </row>
    <row r="1209" spans="1:39" ht="13.5" customHeight="1">
      <c r="A1209" s="8" t="s">
        <v>5541</v>
      </c>
      <c r="B1209" s="16">
        <v>35</v>
      </c>
      <c r="C1209" s="8" t="s">
        <v>20</v>
      </c>
      <c r="D1209" s="8" t="s">
        <v>85</v>
      </c>
      <c r="E1209" s="8" t="str">
        <f>HYPERLINK("http://www.arklatexhomepage.com/media/lib/186/8/4/d/84d8a85a-cc51-4371-b6d1-6a6fb81977f1/Story.jpg","http://www.arklatexhomepage.com/media/lib/186/8/4/d/84d8a85a-cc51-4371-b6d1-6a6fb81977f1/Story.jpg")</f>
        <v>http://www.arklatexhomepage.com/media/lib/186/8/4/d/84d8a85a-cc51-4371-b6d1-6a6fb81977f1/Story.jpg</v>
      </c>
      <c r="F1209" s="17">
        <v>41988</v>
      </c>
      <c r="G1209" s="8" t="s">
        <v>5542</v>
      </c>
      <c r="H1209" s="8" t="s">
        <v>1098</v>
      </c>
      <c r="I1209" s="8" t="s">
        <v>73</v>
      </c>
      <c r="J1209" s="16">
        <v>75501</v>
      </c>
      <c r="K1209" s="2" t="s">
        <v>5543</v>
      </c>
      <c r="L1209" s="8" t="s">
        <v>5544</v>
      </c>
      <c r="M1209" s="8" t="s">
        <v>27</v>
      </c>
      <c r="N1209" s="8" t="s">
        <v>5545</v>
      </c>
      <c r="O1209" s="8" t="s">
        <v>554</v>
      </c>
      <c r="P1209" s="8" t="s">
        <v>405</v>
      </c>
      <c r="Q1209" s="12" t="s">
        <v>5546</v>
      </c>
      <c r="R1209" s="8" t="s">
        <v>559</v>
      </c>
      <c r="S1209" s="7" t="s">
        <v>18</v>
      </c>
      <c r="T1209" s="6"/>
      <c r="U1209" s="8"/>
    </row>
    <row r="1210" spans="1:39" ht="13.5" customHeight="1">
      <c r="A1210" s="8" t="s">
        <v>5547</v>
      </c>
      <c r="B1210" s="16">
        <v>32</v>
      </c>
      <c r="C1210" s="8" t="s">
        <v>115</v>
      </c>
      <c r="D1210" s="8" t="s">
        <v>30</v>
      </c>
      <c r="E1210" s="8" t="str">
        <f>HYPERLINK("http://www.everythinglubbock.com/media/lib/197/b/e/9/be97488a-220f-42d4-a656-82afae53b037/Story.jpg","http://www.everythinglubbock.com/media/lib/197/b/e/9/be97488a-220f-42d4-a656-82afae53b037/Story.jpg")</f>
        <v>http://www.everythinglubbock.com/media/lib/197/b/e/9/be97488a-220f-42d4-a656-82afae53b037/Story.jpg</v>
      </c>
      <c r="F1210" s="17">
        <v>41988</v>
      </c>
      <c r="G1210" s="8" t="s">
        <v>5548</v>
      </c>
      <c r="H1210" s="8" t="s">
        <v>1958</v>
      </c>
      <c r="I1210" s="8" t="s">
        <v>73</v>
      </c>
      <c r="J1210" s="16">
        <v>79705</v>
      </c>
      <c r="K1210" s="2" t="s">
        <v>1958</v>
      </c>
      <c r="L1210" s="8" t="s">
        <v>1960</v>
      </c>
      <c r="M1210" s="8" t="s">
        <v>27</v>
      </c>
      <c r="N1210" s="8" t="s">
        <v>5549</v>
      </c>
      <c r="O1210" s="8" t="s">
        <v>404</v>
      </c>
      <c r="P1210" s="8" t="s">
        <v>405</v>
      </c>
      <c r="Q1210" s="12" t="str">
        <f>HYPERLINK("http://www.newswest9.com/story/27643563/midland-police-identify-officer-killed-in-murder-suicide","http://www.newswest9.com/story/27643563/midland-police-identify-officer-killed-in-murder-suicide")</f>
        <v>http://www.newswest9.com/story/27643563/midland-police-identify-officer-killed-in-murder-suicide</v>
      </c>
      <c r="R1210" s="8" t="s">
        <v>29</v>
      </c>
      <c r="S1210" s="7" t="s">
        <v>18</v>
      </c>
      <c r="T1210" s="6"/>
      <c r="U1210" s="8"/>
    </row>
    <row r="1211" spans="1:39" ht="13.5" customHeight="1">
      <c r="A1211" s="8" t="s">
        <v>5538</v>
      </c>
      <c r="B1211" s="16">
        <v>16</v>
      </c>
      <c r="C1211" s="8" t="s">
        <v>20</v>
      </c>
      <c r="D1211" s="8" t="s">
        <v>85</v>
      </c>
      <c r="F1211" s="17">
        <v>41988</v>
      </c>
      <c r="G1211" s="8" t="s">
        <v>5539</v>
      </c>
      <c r="H1211" s="8" t="s">
        <v>2045</v>
      </c>
      <c r="I1211" s="8" t="s">
        <v>323</v>
      </c>
      <c r="J1211" s="16">
        <v>37217</v>
      </c>
      <c r="K1211" s="2" t="s">
        <v>887</v>
      </c>
      <c r="L1211" s="8" t="s">
        <v>888</v>
      </c>
      <c r="M1211" s="8" t="s">
        <v>27</v>
      </c>
      <c r="N1211" s="8" t="s">
        <v>5540</v>
      </c>
      <c r="P1211" s="8" t="s">
        <v>405</v>
      </c>
      <c r="Q1211" s="12"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1211" s="8" t="s">
        <v>100</v>
      </c>
      <c r="S1211" s="7" t="s">
        <v>28</v>
      </c>
      <c r="T1211" s="6"/>
      <c r="U1211" s="8"/>
    </row>
    <row r="1212" spans="1:39" ht="13.5" customHeight="1">
      <c r="A1212" s="8" t="s">
        <v>20895</v>
      </c>
      <c r="B1212" s="16">
        <v>25</v>
      </c>
      <c r="C1212" s="8" t="s">
        <v>115</v>
      </c>
      <c r="D1212" s="8" t="s">
        <v>85</v>
      </c>
      <c r="F1212" s="17">
        <v>41987</v>
      </c>
      <c r="G1212" s="8" t="s">
        <v>20896</v>
      </c>
      <c r="H1212" s="8" t="s">
        <v>448</v>
      </c>
      <c r="I1212" s="8" t="s">
        <v>57</v>
      </c>
      <c r="J1212" s="3" t="s">
        <v>20897</v>
      </c>
      <c r="K1212" s="3" t="s">
        <v>1139</v>
      </c>
      <c r="L1212" s="3" t="s">
        <v>2196</v>
      </c>
      <c r="M1212" s="3" t="s">
        <v>383</v>
      </c>
      <c r="N1212" s="3" t="s">
        <v>20898</v>
      </c>
      <c r="O1212" s="3" t="s">
        <v>1018</v>
      </c>
      <c r="P1212" s="8" t="s">
        <v>405</v>
      </c>
      <c r="Q1212" s="20" t="s">
        <v>20899</v>
      </c>
      <c r="R1212" s="3" t="s">
        <v>100</v>
      </c>
      <c r="S1212" s="3" t="s">
        <v>383</v>
      </c>
      <c r="T1212" s="3"/>
      <c r="U1212" s="3"/>
      <c r="V1212" s="24"/>
      <c r="W1212" s="24"/>
      <c r="X1212" s="24"/>
      <c r="Y1212" s="24"/>
      <c r="Z1212" s="24"/>
      <c r="AA1212" s="24"/>
      <c r="AB1212" s="24"/>
      <c r="AC1212" s="24"/>
      <c r="AD1212" s="24"/>
      <c r="AE1212" s="24"/>
      <c r="AF1212" s="24"/>
      <c r="AG1212" s="24"/>
      <c r="AH1212" s="24"/>
      <c r="AI1212" s="24"/>
      <c r="AJ1212" s="24"/>
      <c r="AK1212" s="24"/>
      <c r="AL1212" s="24"/>
      <c r="AM1212" s="24"/>
    </row>
    <row r="1213" spans="1:39" ht="13.5" customHeight="1">
      <c r="A1213" s="8" t="s">
        <v>5560</v>
      </c>
      <c r="B1213" s="16">
        <v>65</v>
      </c>
      <c r="C1213" s="8" t="s">
        <v>20</v>
      </c>
      <c r="D1213" s="8" t="s">
        <v>30</v>
      </c>
      <c r="F1213" s="17">
        <v>41987</v>
      </c>
      <c r="G1213" s="8" t="s">
        <v>5561</v>
      </c>
      <c r="H1213" s="8" t="s">
        <v>5562</v>
      </c>
      <c r="I1213" s="8" t="s">
        <v>45</v>
      </c>
      <c r="J1213" s="16">
        <v>92570</v>
      </c>
      <c r="K1213" s="2" t="s">
        <v>791</v>
      </c>
      <c r="L1213" s="8" t="s">
        <v>792</v>
      </c>
      <c r="M1213" s="8" t="s">
        <v>27</v>
      </c>
      <c r="N1213" s="8" t="s">
        <v>5563</v>
      </c>
      <c r="P1213" s="8" t="s">
        <v>405</v>
      </c>
      <c r="Q1213" s="12" t="s">
        <v>5564</v>
      </c>
      <c r="S1213" s="7" t="s">
        <v>35</v>
      </c>
      <c r="T1213" s="6"/>
      <c r="U1213" s="8"/>
    </row>
    <row r="1214" spans="1:39" ht="13.5" customHeight="1">
      <c r="A1214" s="8" t="s">
        <v>5555</v>
      </c>
      <c r="B1214" s="16">
        <v>51</v>
      </c>
      <c r="C1214" s="8" t="s">
        <v>20</v>
      </c>
      <c r="D1214" s="8" t="s">
        <v>48</v>
      </c>
      <c r="F1214" s="17">
        <v>41987</v>
      </c>
      <c r="G1214" s="8" t="s">
        <v>5556</v>
      </c>
      <c r="I1214" s="8" t="s">
        <v>62</v>
      </c>
      <c r="J1214" s="16">
        <v>32259</v>
      </c>
      <c r="K1214" s="2" t="s">
        <v>2423</v>
      </c>
      <c r="L1214" s="8" t="s">
        <v>5557</v>
      </c>
      <c r="M1214" s="8" t="s">
        <v>27</v>
      </c>
      <c r="N1214" s="8" t="s">
        <v>5558</v>
      </c>
      <c r="P1214" s="8" t="s">
        <v>405</v>
      </c>
      <c r="Q1214" s="12" t="s">
        <v>5559</v>
      </c>
      <c r="S1214" s="7" t="s">
        <v>35</v>
      </c>
      <c r="T1214" s="6"/>
      <c r="U1214" s="8"/>
    </row>
    <row r="1215" spans="1:39" ht="13.5" customHeight="1">
      <c r="A1215" s="8" t="s">
        <v>5550</v>
      </c>
      <c r="B1215" s="16">
        <v>23</v>
      </c>
      <c r="C1215" s="8" t="s">
        <v>20</v>
      </c>
      <c r="D1215" s="8" t="s">
        <v>85</v>
      </c>
      <c r="F1215" s="17">
        <v>41987</v>
      </c>
      <c r="G1215" s="8" t="s">
        <v>5551</v>
      </c>
      <c r="H1215" s="8" t="s">
        <v>5552</v>
      </c>
      <c r="I1215" s="8" t="s">
        <v>675</v>
      </c>
      <c r="J1215" s="16">
        <v>39157</v>
      </c>
      <c r="K1215" s="2" t="s">
        <v>2179</v>
      </c>
      <c r="L1215" s="8" t="s">
        <v>5553</v>
      </c>
      <c r="M1215" s="8" t="s">
        <v>27</v>
      </c>
      <c r="N1215" s="8" t="s">
        <v>5554</v>
      </c>
      <c r="O1215" s="8" t="s">
        <v>554</v>
      </c>
      <c r="P1215" s="8" t="s">
        <v>405</v>
      </c>
      <c r="Q1215" s="12"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1215" s="8" t="s">
        <v>100</v>
      </c>
      <c r="S1215" s="7" t="s">
        <v>28</v>
      </c>
      <c r="T1215" s="6"/>
      <c r="U1215" s="8"/>
    </row>
    <row r="1216" spans="1:39" ht="13.5" customHeight="1">
      <c r="A1216" s="8" t="s">
        <v>20900</v>
      </c>
      <c r="B1216" s="16">
        <v>46</v>
      </c>
      <c r="C1216" s="8" t="s">
        <v>20</v>
      </c>
      <c r="D1216" s="8" t="s">
        <v>85</v>
      </c>
      <c r="F1216" s="17">
        <v>41986</v>
      </c>
      <c r="G1216" s="8" t="s">
        <v>20901</v>
      </c>
      <c r="H1216" s="8" t="s">
        <v>717</v>
      </c>
      <c r="I1216" s="8" t="s">
        <v>435</v>
      </c>
      <c r="J1216" s="3" t="s">
        <v>4802</v>
      </c>
      <c r="K1216" s="3" t="s">
        <v>20902</v>
      </c>
      <c r="L1216" s="3" t="s">
        <v>4572</v>
      </c>
      <c r="M1216" s="3" t="s">
        <v>383</v>
      </c>
      <c r="N1216" s="3" t="s">
        <v>20903</v>
      </c>
      <c r="O1216" s="3" t="s">
        <v>1018</v>
      </c>
      <c r="P1216" s="8" t="s">
        <v>405</v>
      </c>
      <c r="Q1216" s="20" t="s">
        <v>20904</v>
      </c>
      <c r="R1216" s="3" t="s">
        <v>100</v>
      </c>
      <c r="S1216" s="3" t="s">
        <v>383</v>
      </c>
      <c r="T1216" s="3"/>
      <c r="U1216" s="3"/>
      <c r="V1216" s="24"/>
      <c r="W1216" s="24"/>
      <c r="X1216" s="24"/>
      <c r="Y1216" s="24"/>
      <c r="Z1216" s="24"/>
      <c r="AA1216" s="24"/>
      <c r="AB1216" s="24"/>
      <c r="AC1216" s="24"/>
      <c r="AD1216" s="24"/>
      <c r="AE1216" s="24"/>
      <c r="AF1216" s="24"/>
      <c r="AG1216" s="24"/>
      <c r="AH1216" s="24"/>
      <c r="AI1216" s="24"/>
      <c r="AJ1216" s="24"/>
      <c r="AK1216" s="24"/>
      <c r="AL1216" s="24"/>
      <c r="AM1216" s="24"/>
    </row>
    <row r="1217" spans="1:24" ht="13.5" customHeight="1">
      <c r="A1217" s="8" t="s">
        <v>5575</v>
      </c>
      <c r="B1217" s="16">
        <v>22</v>
      </c>
      <c r="C1217" s="8" t="s">
        <v>20</v>
      </c>
      <c r="D1217" s="8" t="s">
        <v>37</v>
      </c>
      <c r="F1217" s="17">
        <v>41986</v>
      </c>
      <c r="G1217" s="8" t="s">
        <v>5576</v>
      </c>
      <c r="H1217" s="8" t="s">
        <v>584</v>
      </c>
      <c r="I1217" s="8" t="s">
        <v>69</v>
      </c>
      <c r="J1217" s="16">
        <v>43050</v>
      </c>
      <c r="K1217" s="2" t="s">
        <v>2708</v>
      </c>
      <c r="L1217" s="8" t="s">
        <v>5577</v>
      </c>
      <c r="M1217" s="8" t="s">
        <v>27</v>
      </c>
      <c r="N1217" s="8" t="s">
        <v>5578</v>
      </c>
      <c r="P1217" s="8" t="s">
        <v>405</v>
      </c>
      <c r="Q1217" s="12" t="s">
        <v>5579</v>
      </c>
      <c r="S1217" s="7" t="s">
        <v>35</v>
      </c>
      <c r="T1217" s="6"/>
      <c r="U1217" s="8"/>
    </row>
    <row r="1218" spans="1:24" ht="13.5" customHeight="1">
      <c r="A1218" s="8" t="s">
        <v>5565</v>
      </c>
      <c r="B1218" s="16">
        <v>19</v>
      </c>
      <c r="C1218" s="8" t="s">
        <v>20</v>
      </c>
      <c r="D1218" s="8" t="s">
        <v>48</v>
      </c>
      <c r="F1218" s="17">
        <v>41986</v>
      </c>
      <c r="G1218" s="8" t="s">
        <v>5566</v>
      </c>
      <c r="H1218" s="8" t="s">
        <v>2817</v>
      </c>
      <c r="I1218" s="8" t="s">
        <v>367</v>
      </c>
      <c r="J1218" s="16">
        <v>66606</v>
      </c>
      <c r="K1218" s="2" t="s">
        <v>2819</v>
      </c>
      <c r="L1218" s="8" t="s">
        <v>2820</v>
      </c>
      <c r="M1218" s="8" t="s">
        <v>27</v>
      </c>
      <c r="N1218" s="8" t="s">
        <v>5567</v>
      </c>
      <c r="O1218" s="8" t="s">
        <v>554</v>
      </c>
      <c r="P1218" s="8" t="s">
        <v>405</v>
      </c>
      <c r="Q1218" s="12" t="s">
        <v>5568</v>
      </c>
      <c r="S1218" s="7" t="s">
        <v>28</v>
      </c>
      <c r="T1218" s="6"/>
      <c r="U1218" s="8"/>
    </row>
    <row r="1219" spans="1:24" ht="13.5" customHeight="1">
      <c r="A1219" s="8" t="s">
        <v>5569</v>
      </c>
      <c r="B1219" s="16">
        <v>27</v>
      </c>
      <c r="C1219" s="8" t="s">
        <v>20</v>
      </c>
      <c r="D1219" s="8" t="s">
        <v>30</v>
      </c>
      <c r="F1219" s="17">
        <v>41986</v>
      </c>
      <c r="G1219" s="8" t="s">
        <v>5570</v>
      </c>
      <c r="H1219" s="8" t="s">
        <v>5571</v>
      </c>
      <c r="I1219" s="8" t="s">
        <v>323</v>
      </c>
      <c r="J1219" s="16">
        <v>37862</v>
      </c>
      <c r="K1219" s="2" t="s">
        <v>5572</v>
      </c>
      <c r="L1219" s="8" t="s">
        <v>5573</v>
      </c>
      <c r="M1219" s="8" t="s">
        <v>27</v>
      </c>
      <c r="N1219" s="8" t="s">
        <v>5574</v>
      </c>
      <c r="P1219" s="8" t="s">
        <v>405</v>
      </c>
      <c r="Q1219" s="12"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1219" s="7" t="s">
        <v>28</v>
      </c>
      <c r="T1219" s="6"/>
      <c r="U1219" s="8"/>
    </row>
    <row r="1220" spans="1:24" ht="13.5" customHeight="1">
      <c r="A1220" s="8" t="s">
        <v>5580</v>
      </c>
      <c r="B1220" s="16">
        <v>22</v>
      </c>
      <c r="C1220" s="8" t="s">
        <v>20</v>
      </c>
      <c r="D1220" s="8" t="s">
        <v>85</v>
      </c>
      <c r="E1220" s="8" t="s">
        <v>5581</v>
      </c>
      <c r="F1220" s="17">
        <v>41985</v>
      </c>
      <c r="G1220" s="8" t="s">
        <v>5582</v>
      </c>
      <c r="H1220" s="8" t="s">
        <v>5583</v>
      </c>
      <c r="I1220" s="8" t="s">
        <v>435</v>
      </c>
      <c r="J1220" s="16" t="s">
        <v>5584</v>
      </c>
      <c r="K1220" s="2" t="s">
        <v>5585</v>
      </c>
      <c r="L1220" s="8" t="s">
        <v>5586</v>
      </c>
      <c r="M1220" s="8" t="s">
        <v>27</v>
      </c>
      <c r="N1220" s="8" t="s">
        <v>5587</v>
      </c>
      <c r="P1220" s="8" t="s">
        <v>405</v>
      </c>
      <c r="Q1220" s="12" t="s">
        <v>5588</v>
      </c>
      <c r="R1220" s="8" t="s">
        <v>100</v>
      </c>
      <c r="S1220" s="7" t="s">
        <v>28</v>
      </c>
      <c r="T1220" s="6"/>
      <c r="U1220" s="8"/>
    </row>
    <row r="1221" spans="1:24" ht="13.5" customHeight="1">
      <c r="A1221" s="8" t="s">
        <v>5595</v>
      </c>
      <c r="B1221" s="16">
        <v>27</v>
      </c>
      <c r="C1221" s="8" t="s">
        <v>20</v>
      </c>
      <c r="D1221" s="8" t="s">
        <v>37</v>
      </c>
      <c r="E1221" s="8" t="s">
        <v>5596</v>
      </c>
      <c r="F1221" s="17">
        <v>41984</v>
      </c>
      <c r="G1221" s="8" t="s">
        <v>5597</v>
      </c>
      <c r="H1221" s="8" t="s">
        <v>5598</v>
      </c>
      <c r="I1221" s="8" t="s">
        <v>62</v>
      </c>
      <c r="J1221" s="16" t="s">
        <v>5599</v>
      </c>
      <c r="K1221" s="2" t="s">
        <v>5387</v>
      </c>
      <c r="L1221" s="8" t="s">
        <v>5600</v>
      </c>
      <c r="M1221" s="8" t="s">
        <v>27</v>
      </c>
      <c r="N1221" s="8" t="s">
        <v>5601</v>
      </c>
      <c r="P1221" s="8" t="s">
        <v>405</v>
      </c>
      <c r="Q1221" s="12" t="s">
        <v>5602</v>
      </c>
      <c r="R1221" s="8" t="s">
        <v>100</v>
      </c>
      <c r="S1221" s="7" t="s">
        <v>28</v>
      </c>
      <c r="T1221" s="6"/>
      <c r="U1221" s="8"/>
    </row>
    <row r="1222" spans="1:24" ht="13.5" customHeight="1">
      <c r="A1222" s="8" t="s">
        <v>5589</v>
      </c>
      <c r="B1222" s="16">
        <v>28</v>
      </c>
      <c r="C1222" s="8" t="s">
        <v>20</v>
      </c>
      <c r="D1222" s="8" t="s">
        <v>37</v>
      </c>
      <c r="E1222" s="8" t="s">
        <v>5590</v>
      </c>
      <c r="F1222" s="17">
        <v>41984</v>
      </c>
      <c r="G1222" s="8" t="s">
        <v>5591</v>
      </c>
      <c r="H1222" s="8" t="s">
        <v>5592</v>
      </c>
      <c r="I1222" s="8" t="s">
        <v>212</v>
      </c>
      <c r="J1222" s="16" t="s">
        <v>2925</v>
      </c>
      <c r="K1222" s="2" t="s">
        <v>1152</v>
      </c>
      <c r="L1222" s="8" t="s">
        <v>5593</v>
      </c>
      <c r="M1222" s="8" t="s">
        <v>27</v>
      </c>
      <c r="N1222" s="8" t="s">
        <v>5594</v>
      </c>
      <c r="P1222" s="8" t="s">
        <v>405</v>
      </c>
      <c r="Q1222" s="12"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1222" s="8" t="s">
        <v>559</v>
      </c>
      <c r="S1222" s="7" t="s">
        <v>28</v>
      </c>
      <c r="T1222" s="6"/>
      <c r="U1222" s="8"/>
    </row>
    <row r="1223" spans="1:24" ht="13.5" customHeight="1">
      <c r="A1223" s="8" t="s">
        <v>3288</v>
      </c>
      <c r="B1223" s="16" t="s">
        <v>29</v>
      </c>
      <c r="C1223" s="8" t="s">
        <v>20</v>
      </c>
      <c r="D1223" s="8" t="s">
        <v>30</v>
      </c>
      <c r="F1223" s="17">
        <v>41983</v>
      </c>
      <c r="G1223" s="8" t="s">
        <v>5611</v>
      </c>
      <c r="H1223" s="8" t="s">
        <v>5612</v>
      </c>
      <c r="I1223" s="8" t="s">
        <v>45</v>
      </c>
      <c r="J1223" s="16">
        <v>92595</v>
      </c>
      <c r="K1223" s="2" t="s">
        <v>791</v>
      </c>
      <c r="L1223" s="8" t="s">
        <v>792</v>
      </c>
      <c r="M1223" s="8" t="s">
        <v>27</v>
      </c>
      <c r="N1223" s="8" t="s">
        <v>5616</v>
      </c>
      <c r="P1223" s="8" t="s">
        <v>405</v>
      </c>
      <c r="Q1223" s="12" t="s">
        <v>5615</v>
      </c>
      <c r="S1223" s="7" t="s">
        <v>35</v>
      </c>
      <c r="T1223" s="6"/>
      <c r="U1223" s="8"/>
      <c r="V1223" s="8"/>
      <c r="W1223" s="8"/>
      <c r="X1223" s="8"/>
    </row>
    <row r="1224" spans="1:24" ht="13.5" customHeight="1">
      <c r="A1224" s="8" t="s">
        <v>5610</v>
      </c>
      <c r="B1224" s="16">
        <v>38</v>
      </c>
      <c r="C1224" s="8" t="s">
        <v>20</v>
      </c>
      <c r="D1224" s="8" t="s">
        <v>30</v>
      </c>
      <c r="F1224" s="17">
        <v>41983</v>
      </c>
      <c r="G1224" s="8" t="s">
        <v>5611</v>
      </c>
      <c r="H1224" s="8" t="s">
        <v>5612</v>
      </c>
      <c r="I1224" s="8" t="s">
        <v>45</v>
      </c>
      <c r="J1224" s="16" t="s">
        <v>5613</v>
      </c>
      <c r="K1224" s="2" t="s">
        <v>791</v>
      </c>
      <c r="L1224" s="8" t="s">
        <v>4835</v>
      </c>
      <c r="M1224" s="8" t="s">
        <v>27</v>
      </c>
      <c r="N1224" s="8" t="s">
        <v>5614</v>
      </c>
      <c r="O1224" s="8" t="s">
        <v>404</v>
      </c>
      <c r="P1224" s="8" t="s">
        <v>405</v>
      </c>
      <c r="Q1224" s="12" t="s">
        <v>5615</v>
      </c>
      <c r="R1224" s="8" t="s">
        <v>100</v>
      </c>
      <c r="S1224" s="7" t="s">
        <v>28</v>
      </c>
      <c r="T1224" s="6"/>
      <c r="U1224" s="8"/>
      <c r="V1224" s="8"/>
      <c r="W1224" s="8"/>
      <c r="X1224" s="8"/>
    </row>
    <row r="1225" spans="1:24" ht="13.5" customHeight="1">
      <c r="A1225" s="8" t="s">
        <v>5603</v>
      </c>
      <c r="B1225" s="16">
        <v>24</v>
      </c>
      <c r="C1225" s="8" t="s">
        <v>20</v>
      </c>
      <c r="D1225" s="8" t="s">
        <v>85</v>
      </c>
      <c r="E1225" s="8" t="s">
        <v>5604</v>
      </c>
      <c r="F1225" s="17">
        <v>41983</v>
      </c>
      <c r="G1225" s="8" t="s">
        <v>5605</v>
      </c>
      <c r="H1225" s="8" t="s">
        <v>5606</v>
      </c>
      <c r="I1225" s="8" t="s">
        <v>370</v>
      </c>
      <c r="J1225" s="16" t="s">
        <v>5607</v>
      </c>
      <c r="K1225" s="2" t="s">
        <v>5608</v>
      </c>
      <c r="L1225" s="8" t="s">
        <v>9296</v>
      </c>
      <c r="M1225" s="8" t="s">
        <v>27</v>
      </c>
      <c r="N1225" s="8" t="s">
        <v>5609</v>
      </c>
      <c r="P1225" s="8" t="s">
        <v>405</v>
      </c>
      <c r="Q1225" s="12" t="str">
        <f>HYPERLINK("http://wvtm.membercenter.worldnow.com/story/27598792/1-dead-in-sanford-officer-involved-shooting","http://wvtm.membercenter.worldnow.com/story/27598792/1-dead-in-sanford-officer-involved-shooting")</f>
        <v>http://wvtm.membercenter.worldnow.com/story/27598792/1-dead-in-sanford-officer-involved-shooting</v>
      </c>
      <c r="R1225" s="8" t="s">
        <v>100</v>
      </c>
      <c r="S1225" s="7" t="s">
        <v>35</v>
      </c>
      <c r="T1225" s="6"/>
      <c r="U1225" s="8"/>
    </row>
    <row r="1226" spans="1:24" ht="13.5" customHeight="1">
      <c r="A1226" s="8" t="s">
        <v>5617</v>
      </c>
      <c r="B1226" s="16">
        <v>49</v>
      </c>
      <c r="C1226" s="8" t="s">
        <v>20</v>
      </c>
      <c r="D1226" s="8" t="s">
        <v>85</v>
      </c>
      <c r="F1226" s="17">
        <v>41982</v>
      </c>
      <c r="G1226" s="8" t="s">
        <v>5618</v>
      </c>
      <c r="H1226" s="8" t="s">
        <v>762</v>
      </c>
      <c r="I1226" s="8" t="s">
        <v>427</v>
      </c>
      <c r="J1226" s="16" t="s">
        <v>5619</v>
      </c>
      <c r="K1226" s="2" t="s">
        <v>1729</v>
      </c>
      <c r="L1226" s="8" t="s">
        <v>586</v>
      </c>
      <c r="M1226" s="8" t="s">
        <v>27</v>
      </c>
      <c r="N1226" s="8" t="s">
        <v>5620</v>
      </c>
      <c r="O1226" s="8" t="s">
        <v>404</v>
      </c>
      <c r="P1226" s="8" t="s">
        <v>405</v>
      </c>
      <c r="Q1226" s="12" t="s">
        <v>5621</v>
      </c>
      <c r="R1226" s="8" t="s">
        <v>559</v>
      </c>
      <c r="S1226" s="7" t="s">
        <v>28</v>
      </c>
      <c r="T1226" s="6"/>
      <c r="U1226" s="8"/>
    </row>
    <row r="1227" spans="1:24" ht="13.5" customHeight="1">
      <c r="A1227" s="8" t="s">
        <v>5629</v>
      </c>
      <c r="B1227" s="16">
        <v>84</v>
      </c>
      <c r="C1227" s="8" t="s">
        <v>20</v>
      </c>
      <c r="D1227" s="8" t="s">
        <v>37</v>
      </c>
      <c r="E1227" s="8" t="s">
        <v>5630</v>
      </c>
      <c r="F1227" s="17">
        <v>41982</v>
      </c>
      <c r="G1227" s="8" t="s">
        <v>5631</v>
      </c>
      <c r="H1227" s="8" t="s">
        <v>5625</v>
      </c>
      <c r="I1227" s="8" t="s">
        <v>220</v>
      </c>
      <c r="J1227" s="16" t="s">
        <v>5626</v>
      </c>
      <c r="K1227" s="2" t="s">
        <v>1269</v>
      </c>
      <c r="L1227" s="8" t="s">
        <v>5627</v>
      </c>
      <c r="M1227" s="8" t="s">
        <v>27</v>
      </c>
      <c r="N1227" s="8" t="s">
        <v>5632</v>
      </c>
      <c r="O1227" s="8" t="s">
        <v>554</v>
      </c>
      <c r="P1227" s="8" t="s">
        <v>405</v>
      </c>
      <c r="Q1227" s="12" t="s">
        <v>5633</v>
      </c>
      <c r="R1227" s="8" t="s">
        <v>100</v>
      </c>
      <c r="S1227" s="7" t="s">
        <v>28</v>
      </c>
      <c r="T1227" s="6"/>
      <c r="U1227" s="8"/>
    </row>
    <row r="1228" spans="1:24" ht="13.5" customHeight="1">
      <c r="A1228" s="8" t="s">
        <v>5622</v>
      </c>
      <c r="B1228" s="16">
        <v>84</v>
      </c>
      <c r="C1228" s="8" t="s">
        <v>20</v>
      </c>
      <c r="D1228" s="8" t="s">
        <v>37</v>
      </c>
      <c r="E1228" s="8" t="s">
        <v>5623</v>
      </c>
      <c r="F1228" s="17">
        <v>41982</v>
      </c>
      <c r="G1228" s="8" t="s">
        <v>5624</v>
      </c>
      <c r="H1228" s="8" t="s">
        <v>5625</v>
      </c>
      <c r="I1228" s="8" t="s">
        <v>220</v>
      </c>
      <c r="J1228" s="16" t="s">
        <v>5626</v>
      </c>
      <c r="K1228" s="2" t="s">
        <v>1269</v>
      </c>
      <c r="L1228" s="8" t="s">
        <v>5627</v>
      </c>
      <c r="M1228" s="8" t="s">
        <v>27</v>
      </c>
      <c r="N1228" s="8" t="s">
        <v>5628</v>
      </c>
      <c r="O1228" s="8" t="s">
        <v>554</v>
      </c>
      <c r="P1228" s="8" t="s">
        <v>405</v>
      </c>
      <c r="Q1228" s="12" t="str">
        <f>HYPERLINK("http://abc7chicago.com/news/armed-man-84-fatally-shot-by-police-in-lake-station-ind/428887/","http://abc7chicago.com/news/armed-man-84-fatally-shot-by-police-in-lake-station-ind/428887/")</f>
        <v>http://abc7chicago.com/news/armed-man-84-fatally-shot-by-police-in-lake-station-ind/428887/</v>
      </c>
      <c r="R1228" s="8" t="s">
        <v>29</v>
      </c>
      <c r="S1228" s="7" t="s">
        <v>28</v>
      </c>
      <c r="T1228" s="6"/>
      <c r="U1228" s="8"/>
    </row>
    <row r="1229" spans="1:24" ht="13.5" customHeight="1">
      <c r="A1229" s="8" t="s">
        <v>5634</v>
      </c>
      <c r="B1229" s="16">
        <v>31</v>
      </c>
      <c r="C1229" s="8" t="s">
        <v>20</v>
      </c>
      <c r="D1229" s="8" t="s">
        <v>85</v>
      </c>
      <c r="F1229" s="17">
        <v>41981</v>
      </c>
      <c r="G1229" s="8" t="s">
        <v>5635</v>
      </c>
      <c r="H1229" s="8" t="s">
        <v>579</v>
      </c>
      <c r="I1229" s="8" t="s">
        <v>73</v>
      </c>
      <c r="J1229" s="16" t="s">
        <v>5636</v>
      </c>
      <c r="K1229" s="2" t="s">
        <v>580</v>
      </c>
      <c r="L1229" s="8" t="s">
        <v>589</v>
      </c>
      <c r="M1229" s="8" t="s">
        <v>27</v>
      </c>
      <c r="N1229" s="8" t="s">
        <v>5637</v>
      </c>
      <c r="P1229" s="8" t="s">
        <v>405</v>
      </c>
      <c r="Q1229" s="12" t="s">
        <v>5638</v>
      </c>
      <c r="R1229" s="8" t="s">
        <v>100</v>
      </c>
      <c r="S1229" s="7" t="s">
        <v>28</v>
      </c>
      <c r="T1229" s="6"/>
      <c r="U1229" s="8"/>
    </row>
    <row r="1230" spans="1:24" ht="13.5" customHeight="1">
      <c r="A1230" s="8" t="s">
        <v>5639</v>
      </c>
      <c r="B1230" s="16">
        <v>27</v>
      </c>
      <c r="C1230" s="8" t="s">
        <v>20</v>
      </c>
      <c r="D1230" s="8" t="s">
        <v>48</v>
      </c>
      <c r="E1230" s="8" t="s">
        <v>5640</v>
      </c>
      <c r="F1230" s="17">
        <v>41981</v>
      </c>
      <c r="G1230" s="8" t="s">
        <v>5641</v>
      </c>
      <c r="H1230" s="8" t="s">
        <v>5642</v>
      </c>
      <c r="I1230" s="8" t="s">
        <v>57</v>
      </c>
      <c r="J1230" s="16">
        <v>48917</v>
      </c>
      <c r="K1230" s="2" t="s">
        <v>5643</v>
      </c>
      <c r="L1230" s="8" t="s">
        <v>5644</v>
      </c>
      <c r="M1230" s="8" t="s">
        <v>27</v>
      </c>
      <c r="N1230" s="8" t="s">
        <v>5645</v>
      </c>
      <c r="P1230" s="8" t="s">
        <v>405</v>
      </c>
      <c r="Q1230" s="12" t="str">
        <f>HYPERLINK("http://www.lansingstatejournal.com/story/news/local/2014/12/08/shooting-lansing-township/20101031/","http://www.lansingstatejournal.com/story/news/local/2014/12/08/shooting-lansing-township/20101031/")</f>
        <v>http://www.lansingstatejournal.com/story/news/local/2014/12/08/shooting-lansing-township/20101031/</v>
      </c>
      <c r="S1230" s="7" t="s">
        <v>35</v>
      </c>
      <c r="T1230" s="6"/>
      <c r="U1230" s="8"/>
    </row>
    <row r="1231" spans="1:24" ht="13.5" customHeight="1">
      <c r="A1231" s="8" t="s">
        <v>5671</v>
      </c>
      <c r="B1231" s="16">
        <v>31</v>
      </c>
      <c r="C1231" s="8" t="s">
        <v>20</v>
      </c>
      <c r="D1231" s="8" t="s">
        <v>37</v>
      </c>
      <c r="E1231" s="8" t="s">
        <v>5672</v>
      </c>
      <c r="F1231" s="17">
        <v>41980</v>
      </c>
      <c r="G1231" s="8" t="s">
        <v>5673</v>
      </c>
      <c r="H1231" s="8" t="s">
        <v>661</v>
      </c>
      <c r="I1231" s="8" t="s">
        <v>272</v>
      </c>
      <c r="J1231" s="16">
        <v>89103</v>
      </c>
      <c r="K1231" s="2" t="s">
        <v>574</v>
      </c>
      <c r="L1231" s="8" t="s">
        <v>575</v>
      </c>
      <c r="M1231" s="8" t="s">
        <v>27</v>
      </c>
      <c r="N1231" s="8" t="s">
        <v>5674</v>
      </c>
      <c r="P1231" s="8" t="s">
        <v>405</v>
      </c>
      <c r="Q1231" s="12"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1231" s="7" t="s">
        <v>28</v>
      </c>
      <c r="T1231" s="6"/>
      <c r="U1231" s="8"/>
    </row>
    <row r="1232" spans="1:24" ht="13.5" customHeight="1">
      <c r="A1232" s="8" t="s">
        <v>5661</v>
      </c>
      <c r="B1232" s="16">
        <v>27</v>
      </c>
      <c r="C1232" s="8" t="s">
        <v>115</v>
      </c>
      <c r="D1232" s="8" t="s">
        <v>48</v>
      </c>
      <c r="F1232" s="17">
        <v>41980</v>
      </c>
      <c r="G1232" s="8" t="s">
        <v>5662</v>
      </c>
      <c r="H1232" s="8" t="s">
        <v>607</v>
      </c>
      <c r="I1232" s="8" t="s">
        <v>45</v>
      </c>
      <c r="J1232" s="16" t="s">
        <v>5663</v>
      </c>
      <c r="K1232" s="2" t="s">
        <v>608</v>
      </c>
      <c r="L1232" s="8" t="s">
        <v>5664</v>
      </c>
      <c r="M1232" s="8" t="s">
        <v>27</v>
      </c>
      <c r="N1232" s="8" t="s">
        <v>5665</v>
      </c>
      <c r="O1232" s="8" t="s">
        <v>1018</v>
      </c>
      <c r="P1232" s="8" t="s">
        <v>405</v>
      </c>
      <c r="Q1232" s="12" t="s">
        <v>5666</v>
      </c>
      <c r="R1232" s="8" t="s">
        <v>100</v>
      </c>
      <c r="S1232" s="7" t="s">
        <v>28</v>
      </c>
      <c r="T1232" s="6"/>
      <c r="U1232" s="8"/>
    </row>
    <row r="1233" spans="1:24" ht="13.5" customHeight="1">
      <c r="A1233" s="8" t="s">
        <v>5646</v>
      </c>
      <c r="B1233" s="16">
        <v>39</v>
      </c>
      <c r="C1233" s="8" t="s">
        <v>20</v>
      </c>
      <c r="D1233" s="8" t="s">
        <v>85</v>
      </c>
      <c r="E1233" s="8" t="s">
        <v>5647</v>
      </c>
      <c r="F1233" s="17">
        <v>41980</v>
      </c>
      <c r="G1233" s="8" t="s">
        <v>5648</v>
      </c>
      <c r="H1233" s="8" t="s">
        <v>1104</v>
      </c>
      <c r="I1233" s="8" t="s">
        <v>399</v>
      </c>
      <c r="J1233" s="16" t="s">
        <v>5649</v>
      </c>
      <c r="K1233" s="2" t="s">
        <v>1105</v>
      </c>
      <c r="L1233" s="8" t="s">
        <v>1106</v>
      </c>
      <c r="M1233" s="8" t="s">
        <v>27</v>
      </c>
      <c r="N1233" s="8" t="s">
        <v>5650</v>
      </c>
      <c r="O1233" s="8" t="s">
        <v>404</v>
      </c>
      <c r="P1233" s="8" t="s">
        <v>405</v>
      </c>
      <c r="Q1233" s="12" t="s">
        <v>5651</v>
      </c>
      <c r="R1233" s="8" t="s">
        <v>100</v>
      </c>
      <c r="S1233" s="7" t="s">
        <v>28</v>
      </c>
      <c r="T1233" s="6"/>
      <c r="U1233" s="8"/>
    </row>
    <row r="1234" spans="1:24" ht="13.5" customHeight="1">
      <c r="A1234" s="8" t="s">
        <v>5675</v>
      </c>
      <c r="B1234" s="16">
        <v>29</v>
      </c>
      <c r="C1234" s="8" t="s">
        <v>20</v>
      </c>
      <c r="D1234" s="8" t="s">
        <v>37</v>
      </c>
      <c r="E1234" s="8" t="s">
        <v>5676</v>
      </c>
      <c r="F1234" s="17">
        <v>41980</v>
      </c>
      <c r="G1234" s="8" t="s">
        <v>5677</v>
      </c>
      <c r="H1234" s="8" t="s">
        <v>5678</v>
      </c>
      <c r="I1234" s="8" t="s">
        <v>370</v>
      </c>
      <c r="J1234" s="16" t="s">
        <v>5679</v>
      </c>
      <c r="K1234" s="2" t="s">
        <v>5680</v>
      </c>
      <c r="L1234" s="8" t="s">
        <v>5681</v>
      </c>
      <c r="M1234" s="8" t="s">
        <v>27</v>
      </c>
      <c r="N1234" s="8" t="s">
        <v>5682</v>
      </c>
      <c r="O1234" s="8" t="s">
        <v>404</v>
      </c>
      <c r="P1234" s="8" t="s">
        <v>405</v>
      </c>
      <c r="Q1234" s="12" t="s">
        <v>5683</v>
      </c>
      <c r="R1234" s="8" t="s">
        <v>29</v>
      </c>
      <c r="S1234" s="7" t="s">
        <v>28</v>
      </c>
      <c r="T1234" s="6"/>
      <c r="U1234" s="8"/>
    </row>
    <row r="1235" spans="1:24" ht="13.5" customHeight="1">
      <c r="A1235" s="8" t="s">
        <v>5652</v>
      </c>
      <c r="B1235" s="16">
        <v>32</v>
      </c>
      <c r="C1235" s="8" t="s">
        <v>20</v>
      </c>
      <c r="D1235" s="8" t="s">
        <v>48</v>
      </c>
      <c r="E1235" s="8" t="s">
        <v>5653</v>
      </c>
      <c r="F1235" s="17">
        <v>41980</v>
      </c>
      <c r="G1235" s="8" t="s">
        <v>5654</v>
      </c>
      <c r="H1235" s="8" t="s">
        <v>5655</v>
      </c>
      <c r="I1235" s="8" t="s">
        <v>62</v>
      </c>
      <c r="J1235" s="16" t="s">
        <v>5656</v>
      </c>
      <c r="K1235" s="2" t="s">
        <v>5657</v>
      </c>
      <c r="L1235" s="8" t="s">
        <v>5658</v>
      </c>
      <c r="M1235" s="8" t="s">
        <v>27</v>
      </c>
      <c r="N1235" s="8" t="s">
        <v>5659</v>
      </c>
      <c r="O1235" s="8" t="s">
        <v>1018</v>
      </c>
      <c r="P1235" s="8" t="s">
        <v>405</v>
      </c>
      <c r="Q1235" s="12" t="s">
        <v>5660</v>
      </c>
      <c r="R1235" s="8" t="s">
        <v>100</v>
      </c>
      <c r="S1235" s="7" t="s">
        <v>28</v>
      </c>
      <c r="T1235" s="6"/>
      <c r="U1235" s="8"/>
      <c r="V1235" s="8"/>
      <c r="W1235" s="8"/>
      <c r="X1235" s="8"/>
    </row>
    <row r="1236" spans="1:24" ht="13.5" customHeight="1">
      <c r="A1236" s="8" t="s">
        <v>5667</v>
      </c>
      <c r="B1236" s="16">
        <v>45</v>
      </c>
      <c r="C1236" s="8" t="s">
        <v>20</v>
      </c>
      <c r="D1236" s="8" t="s">
        <v>30</v>
      </c>
      <c r="F1236" s="17">
        <v>41980</v>
      </c>
      <c r="G1236" s="8" t="s">
        <v>5668</v>
      </c>
      <c r="H1236" s="8" t="s">
        <v>87</v>
      </c>
      <c r="I1236" s="8" t="s">
        <v>44</v>
      </c>
      <c r="J1236" s="16">
        <v>60655</v>
      </c>
      <c r="K1236" s="2" t="s">
        <v>88</v>
      </c>
      <c r="L1236" s="8" t="s">
        <v>89</v>
      </c>
      <c r="M1236" s="8" t="s">
        <v>27</v>
      </c>
      <c r="N1236" s="8" t="s">
        <v>5669</v>
      </c>
      <c r="P1236" s="8" t="s">
        <v>405</v>
      </c>
      <c r="Q1236" s="12" t="s">
        <v>5670</v>
      </c>
      <c r="S1236" s="7" t="s">
        <v>28</v>
      </c>
      <c r="T1236" s="6"/>
      <c r="U1236" s="8"/>
    </row>
    <row r="1237" spans="1:24" ht="13.5" customHeight="1">
      <c r="A1237" s="8" t="s">
        <v>5690</v>
      </c>
      <c r="B1237" s="16">
        <v>42</v>
      </c>
      <c r="C1237" s="8" t="s">
        <v>20</v>
      </c>
      <c r="D1237" s="8" t="s">
        <v>37</v>
      </c>
      <c r="F1237" s="17">
        <v>41978</v>
      </c>
      <c r="G1237" s="8" t="s">
        <v>5691</v>
      </c>
      <c r="H1237" s="8" t="s">
        <v>98</v>
      </c>
      <c r="I1237" s="8" t="s">
        <v>45</v>
      </c>
      <c r="J1237" s="16">
        <v>90028</v>
      </c>
      <c r="K1237" s="2" t="s">
        <v>98</v>
      </c>
      <c r="L1237" s="8" t="s">
        <v>99</v>
      </c>
      <c r="M1237" s="8" t="s">
        <v>27</v>
      </c>
      <c r="N1237" s="8" t="s">
        <v>5692</v>
      </c>
      <c r="P1237" s="8" t="s">
        <v>405</v>
      </c>
      <c r="Q1237" s="12" t="str">
        <f>HYPERLINK("http://ktla.com/2014/12/05/armed-man-shot-by-officers-near-hollywood-and-highland-lapd/","http://ktla.com/2014/12/05/armed-man-shot-by-officers-near-hollywood-and-highland-lapd/")</f>
        <v>http://ktla.com/2014/12/05/armed-man-shot-by-officers-near-hollywood-and-highland-lapd/</v>
      </c>
      <c r="S1237" s="7" t="s">
        <v>28</v>
      </c>
      <c r="T1237" s="6"/>
      <c r="U1237" s="8"/>
    </row>
    <row r="1238" spans="1:24" ht="13.5" customHeight="1">
      <c r="A1238" s="8" t="s">
        <v>5684</v>
      </c>
      <c r="B1238" s="16">
        <v>21</v>
      </c>
      <c r="C1238" s="8" t="s">
        <v>20</v>
      </c>
      <c r="D1238" s="8" t="s">
        <v>48</v>
      </c>
      <c r="E1238" s="8" t="s">
        <v>5685</v>
      </c>
      <c r="F1238" s="17">
        <v>41978</v>
      </c>
      <c r="G1238" s="8" t="s">
        <v>5686</v>
      </c>
      <c r="H1238" s="8" t="s">
        <v>216</v>
      </c>
      <c r="I1238" s="8" t="s">
        <v>62</v>
      </c>
      <c r="J1238" s="16" t="s">
        <v>5687</v>
      </c>
      <c r="K1238" s="2" t="s">
        <v>163</v>
      </c>
      <c r="L1238" s="8" t="s">
        <v>460</v>
      </c>
      <c r="M1238" s="8" t="s">
        <v>383</v>
      </c>
      <c r="N1238" s="8" t="s">
        <v>5688</v>
      </c>
      <c r="O1238" s="8" t="s">
        <v>404</v>
      </c>
      <c r="P1238" s="8" t="s">
        <v>405</v>
      </c>
      <c r="Q1238" s="12" t="s">
        <v>5689</v>
      </c>
      <c r="R1238" s="8" t="s">
        <v>100</v>
      </c>
      <c r="S1238" s="7" t="s">
        <v>18</v>
      </c>
      <c r="T1238" s="6"/>
      <c r="U1238" s="8"/>
    </row>
    <row r="1239" spans="1:24" ht="13.5" customHeight="1">
      <c r="A1239" s="8" t="s">
        <v>5693</v>
      </c>
      <c r="B1239" s="16">
        <v>58</v>
      </c>
      <c r="C1239" s="8" t="s">
        <v>20</v>
      </c>
      <c r="D1239" s="8" t="s">
        <v>37</v>
      </c>
      <c r="F1239" s="17">
        <v>41978</v>
      </c>
      <c r="G1239" s="8" t="s">
        <v>5694</v>
      </c>
      <c r="H1239" s="8" t="s">
        <v>5695</v>
      </c>
      <c r="I1239" s="8" t="s">
        <v>175</v>
      </c>
      <c r="J1239" s="16" t="s">
        <v>5696</v>
      </c>
      <c r="K1239" s="2" t="s">
        <v>2593</v>
      </c>
      <c r="L1239" s="8" t="s">
        <v>5697</v>
      </c>
      <c r="M1239" s="8" t="s">
        <v>5698</v>
      </c>
      <c r="N1239" s="8" t="s">
        <v>5699</v>
      </c>
      <c r="P1239" s="8" t="s">
        <v>405</v>
      </c>
      <c r="Q1239" s="12" t="s">
        <v>5700</v>
      </c>
      <c r="R1239" s="8" t="s">
        <v>972</v>
      </c>
      <c r="S1239" s="7" t="s">
        <v>18</v>
      </c>
      <c r="T1239" s="6"/>
      <c r="U1239" s="8"/>
    </row>
    <row r="1240" spans="1:24" ht="13.5" customHeight="1">
      <c r="A1240" s="8" t="s">
        <v>5701</v>
      </c>
      <c r="B1240" s="16">
        <v>61</v>
      </c>
      <c r="C1240" s="8" t="s">
        <v>20</v>
      </c>
      <c r="D1240" s="8" t="s">
        <v>37</v>
      </c>
      <c r="E1240" s="8" t="str">
        <f>HYPERLINK("http://wistv.images.worldnow.com/images/6145354_G.jpg","http://wistv.images.worldnow.com/images/6145354_G.jpg")</f>
        <v>http://wistv.images.worldnow.com/images/6145354_G.jpg</v>
      </c>
      <c r="F1240" s="17">
        <v>41978</v>
      </c>
      <c r="G1240" s="8" t="s">
        <v>5702</v>
      </c>
      <c r="H1240" s="8" t="s">
        <v>1520</v>
      </c>
      <c r="I1240" s="8" t="s">
        <v>32</v>
      </c>
      <c r="J1240" s="16">
        <v>29020</v>
      </c>
      <c r="K1240" s="2" t="s">
        <v>5703</v>
      </c>
      <c r="L1240" s="8" t="s">
        <v>5704</v>
      </c>
      <c r="M1240" s="8" t="s">
        <v>27</v>
      </c>
      <c r="N1240" s="8" t="s">
        <v>5705</v>
      </c>
      <c r="O1240" s="8" t="s">
        <v>1018</v>
      </c>
      <c r="P1240" s="8" t="s">
        <v>405</v>
      </c>
      <c r="Q1240" s="12" t="str">
        <f>HYPERLINK("http://www.wltx.com/story/news/local/2014/12/05/sled-investigating-officer-involved-shooting/19980013/","http://www.wltx.com/story/news/local/2014/12/05/sled-investigating-officer-involved-shooting/19980013/")</f>
        <v>http://www.wltx.com/story/news/local/2014/12/05/sled-investigating-officer-involved-shooting/19980013/</v>
      </c>
      <c r="R1240" s="8" t="s">
        <v>100</v>
      </c>
      <c r="S1240" s="7" t="s">
        <v>28</v>
      </c>
      <c r="T1240" s="6"/>
      <c r="U1240" s="8"/>
    </row>
    <row r="1241" spans="1:24" ht="13.5" customHeight="1">
      <c r="A1241" s="8" t="s">
        <v>5712</v>
      </c>
      <c r="B1241" s="16">
        <v>51</v>
      </c>
      <c r="C1241" s="8" t="s">
        <v>20</v>
      </c>
      <c r="D1241" s="8" t="s">
        <v>37</v>
      </c>
      <c r="E1241" s="8" t="s">
        <v>5713</v>
      </c>
      <c r="F1241" s="17">
        <v>41977</v>
      </c>
      <c r="G1241" s="8" t="s">
        <v>5714</v>
      </c>
      <c r="H1241" s="8" t="s">
        <v>5715</v>
      </c>
      <c r="I1241" s="8" t="s">
        <v>25</v>
      </c>
      <c r="J1241" s="16" t="s">
        <v>5716</v>
      </c>
      <c r="K1241" s="2" t="s">
        <v>5717</v>
      </c>
      <c r="L1241" s="8" t="s">
        <v>5718</v>
      </c>
      <c r="M1241" s="8" t="s">
        <v>27</v>
      </c>
      <c r="N1241" s="8" t="s">
        <v>5719</v>
      </c>
      <c r="O1241" s="8" t="s">
        <v>5720</v>
      </c>
      <c r="P1241" s="8" t="s">
        <v>1171</v>
      </c>
      <c r="Q1241" s="12"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1241" s="8" t="s">
        <v>29</v>
      </c>
      <c r="S1241" s="7" t="s">
        <v>18</v>
      </c>
      <c r="T1241" s="6"/>
      <c r="U1241" s="8"/>
    </row>
    <row r="1242" spans="1:24" ht="13.5" customHeight="1">
      <c r="A1242" s="8" t="s">
        <v>5706</v>
      </c>
      <c r="B1242" s="16">
        <v>32</v>
      </c>
      <c r="C1242" s="8" t="s">
        <v>20</v>
      </c>
      <c r="D1242" s="8" t="s">
        <v>48</v>
      </c>
      <c r="E1242" s="8" t="s">
        <v>5707</v>
      </c>
      <c r="F1242" s="17">
        <v>41977</v>
      </c>
      <c r="G1242" s="8" t="s">
        <v>5708</v>
      </c>
      <c r="H1242" s="8" t="s">
        <v>1069</v>
      </c>
      <c r="I1242" s="8" t="s">
        <v>62</v>
      </c>
      <c r="J1242" s="16" t="s">
        <v>5709</v>
      </c>
      <c r="K1242" s="2" t="s">
        <v>1070</v>
      </c>
      <c r="L1242" s="8" t="s">
        <v>1071</v>
      </c>
      <c r="M1242" s="8" t="s">
        <v>27</v>
      </c>
      <c r="N1242" s="8" t="s">
        <v>5710</v>
      </c>
      <c r="O1242" s="8" t="s">
        <v>1018</v>
      </c>
      <c r="P1242" s="8" t="s">
        <v>405</v>
      </c>
      <c r="Q1242" s="12" t="s">
        <v>5711</v>
      </c>
      <c r="R1242" s="8" t="s">
        <v>100</v>
      </c>
      <c r="S1242" s="7" t="s">
        <v>28</v>
      </c>
      <c r="T1242" s="6"/>
      <c r="U1242" s="8"/>
    </row>
    <row r="1243" spans="1:24" ht="13.5" customHeight="1">
      <c r="A1243" s="8" t="s">
        <v>5721</v>
      </c>
      <c r="B1243" s="16">
        <v>55</v>
      </c>
      <c r="C1243" s="8" t="s">
        <v>115</v>
      </c>
      <c r="D1243" s="8" t="s">
        <v>37</v>
      </c>
      <c r="E1243" s="8" t="s">
        <v>5722</v>
      </c>
      <c r="F1243" s="17">
        <v>41977</v>
      </c>
      <c r="G1243" s="8" t="s">
        <v>5723</v>
      </c>
      <c r="H1243" s="8" t="s">
        <v>5724</v>
      </c>
      <c r="I1243" s="8" t="s">
        <v>4424</v>
      </c>
      <c r="J1243" s="16" t="s">
        <v>5725</v>
      </c>
      <c r="K1243" s="2" t="s">
        <v>1620</v>
      </c>
      <c r="L1243" s="8" t="s">
        <v>5726</v>
      </c>
      <c r="M1243" s="8" t="s">
        <v>27</v>
      </c>
      <c r="N1243" s="8" t="s">
        <v>5727</v>
      </c>
      <c r="O1243" s="8" t="s">
        <v>404</v>
      </c>
      <c r="P1243" s="8" t="s">
        <v>405</v>
      </c>
      <c r="Q1243" s="12" t="s">
        <v>5728</v>
      </c>
      <c r="R1243" s="8" t="s">
        <v>100</v>
      </c>
      <c r="S1243" s="7" t="s">
        <v>28</v>
      </c>
      <c r="T1243" s="6"/>
      <c r="U1243" s="8"/>
    </row>
    <row r="1244" spans="1:24" ht="13.5" customHeight="1">
      <c r="A1244" s="8" t="s">
        <v>5729</v>
      </c>
      <c r="B1244" s="16">
        <v>33</v>
      </c>
      <c r="C1244" s="8" t="s">
        <v>20</v>
      </c>
      <c r="D1244" s="8" t="s">
        <v>37</v>
      </c>
      <c r="E1244" s="8" t="s">
        <v>5730</v>
      </c>
      <c r="F1244" s="17">
        <v>41977</v>
      </c>
      <c r="G1244" s="8" t="s">
        <v>5731</v>
      </c>
      <c r="H1244" s="8" t="s">
        <v>401</v>
      </c>
      <c r="I1244" s="8" t="s">
        <v>399</v>
      </c>
      <c r="J1244" s="16">
        <v>74738</v>
      </c>
      <c r="K1244" s="2" t="s">
        <v>1156</v>
      </c>
      <c r="L1244" s="8" t="s">
        <v>5732</v>
      </c>
      <c r="M1244" s="8" t="s">
        <v>27</v>
      </c>
      <c r="N1244" s="8" t="s">
        <v>5733</v>
      </c>
      <c r="P1244" s="8" t="s">
        <v>405</v>
      </c>
      <c r="Q1244" s="12" t="s">
        <v>5734</v>
      </c>
      <c r="S1244" s="7" t="s">
        <v>28</v>
      </c>
      <c r="T1244" s="6"/>
      <c r="U1244" s="8"/>
    </row>
    <row r="1245" spans="1:24" ht="13.5" customHeight="1">
      <c r="A1245" s="8" t="s">
        <v>5739</v>
      </c>
      <c r="B1245" s="16">
        <v>55</v>
      </c>
      <c r="C1245" s="8" t="s">
        <v>20</v>
      </c>
      <c r="D1245" s="8" t="s">
        <v>30</v>
      </c>
      <c r="F1245" s="17">
        <v>41976</v>
      </c>
      <c r="G1245" s="8" t="s">
        <v>5740</v>
      </c>
      <c r="H1245" s="8" t="s">
        <v>934</v>
      </c>
      <c r="I1245" s="8" t="s">
        <v>73</v>
      </c>
      <c r="J1245" s="16">
        <v>76116</v>
      </c>
      <c r="K1245" s="2" t="s">
        <v>74</v>
      </c>
      <c r="L1245" s="8" t="s">
        <v>935</v>
      </c>
      <c r="M1245" s="8" t="s">
        <v>27</v>
      </c>
      <c r="N1245" s="8" t="s">
        <v>5741</v>
      </c>
      <c r="P1245" s="8" t="s">
        <v>405</v>
      </c>
      <c r="Q1245" s="12" t="str">
        <f>HYPERLINK("http://www.star-telegram.com/2014/12/03/6335890/fort-worth-police-fatally-shoot.html?rh=1","http://www.star-telegram.com/2014/12/03/6335890/fort-worth-police-fatally-shoot.html?rh=1")</f>
        <v>http://www.star-telegram.com/2014/12/03/6335890/fort-worth-police-fatally-shoot.html?rh=1</v>
      </c>
      <c r="S1245" s="7" t="s">
        <v>28</v>
      </c>
      <c r="T1245" s="6"/>
      <c r="U1245" s="8"/>
    </row>
    <row r="1246" spans="1:24" ht="13.5" customHeight="1">
      <c r="A1246" s="8" t="s">
        <v>5735</v>
      </c>
      <c r="B1246" s="16">
        <v>68</v>
      </c>
      <c r="C1246" s="8" t="s">
        <v>20</v>
      </c>
      <c r="D1246" s="8" t="s">
        <v>85</v>
      </c>
      <c r="F1246" s="17">
        <v>41976</v>
      </c>
      <c r="G1246" s="8" t="s">
        <v>5736</v>
      </c>
      <c r="H1246" s="8" t="s">
        <v>98</v>
      </c>
      <c r="I1246" s="8" t="s">
        <v>45</v>
      </c>
      <c r="J1246" s="16">
        <v>90014</v>
      </c>
      <c r="K1246" s="2" t="s">
        <v>98</v>
      </c>
      <c r="L1246" s="8" t="s">
        <v>99</v>
      </c>
      <c r="M1246" s="8" t="s">
        <v>27</v>
      </c>
      <c r="N1246" s="8" t="s">
        <v>5737</v>
      </c>
      <c r="P1246" s="8" t="s">
        <v>405</v>
      </c>
      <c r="Q1246" s="12" t="s">
        <v>5738</v>
      </c>
      <c r="R1246" s="8" t="s">
        <v>29</v>
      </c>
      <c r="S1246" s="7" t="s">
        <v>28</v>
      </c>
      <c r="T1246" s="6"/>
      <c r="U1246" s="8"/>
    </row>
    <row r="1247" spans="1:24" ht="13.5" customHeight="1">
      <c r="A1247" s="8" t="s">
        <v>5742</v>
      </c>
      <c r="B1247" s="16">
        <v>24</v>
      </c>
      <c r="C1247" s="8" t="s">
        <v>20</v>
      </c>
      <c r="D1247" s="8" t="s">
        <v>85</v>
      </c>
      <c r="E1247" s="8"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1247" s="17">
        <v>41975</v>
      </c>
      <c r="G1247" s="8" t="s">
        <v>5743</v>
      </c>
      <c r="H1247" s="8" t="s">
        <v>1104</v>
      </c>
      <c r="I1247" s="8" t="s">
        <v>399</v>
      </c>
      <c r="J1247" s="16">
        <v>73127</v>
      </c>
      <c r="K1247" s="2" t="s">
        <v>1105</v>
      </c>
      <c r="L1247" s="8" t="s">
        <v>1106</v>
      </c>
      <c r="M1247" s="8" t="s">
        <v>27</v>
      </c>
      <c r="N1247" s="8" t="s">
        <v>5744</v>
      </c>
      <c r="P1247" s="8" t="s">
        <v>405</v>
      </c>
      <c r="Q1247" s="12" t="str">
        <f>HYPERLINK("http://newsok.com/officer-involved-shooting-reported-in-northwest-oklahoma-city/article/5372084","http://newsok.com/officer-involved-shooting-reported-in-northwest-oklahoma-city/article/5372084")</f>
        <v>http://newsok.com/officer-involved-shooting-reported-in-northwest-oklahoma-city/article/5372084</v>
      </c>
      <c r="R1247" s="8" t="s">
        <v>100</v>
      </c>
      <c r="S1247" s="7" t="s">
        <v>28</v>
      </c>
      <c r="T1247" s="6"/>
      <c r="U1247" s="8"/>
    </row>
    <row r="1248" spans="1:24" ht="13.5" customHeight="1">
      <c r="A1248" s="8" t="s">
        <v>5745</v>
      </c>
      <c r="B1248" s="16">
        <v>34</v>
      </c>
      <c r="C1248" s="8" t="s">
        <v>20</v>
      </c>
      <c r="D1248" s="8" t="s">
        <v>85</v>
      </c>
      <c r="E1248" s="8" t="s">
        <v>5746</v>
      </c>
      <c r="F1248" s="17">
        <v>41975</v>
      </c>
      <c r="G1248" s="8" t="s">
        <v>5747</v>
      </c>
      <c r="H1248" s="8" t="s">
        <v>638</v>
      </c>
      <c r="I1248" s="8" t="s">
        <v>124</v>
      </c>
      <c r="J1248" s="16" t="s">
        <v>5748</v>
      </c>
      <c r="K1248" s="2" t="s">
        <v>639</v>
      </c>
      <c r="L1248" s="8" t="s">
        <v>640</v>
      </c>
      <c r="M1248" s="8" t="s">
        <v>27</v>
      </c>
      <c r="N1248" s="8" t="s">
        <v>5749</v>
      </c>
      <c r="O1248" s="8" t="s">
        <v>404</v>
      </c>
      <c r="P1248" s="8" t="s">
        <v>405</v>
      </c>
      <c r="Q1248" s="12" t="s">
        <v>5750</v>
      </c>
      <c r="R1248" s="8" t="s">
        <v>100</v>
      </c>
      <c r="S1248" s="7" t="s">
        <v>18</v>
      </c>
      <c r="T1248" s="6"/>
      <c r="U1248" s="8"/>
      <c r="V1248" s="8"/>
      <c r="W1248" s="8"/>
      <c r="X1248" s="8"/>
    </row>
    <row r="1249" spans="1:39" ht="13.5" customHeight="1">
      <c r="A1249" s="8" t="s">
        <v>5751</v>
      </c>
      <c r="B1249" s="16">
        <v>50</v>
      </c>
      <c r="C1249" s="8" t="s">
        <v>20</v>
      </c>
      <c r="D1249" s="8" t="s">
        <v>37</v>
      </c>
      <c r="E1249" s="8" t="s">
        <v>5752</v>
      </c>
      <c r="F1249" s="17">
        <v>41975</v>
      </c>
      <c r="G1249" s="8" t="s">
        <v>5753</v>
      </c>
      <c r="H1249" s="8" t="s">
        <v>5754</v>
      </c>
      <c r="I1249" s="8" t="s">
        <v>370</v>
      </c>
      <c r="J1249" s="16">
        <v>28377</v>
      </c>
      <c r="K1249" s="2" t="s">
        <v>5755</v>
      </c>
      <c r="L1249" s="8" t="s">
        <v>5756</v>
      </c>
      <c r="M1249" s="8" t="s">
        <v>395</v>
      </c>
      <c r="N1249" s="8" t="s">
        <v>5757</v>
      </c>
      <c r="P1249" s="8" t="s">
        <v>405</v>
      </c>
      <c r="Q1249" s="12" t="s">
        <v>5758</v>
      </c>
      <c r="S1249" s="7" t="s">
        <v>18</v>
      </c>
      <c r="T1249" s="6"/>
      <c r="U1249" s="8"/>
    </row>
    <row r="1250" spans="1:39" ht="13.5" customHeight="1">
      <c r="A1250" s="8" t="s">
        <v>5759</v>
      </c>
      <c r="B1250" s="16">
        <v>16</v>
      </c>
      <c r="C1250" s="8" t="s">
        <v>20</v>
      </c>
      <c r="D1250" s="8" t="s">
        <v>21</v>
      </c>
      <c r="F1250" s="17">
        <v>41974</v>
      </c>
      <c r="G1250" s="8" t="s">
        <v>5760</v>
      </c>
      <c r="H1250" s="8" t="s">
        <v>731</v>
      </c>
      <c r="I1250" s="8" t="s">
        <v>73</v>
      </c>
      <c r="J1250" s="16">
        <v>77068</v>
      </c>
      <c r="K1250" s="2" t="s">
        <v>562</v>
      </c>
      <c r="L1250" s="8" t="s">
        <v>563</v>
      </c>
      <c r="M1250" s="8" t="s">
        <v>27</v>
      </c>
      <c r="N1250" s="8" t="s">
        <v>5761</v>
      </c>
      <c r="P1250" s="8" t="s">
        <v>405</v>
      </c>
      <c r="Q1250"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S1250" s="7" t="s">
        <v>28</v>
      </c>
      <c r="T1250" s="6"/>
      <c r="U1250" s="8"/>
      <c r="AI1250" s="8"/>
      <c r="AJ1250" s="8"/>
      <c r="AK1250" s="8"/>
      <c r="AL1250" s="8"/>
      <c r="AM1250" s="8"/>
    </row>
    <row r="1251" spans="1:39" ht="13.5" customHeight="1">
      <c r="A1251" s="8" t="s">
        <v>5773</v>
      </c>
      <c r="B1251" s="16" t="s">
        <v>29</v>
      </c>
      <c r="C1251" s="8" t="s">
        <v>115</v>
      </c>
      <c r="D1251" s="8" t="s">
        <v>37</v>
      </c>
      <c r="E1251" s="8" t="s">
        <v>5774</v>
      </c>
      <c r="F1251" s="17">
        <v>41974</v>
      </c>
      <c r="G1251" s="8" t="s">
        <v>5775</v>
      </c>
      <c r="H1251" s="8" t="s">
        <v>5776</v>
      </c>
      <c r="I1251" s="8" t="s">
        <v>319</v>
      </c>
      <c r="J1251" s="16">
        <v>41030</v>
      </c>
      <c r="K1251" s="2" t="s">
        <v>401</v>
      </c>
      <c r="L1251" s="8" t="s">
        <v>3406</v>
      </c>
      <c r="M1251" s="8" t="s">
        <v>395</v>
      </c>
      <c r="N1251" s="8" t="s">
        <v>5777</v>
      </c>
      <c r="P1251" s="8" t="s">
        <v>405</v>
      </c>
      <c r="Q1251" s="12" t="s">
        <v>5778</v>
      </c>
      <c r="S1251" s="7" t="s">
        <v>28</v>
      </c>
      <c r="T1251" s="6"/>
      <c r="U1251" s="8"/>
    </row>
    <row r="1252" spans="1:39" ht="13.5" customHeight="1">
      <c r="A1252" s="8" t="s">
        <v>5766</v>
      </c>
      <c r="B1252" s="16">
        <v>45</v>
      </c>
      <c r="C1252" s="8" t="s">
        <v>20</v>
      </c>
      <c r="D1252" s="8" t="s">
        <v>37</v>
      </c>
      <c r="E1252" s="8" t="s">
        <v>5767</v>
      </c>
      <c r="F1252" s="17">
        <v>41974</v>
      </c>
      <c r="G1252" s="8" t="s">
        <v>5768</v>
      </c>
      <c r="H1252" s="8" t="s">
        <v>255</v>
      </c>
      <c r="I1252" s="8" t="s">
        <v>32</v>
      </c>
      <c r="J1252" s="16" t="s">
        <v>5769</v>
      </c>
      <c r="K1252" s="2" t="s">
        <v>255</v>
      </c>
      <c r="L1252" s="8" t="s">
        <v>5770</v>
      </c>
      <c r="M1252" s="8" t="s">
        <v>27</v>
      </c>
      <c r="N1252" s="8" t="s">
        <v>5771</v>
      </c>
      <c r="O1252" s="8" t="s">
        <v>404</v>
      </c>
      <c r="P1252" s="8" t="s">
        <v>405</v>
      </c>
      <c r="Q1252" s="12" t="s">
        <v>5772</v>
      </c>
      <c r="R1252" s="8" t="s">
        <v>559</v>
      </c>
      <c r="S1252" s="7" t="s">
        <v>28</v>
      </c>
      <c r="T1252" s="6"/>
      <c r="U1252" s="8"/>
      <c r="Y1252" s="8"/>
      <c r="Z1252" s="8"/>
      <c r="AA1252" s="8"/>
      <c r="AB1252" s="8"/>
      <c r="AC1252" s="8"/>
      <c r="AD1252" s="8"/>
      <c r="AE1252" s="8"/>
      <c r="AF1252" s="8"/>
      <c r="AG1252" s="8"/>
      <c r="AH1252" s="8"/>
    </row>
    <row r="1253" spans="1:39" ht="13.5" customHeight="1">
      <c r="A1253" s="8" t="s">
        <v>5762</v>
      </c>
      <c r="B1253" s="16">
        <v>49</v>
      </c>
      <c r="C1253" s="8" t="s">
        <v>20</v>
      </c>
      <c r="D1253" s="8" t="s">
        <v>48</v>
      </c>
      <c r="F1253" s="17">
        <v>41974</v>
      </c>
      <c r="G1253" s="8" t="s">
        <v>5763</v>
      </c>
      <c r="H1253" s="8" t="s">
        <v>1958</v>
      </c>
      <c r="I1253" s="8" t="s">
        <v>73</v>
      </c>
      <c r="J1253" s="16">
        <v>79701</v>
      </c>
      <c r="K1253" s="2" t="s">
        <v>1958</v>
      </c>
      <c r="L1253" s="8" t="s">
        <v>1960</v>
      </c>
      <c r="M1253" s="8" t="s">
        <v>27</v>
      </c>
      <c r="N1253" s="8" t="s">
        <v>5764</v>
      </c>
      <c r="P1253" s="8" t="s">
        <v>405</v>
      </c>
      <c r="Q1253" s="12" t="s">
        <v>5765</v>
      </c>
      <c r="S1253" s="7" t="s">
        <v>28</v>
      </c>
      <c r="T1253" s="6"/>
      <c r="U1253" s="8"/>
    </row>
    <row r="1254" spans="1:39" ht="13.5" customHeight="1">
      <c r="A1254" s="8" t="s">
        <v>5779</v>
      </c>
      <c r="B1254" s="16">
        <v>19</v>
      </c>
      <c r="C1254" s="8" t="s">
        <v>20</v>
      </c>
      <c r="D1254" s="8" t="s">
        <v>48</v>
      </c>
      <c r="E1254" s="8" t="s">
        <v>5780</v>
      </c>
      <c r="F1254" s="17">
        <v>41973</v>
      </c>
      <c r="G1254" s="8" t="s">
        <v>5781</v>
      </c>
      <c r="H1254" s="8" t="s">
        <v>5782</v>
      </c>
      <c r="I1254" s="8" t="s">
        <v>45</v>
      </c>
      <c r="J1254" s="16" t="s">
        <v>5783</v>
      </c>
      <c r="K1254" s="2" t="s">
        <v>98</v>
      </c>
      <c r="L1254" s="8" t="s">
        <v>418</v>
      </c>
      <c r="M1254" s="8" t="s">
        <v>27</v>
      </c>
      <c r="N1254" s="8" t="s">
        <v>5784</v>
      </c>
      <c r="O1254" s="8" t="s">
        <v>1018</v>
      </c>
      <c r="P1254" s="8" t="s">
        <v>405</v>
      </c>
      <c r="Q1254" s="12" t="s">
        <v>5785</v>
      </c>
      <c r="R1254" s="8" t="s">
        <v>559</v>
      </c>
      <c r="S1254" s="7" t="s">
        <v>28</v>
      </c>
      <c r="T1254" s="6"/>
      <c r="U1254" s="8"/>
    </row>
    <row r="1255" spans="1:39" ht="13.5" customHeight="1">
      <c r="A1255" s="8" t="s">
        <v>5786</v>
      </c>
      <c r="B1255" s="16">
        <v>24</v>
      </c>
      <c r="C1255" s="8" t="s">
        <v>20</v>
      </c>
      <c r="D1255" s="8" t="s">
        <v>37</v>
      </c>
      <c r="E1255" s="8" t="s">
        <v>5787</v>
      </c>
      <c r="F1255" s="17">
        <v>41973</v>
      </c>
      <c r="G1255" s="8" t="s">
        <v>5788</v>
      </c>
      <c r="H1255" s="8" t="s">
        <v>5789</v>
      </c>
      <c r="I1255" s="8" t="s">
        <v>272</v>
      </c>
      <c r="J1255" s="16" t="s">
        <v>5790</v>
      </c>
      <c r="K1255" s="2" t="s">
        <v>5789</v>
      </c>
      <c r="L1255" s="8" t="s">
        <v>5791</v>
      </c>
      <c r="M1255" s="8" t="s">
        <v>27</v>
      </c>
      <c r="N1255" s="8" t="s">
        <v>5792</v>
      </c>
      <c r="O1255" s="8" t="s">
        <v>554</v>
      </c>
      <c r="P1255" s="8" t="s">
        <v>405</v>
      </c>
      <c r="Q1255" s="12" t="s">
        <v>5793</v>
      </c>
      <c r="R1255" s="8" t="s">
        <v>29</v>
      </c>
      <c r="S1255" s="7" t="s">
        <v>28</v>
      </c>
      <c r="T1255" s="6"/>
      <c r="U1255" s="8"/>
    </row>
    <row r="1256" spans="1:39" ht="13.5" customHeight="1">
      <c r="A1256" s="8" t="s">
        <v>5811</v>
      </c>
      <c r="B1256" s="16">
        <v>49</v>
      </c>
      <c r="C1256" s="8" t="s">
        <v>20</v>
      </c>
      <c r="D1256" s="8" t="s">
        <v>37</v>
      </c>
      <c r="E1256" s="8" t="s">
        <v>5812</v>
      </c>
      <c r="F1256" s="17">
        <v>41971</v>
      </c>
      <c r="G1256" s="8" t="s">
        <v>5813</v>
      </c>
      <c r="H1256" s="8" t="s">
        <v>1326</v>
      </c>
      <c r="I1256" s="8" t="s">
        <v>73</v>
      </c>
      <c r="J1256" s="16" t="s">
        <v>5814</v>
      </c>
      <c r="K1256" s="2" t="s">
        <v>1327</v>
      </c>
      <c r="L1256" s="8" t="s">
        <v>1328</v>
      </c>
      <c r="M1256" s="8" t="s">
        <v>27</v>
      </c>
      <c r="N1256" s="8" t="s">
        <v>5815</v>
      </c>
      <c r="O1256" s="8" t="s">
        <v>1018</v>
      </c>
      <c r="P1256" s="8" t="s">
        <v>405</v>
      </c>
      <c r="Q1256" s="12" t="s">
        <v>5816</v>
      </c>
      <c r="R1256" s="8" t="s">
        <v>29</v>
      </c>
      <c r="S1256" s="7" t="s">
        <v>28</v>
      </c>
      <c r="T1256" s="6"/>
      <c r="U1256" s="8"/>
      <c r="Y1256" s="8"/>
      <c r="Z1256" s="8"/>
      <c r="AA1256" s="8"/>
      <c r="AB1256" s="8"/>
      <c r="AC1256" s="8"/>
      <c r="AD1256" s="8"/>
      <c r="AE1256" s="8"/>
      <c r="AF1256" s="8"/>
      <c r="AG1256" s="8"/>
      <c r="AH1256" s="8"/>
    </row>
    <row r="1257" spans="1:39" ht="13.5" customHeight="1">
      <c r="A1257" s="8" t="s">
        <v>5817</v>
      </c>
      <c r="B1257" s="16">
        <v>42</v>
      </c>
      <c r="C1257" s="8" t="s">
        <v>20</v>
      </c>
      <c r="D1257" s="8" t="s">
        <v>37</v>
      </c>
      <c r="E1257" s="8" t="s">
        <v>5818</v>
      </c>
      <c r="F1257" s="17">
        <v>41971</v>
      </c>
      <c r="G1257" s="8" t="s">
        <v>5819</v>
      </c>
      <c r="H1257" s="8" t="s">
        <v>437</v>
      </c>
      <c r="I1257" s="8" t="s">
        <v>675</v>
      </c>
      <c r="J1257" s="16" t="s">
        <v>5820</v>
      </c>
      <c r="K1257" s="2" t="s">
        <v>5821</v>
      </c>
      <c r="L1257" s="8" t="s">
        <v>5822</v>
      </c>
      <c r="M1257" s="8" t="s">
        <v>27</v>
      </c>
      <c r="N1257" s="8" t="s">
        <v>5823</v>
      </c>
      <c r="O1257" s="8" t="s">
        <v>1018</v>
      </c>
      <c r="P1257" s="8" t="s">
        <v>405</v>
      </c>
      <c r="Q1257" s="12" t="s">
        <v>5824</v>
      </c>
      <c r="R1257" s="8" t="s">
        <v>100</v>
      </c>
      <c r="S1257" s="7" t="s">
        <v>28</v>
      </c>
      <c r="T1257" s="6"/>
      <c r="U1257" s="8"/>
    </row>
    <row r="1258" spans="1:39" ht="13.5" customHeight="1">
      <c r="A1258" s="8" t="s">
        <v>5803</v>
      </c>
      <c r="B1258" s="16">
        <v>27</v>
      </c>
      <c r="C1258" s="8" t="s">
        <v>20</v>
      </c>
      <c r="D1258" s="8" t="s">
        <v>141</v>
      </c>
      <c r="E1258" s="8" t="s">
        <v>5804</v>
      </c>
      <c r="F1258" s="17">
        <v>41971</v>
      </c>
      <c r="G1258" s="8" t="s">
        <v>5805</v>
      </c>
      <c r="H1258" s="8" t="s">
        <v>5806</v>
      </c>
      <c r="I1258" s="8" t="s">
        <v>198</v>
      </c>
      <c r="J1258" s="16" t="s">
        <v>5807</v>
      </c>
      <c r="K1258" s="2" t="s">
        <v>5808</v>
      </c>
      <c r="L1258" s="8" t="s">
        <v>3118</v>
      </c>
      <c r="M1258" s="8" t="s">
        <v>27</v>
      </c>
      <c r="N1258" s="8" t="s">
        <v>5809</v>
      </c>
      <c r="O1258" s="8" t="s">
        <v>1018</v>
      </c>
      <c r="P1258" s="8" t="s">
        <v>405</v>
      </c>
      <c r="Q1258" s="12" t="s">
        <v>5810</v>
      </c>
      <c r="R1258" s="8" t="s">
        <v>100</v>
      </c>
      <c r="S1258" s="7" t="s">
        <v>28</v>
      </c>
      <c r="T1258" s="6"/>
      <c r="U1258" s="8"/>
    </row>
    <row r="1259" spans="1:39" ht="13.5" customHeight="1">
      <c r="A1259" s="8" t="s">
        <v>3288</v>
      </c>
      <c r="B1259" s="16">
        <v>52</v>
      </c>
      <c r="C1259" s="8" t="s">
        <v>20</v>
      </c>
      <c r="D1259" s="8" t="s">
        <v>48</v>
      </c>
      <c r="F1259" s="17">
        <v>41971</v>
      </c>
      <c r="G1259" s="8" t="s">
        <v>5795</v>
      </c>
      <c r="H1259" s="8" t="s">
        <v>5796</v>
      </c>
      <c r="I1259" s="8" t="s">
        <v>57</v>
      </c>
      <c r="K1259" s="2" t="s">
        <v>1139</v>
      </c>
      <c r="L1259" s="8" t="s">
        <v>2196</v>
      </c>
      <c r="M1259" s="8" t="s">
        <v>27</v>
      </c>
      <c r="N1259" s="8" t="s">
        <v>5801</v>
      </c>
      <c r="P1259" s="8" t="s">
        <v>405</v>
      </c>
      <c r="Q1259" s="12" t="s">
        <v>5802</v>
      </c>
      <c r="S1259" s="7" t="s">
        <v>28</v>
      </c>
      <c r="T1259" s="6"/>
      <c r="U1259" s="8"/>
    </row>
    <row r="1260" spans="1:39" ht="13.5" customHeight="1">
      <c r="A1260" s="8" t="s">
        <v>5794</v>
      </c>
      <c r="B1260" s="16">
        <v>52</v>
      </c>
      <c r="C1260" s="8" t="s">
        <v>20</v>
      </c>
      <c r="D1260" s="8" t="s">
        <v>48</v>
      </c>
      <c r="F1260" s="17">
        <v>41971</v>
      </c>
      <c r="G1260" s="8" t="s">
        <v>5795</v>
      </c>
      <c r="H1260" s="8" t="s">
        <v>5796</v>
      </c>
      <c r="I1260" s="8" t="s">
        <v>57</v>
      </c>
      <c r="J1260" s="16" t="s">
        <v>5797</v>
      </c>
      <c r="K1260" s="2" t="s">
        <v>1139</v>
      </c>
      <c r="L1260" s="8" t="s">
        <v>5798</v>
      </c>
      <c r="M1260" s="8" t="s">
        <v>27</v>
      </c>
      <c r="N1260" s="8" t="s">
        <v>5799</v>
      </c>
      <c r="O1260" s="8" t="s">
        <v>1018</v>
      </c>
      <c r="P1260" s="8" t="s">
        <v>405</v>
      </c>
      <c r="Q1260" s="12" t="s">
        <v>5800</v>
      </c>
      <c r="R1260" s="8" t="s">
        <v>100</v>
      </c>
      <c r="S1260" s="7" t="s">
        <v>28</v>
      </c>
      <c r="T1260" s="6"/>
      <c r="U1260" s="8"/>
    </row>
    <row r="1261" spans="1:39" ht="13.5" customHeight="1">
      <c r="A1261" s="8" t="s">
        <v>5825</v>
      </c>
      <c r="B1261" s="16">
        <v>45</v>
      </c>
      <c r="C1261" s="8" t="s">
        <v>20</v>
      </c>
      <c r="D1261" s="8" t="s">
        <v>30</v>
      </c>
      <c r="F1261" s="17">
        <v>41970</v>
      </c>
      <c r="G1261" s="8" t="s">
        <v>5826</v>
      </c>
      <c r="H1261" s="8" t="s">
        <v>5827</v>
      </c>
      <c r="I1261" s="8" t="s">
        <v>62</v>
      </c>
      <c r="J1261" s="16" t="s">
        <v>5828</v>
      </c>
      <c r="K1261" s="2" t="s">
        <v>644</v>
      </c>
      <c r="L1261" s="8" t="s">
        <v>645</v>
      </c>
      <c r="M1261" s="8" t="s">
        <v>27</v>
      </c>
      <c r="N1261" s="8" t="s">
        <v>5829</v>
      </c>
      <c r="O1261" s="8" t="s">
        <v>1018</v>
      </c>
      <c r="P1261" s="8" t="s">
        <v>405</v>
      </c>
      <c r="Q1261" s="12" t="s">
        <v>5830</v>
      </c>
      <c r="R1261" s="8" t="s">
        <v>100</v>
      </c>
      <c r="S1261" s="7" t="s">
        <v>28</v>
      </c>
      <c r="T1261" s="6"/>
      <c r="U1261" s="8"/>
    </row>
    <row r="1262" spans="1:39" ht="13.5" customHeight="1">
      <c r="A1262" s="8" t="s">
        <v>5831</v>
      </c>
      <c r="B1262" s="16">
        <v>39</v>
      </c>
      <c r="C1262" s="8" t="s">
        <v>20</v>
      </c>
      <c r="D1262" s="8" t="s">
        <v>37</v>
      </c>
      <c r="E1262" s="8" t="s">
        <v>5832</v>
      </c>
      <c r="F1262" s="17">
        <v>41969</v>
      </c>
      <c r="G1262" s="8" t="s">
        <v>5833</v>
      </c>
      <c r="H1262" s="8" t="s">
        <v>5834</v>
      </c>
      <c r="I1262" s="8" t="s">
        <v>45</v>
      </c>
      <c r="J1262" s="16" t="s">
        <v>5835</v>
      </c>
      <c r="K1262" s="2" t="s">
        <v>5836</v>
      </c>
      <c r="L1262" s="8" t="s">
        <v>5837</v>
      </c>
      <c r="M1262" s="8" t="s">
        <v>395</v>
      </c>
      <c r="N1262" s="8" t="s">
        <v>5838</v>
      </c>
      <c r="O1262" s="8" t="s">
        <v>404</v>
      </c>
      <c r="P1262" s="8" t="s">
        <v>405</v>
      </c>
      <c r="Q1262" s="12" t="s">
        <v>5839</v>
      </c>
      <c r="R1262" s="8" t="s">
        <v>29</v>
      </c>
      <c r="S1262" s="7" t="s">
        <v>18</v>
      </c>
      <c r="T1262" s="6"/>
      <c r="U1262" s="8"/>
    </row>
    <row r="1263" spans="1:39" ht="13.5" customHeight="1">
      <c r="A1263" s="8" t="s">
        <v>5840</v>
      </c>
      <c r="B1263" s="16">
        <v>22</v>
      </c>
      <c r="C1263" s="8" t="s">
        <v>20</v>
      </c>
      <c r="D1263" s="8" t="s">
        <v>37</v>
      </c>
      <c r="E1263" s="8" t="s">
        <v>5841</v>
      </c>
      <c r="F1263" s="17">
        <v>41969</v>
      </c>
      <c r="G1263" s="8" t="s">
        <v>5842</v>
      </c>
      <c r="H1263" s="8" t="s">
        <v>5843</v>
      </c>
      <c r="I1263" s="8" t="s">
        <v>73</v>
      </c>
      <c r="J1263" s="16" t="s">
        <v>5844</v>
      </c>
      <c r="K1263" s="2" t="s">
        <v>168</v>
      </c>
      <c r="L1263" s="8" t="s">
        <v>5845</v>
      </c>
      <c r="M1263" s="8" t="s">
        <v>27</v>
      </c>
      <c r="N1263" s="8" t="s">
        <v>5846</v>
      </c>
      <c r="O1263" s="8" t="s">
        <v>404</v>
      </c>
      <c r="P1263" s="8" t="s">
        <v>405</v>
      </c>
      <c r="Q1263" s="12" t="s">
        <v>5847</v>
      </c>
      <c r="R1263" s="8" t="s">
        <v>100</v>
      </c>
      <c r="S1263" s="7" t="s">
        <v>28</v>
      </c>
      <c r="T1263" s="6"/>
      <c r="U1263" s="8"/>
    </row>
    <row r="1264" spans="1:39" ht="13.5" customHeight="1">
      <c r="A1264" s="8" t="s">
        <v>5848</v>
      </c>
      <c r="B1264" s="16">
        <v>41</v>
      </c>
      <c r="C1264" s="8" t="s">
        <v>20</v>
      </c>
      <c r="D1264" s="8" t="s">
        <v>37</v>
      </c>
      <c r="E1264" s="8" t="s">
        <v>5849</v>
      </c>
      <c r="F1264" s="17">
        <v>41969</v>
      </c>
      <c r="G1264" s="8" t="s">
        <v>5850</v>
      </c>
      <c r="H1264" s="8" t="s">
        <v>5851</v>
      </c>
      <c r="I1264" s="8" t="s">
        <v>435</v>
      </c>
      <c r="J1264" s="16" t="s">
        <v>5852</v>
      </c>
      <c r="K1264" s="2" t="s">
        <v>5486</v>
      </c>
      <c r="L1264" s="8" t="s">
        <v>5853</v>
      </c>
      <c r="M1264" s="8" t="s">
        <v>27</v>
      </c>
      <c r="N1264" s="8" t="s">
        <v>5854</v>
      </c>
      <c r="O1264" s="8" t="s">
        <v>1018</v>
      </c>
      <c r="P1264" s="8" t="s">
        <v>405</v>
      </c>
      <c r="Q1264" s="12" t="s">
        <v>5855</v>
      </c>
      <c r="R1264" s="8" t="s">
        <v>29</v>
      </c>
      <c r="S1264" s="7" t="s">
        <v>28</v>
      </c>
      <c r="T1264" s="6"/>
      <c r="U1264" s="8"/>
    </row>
    <row r="1265" spans="1:24" ht="13.5" customHeight="1">
      <c r="A1265" s="8" t="s">
        <v>5856</v>
      </c>
      <c r="B1265" s="16">
        <v>30</v>
      </c>
      <c r="C1265" s="8" t="s">
        <v>20</v>
      </c>
      <c r="D1265" s="8" t="s">
        <v>85</v>
      </c>
      <c r="E1265" s="8" t="s">
        <v>5857</v>
      </c>
      <c r="F1265" s="17">
        <v>41968</v>
      </c>
      <c r="G1265" s="8" t="s">
        <v>5858</v>
      </c>
      <c r="H1265" s="8" t="s">
        <v>5859</v>
      </c>
      <c r="I1265" s="8" t="s">
        <v>73</v>
      </c>
      <c r="J1265" s="16" t="s">
        <v>5860</v>
      </c>
      <c r="K1265" s="2" t="s">
        <v>288</v>
      </c>
      <c r="L1265" s="8" t="s">
        <v>5861</v>
      </c>
      <c r="M1265" s="8" t="s">
        <v>395</v>
      </c>
      <c r="N1265" s="8" t="s">
        <v>5862</v>
      </c>
      <c r="O1265" s="8" t="s">
        <v>1018</v>
      </c>
      <c r="P1265" s="8" t="s">
        <v>405</v>
      </c>
      <c r="Q1265" s="12"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1265" s="8" t="s">
        <v>972</v>
      </c>
      <c r="S1265" s="7" t="s">
        <v>18</v>
      </c>
      <c r="T1265" s="6"/>
      <c r="U1265" s="8"/>
    </row>
    <row r="1266" spans="1:24" ht="13.5" customHeight="1">
      <c r="A1266" s="8" t="s">
        <v>5869</v>
      </c>
      <c r="B1266" s="16">
        <v>26</v>
      </c>
      <c r="C1266" s="8" t="s">
        <v>20</v>
      </c>
      <c r="D1266" s="8" t="s">
        <v>37</v>
      </c>
      <c r="E1266" s="8" t="s">
        <v>5870</v>
      </c>
      <c r="F1266" s="17">
        <v>41968</v>
      </c>
      <c r="G1266" s="8" t="s">
        <v>5871</v>
      </c>
      <c r="H1266" s="8" t="s">
        <v>4738</v>
      </c>
      <c r="I1266" s="8" t="s">
        <v>212</v>
      </c>
      <c r="J1266" s="16" t="s">
        <v>4739</v>
      </c>
      <c r="K1266" s="2" t="s">
        <v>4738</v>
      </c>
      <c r="L1266" s="8" t="s">
        <v>4740</v>
      </c>
      <c r="M1266" s="8" t="s">
        <v>27</v>
      </c>
      <c r="N1266" s="8" t="s">
        <v>5872</v>
      </c>
      <c r="O1266" s="8" t="s">
        <v>1018</v>
      </c>
      <c r="P1266" s="8" t="s">
        <v>405</v>
      </c>
      <c r="Q1266" s="12" t="s">
        <v>5873</v>
      </c>
      <c r="R1266" s="8" t="s">
        <v>100</v>
      </c>
      <c r="S1266" s="7" t="s">
        <v>28</v>
      </c>
      <c r="T1266" s="6"/>
      <c r="U1266" s="8"/>
    </row>
    <row r="1267" spans="1:24" ht="13.5" customHeight="1">
      <c r="A1267" s="8" t="s">
        <v>5863</v>
      </c>
      <c r="B1267" s="16">
        <v>52</v>
      </c>
      <c r="C1267" s="8" t="s">
        <v>20</v>
      </c>
      <c r="D1267" s="8" t="s">
        <v>37</v>
      </c>
      <c r="E1267" s="8" t="s">
        <v>5864</v>
      </c>
      <c r="F1267" s="17">
        <v>41968</v>
      </c>
      <c r="G1267" s="8" t="s">
        <v>5865</v>
      </c>
      <c r="H1267" s="8" t="s">
        <v>992</v>
      </c>
      <c r="I1267" s="8" t="s">
        <v>323</v>
      </c>
      <c r="J1267" s="16" t="s">
        <v>5866</v>
      </c>
      <c r="K1267" s="2" t="s">
        <v>993</v>
      </c>
      <c r="L1267" s="8" t="s">
        <v>19941</v>
      </c>
      <c r="M1267" s="8" t="s">
        <v>27</v>
      </c>
      <c r="N1267" s="8" t="s">
        <v>5867</v>
      </c>
      <c r="O1267" s="8" t="s">
        <v>1018</v>
      </c>
      <c r="P1267" s="8" t="s">
        <v>405</v>
      </c>
      <c r="Q1267" s="12" t="s">
        <v>5868</v>
      </c>
      <c r="R1267" s="8" t="s">
        <v>100</v>
      </c>
      <c r="S1267" s="7" t="s">
        <v>28</v>
      </c>
      <c r="T1267" s="6"/>
      <c r="U1267" s="8"/>
    </row>
    <row r="1268" spans="1:24" ht="13.5" customHeight="1">
      <c r="A1268" s="8" t="s">
        <v>5874</v>
      </c>
      <c r="B1268" s="16">
        <v>31</v>
      </c>
      <c r="C1268" s="8" t="s">
        <v>20</v>
      </c>
      <c r="D1268" s="8" t="s">
        <v>37</v>
      </c>
      <c r="F1268" s="17">
        <v>41968</v>
      </c>
      <c r="G1268" s="8" t="s">
        <v>5875</v>
      </c>
      <c r="H1268" s="8" t="s">
        <v>3383</v>
      </c>
      <c r="I1268" s="8" t="s">
        <v>306</v>
      </c>
      <c r="J1268" s="16" t="s">
        <v>5876</v>
      </c>
      <c r="K1268" s="2" t="s">
        <v>574</v>
      </c>
      <c r="L1268" s="8" t="s">
        <v>5877</v>
      </c>
      <c r="M1268" s="8" t="s">
        <v>27</v>
      </c>
      <c r="N1268" s="8" t="s">
        <v>5878</v>
      </c>
      <c r="O1268" s="8" t="s">
        <v>1018</v>
      </c>
      <c r="P1268" s="8" t="s">
        <v>405</v>
      </c>
      <c r="Q1268" s="12" t="s">
        <v>5879</v>
      </c>
      <c r="R1268" s="8" t="s">
        <v>29</v>
      </c>
      <c r="S1268" s="7" t="s">
        <v>18</v>
      </c>
      <c r="T1268" s="6"/>
      <c r="U1268" s="8"/>
    </row>
    <row r="1269" spans="1:24" ht="13.5" customHeight="1">
      <c r="A1269" s="8" t="s">
        <v>5880</v>
      </c>
      <c r="B1269" s="16">
        <v>33</v>
      </c>
      <c r="C1269" s="8" t="s">
        <v>20</v>
      </c>
      <c r="D1269" s="8" t="s">
        <v>85</v>
      </c>
      <c r="E1269" s="8" t="s">
        <v>5881</v>
      </c>
      <c r="F1269" s="17">
        <v>41967</v>
      </c>
      <c r="G1269" s="8" t="s">
        <v>5882</v>
      </c>
      <c r="H1269" s="8" t="s">
        <v>657</v>
      </c>
      <c r="I1269" s="8" t="s">
        <v>62</v>
      </c>
      <c r="J1269" s="16" t="s">
        <v>5883</v>
      </c>
      <c r="K1269" s="2" t="s">
        <v>658</v>
      </c>
      <c r="L1269" s="8" t="s">
        <v>659</v>
      </c>
      <c r="M1269" s="8" t="s">
        <v>27</v>
      </c>
      <c r="N1269" s="8" t="s">
        <v>5884</v>
      </c>
      <c r="O1269" s="8" t="s">
        <v>1018</v>
      </c>
      <c r="P1269" s="8" t="s">
        <v>405</v>
      </c>
      <c r="Q1269" s="12"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1269" s="8" t="s">
        <v>100</v>
      </c>
      <c r="S1269" s="7" t="s">
        <v>28</v>
      </c>
      <c r="T1269" s="6"/>
      <c r="U1269" s="8"/>
    </row>
    <row r="1270" spans="1:24" ht="13.5" customHeight="1">
      <c r="A1270" s="8" t="s">
        <v>5885</v>
      </c>
      <c r="B1270" s="16">
        <v>35</v>
      </c>
      <c r="C1270" s="8" t="s">
        <v>20</v>
      </c>
      <c r="D1270" s="8" t="s">
        <v>85</v>
      </c>
      <c r="E1270" s="8" t="s">
        <v>5886</v>
      </c>
      <c r="F1270" s="17">
        <v>41967</v>
      </c>
      <c r="G1270" s="8" t="s">
        <v>5887</v>
      </c>
      <c r="H1270" s="8" t="s">
        <v>3135</v>
      </c>
      <c r="I1270" s="8" t="s">
        <v>45</v>
      </c>
      <c r="J1270" s="16" t="s">
        <v>5888</v>
      </c>
      <c r="K1270" s="2" t="s">
        <v>791</v>
      </c>
      <c r="L1270" s="8" t="s">
        <v>792</v>
      </c>
      <c r="M1270" s="8" t="s">
        <v>27</v>
      </c>
      <c r="N1270" s="8" t="s">
        <v>5889</v>
      </c>
      <c r="O1270" s="8" t="s">
        <v>1018</v>
      </c>
      <c r="P1270" s="8" t="s">
        <v>405</v>
      </c>
      <c r="Q1270" s="12" t="s">
        <v>5890</v>
      </c>
      <c r="R1270" s="8" t="s">
        <v>100</v>
      </c>
      <c r="S1270" s="7" t="s">
        <v>28</v>
      </c>
      <c r="T1270" s="6"/>
      <c r="U1270" s="8"/>
      <c r="V1270" s="8"/>
      <c r="W1270" s="8"/>
      <c r="X1270" s="8"/>
    </row>
    <row r="1271" spans="1:24" ht="13.5" customHeight="1">
      <c r="A1271" s="8" t="s">
        <v>5897</v>
      </c>
      <c r="B1271" s="16">
        <v>50</v>
      </c>
      <c r="C1271" s="8" t="s">
        <v>20</v>
      </c>
      <c r="D1271" s="8" t="s">
        <v>37</v>
      </c>
      <c r="E1271" s="8" t="s">
        <v>5898</v>
      </c>
      <c r="F1271" s="17">
        <v>41966</v>
      </c>
      <c r="G1271" s="8" t="s">
        <v>5899</v>
      </c>
      <c r="H1271" s="8" t="s">
        <v>3616</v>
      </c>
      <c r="I1271" s="8" t="s">
        <v>62</v>
      </c>
      <c r="J1271" s="16" t="s">
        <v>5900</v>
      </c>
      <c r="K1271" s="2" t="s">
        <v>3618</v>
      </c>
      <c r="L1271" s="8" t="s">
        <v>5901</v>
      </c>
      <c r="M1271" s="8" t="s">
        <v>27</v>
      </c>
      <c r="N1271" s="8" t="s">
        <v>5902</v>
      </c>
      <c r="O1271" s="8" t="s">
        <v>1018</v>
      </c>
      <c r="P1271" s="8" t="s">
        <v>405</v>
      </c>
      <c r="Q1271" s="12" t="s">
        <v>5903</v>
      </c>
      <c r="R1271" s="8" t="s">
        <v>100</v>
      </c>
      <c r="S1271" s="7" t="s">
        <v>28</v>
      </c>
      <c r="T1271" s="6"/>
      <c r="U1271" s="8"/>
    </row>
    <row r="1272" spans="1:24" ht="13.5" customHeight="1">
      <c r="A1272" s="8" t="s">
        <v>5891</v>
      </c>
      <c r="B1272" s="16">
        <v>27</v>
      </c>
      <c r="C1272" s="8" t="s">
        <v>20</v>
      </c>
      <c r="D1272" s="8" t="s">
        <v>48</v>
      </c>
      <c r="F1272" s="17">
        <v>41966</v>
      </c>
      <c r="G1272" s="8" t="s">
        <v>5892</v>
      </c>
      <c r="H1272" s="8" t="s">
        <v>5893</v>
      </c>
      <c r="I1272" s="8" t="s">
        <v>45</v>
      </c>
      <c r="J1272" s="16" t="s">
        <v>5894</v>
      </c>
      <c r="K1272" s="2" t="s">
        <v>98</v>
      </c>
      <c r="L1272" s="8" t="s">
        <v>1512</v>
      </c>
      <c r="M1272" s="8" t="s">
        <v>27</v>
      </c>
      <c r="N1272" s="8" t="s">
        <v>5895</v>
      </c>
      <c r="O1272" s="8" t="s">
        <v>1018</v>
      </c>
      <c r="P1272" s="8" t="s">
        <v>405</v>
      </c>
      <c r="Q1272" s="12" t="s">
        <v>5896</v>
      </c>
      <c r="R1272" s="8" t="s">
        <v>100</v>
      </c>
      <c r="S1272" s="7" t="s">
        <v>28</v>
      </c>
      <c r="T1272" s="6"/>
      <c r="U1272" s="8"/>
    </row>
    <row r="1273" spans="1:24" ht="13.5" customHeight="1">
      <c r="A1273" s="8" t="s">
        <v>5904</v>
      </c>
      <c r="B1273" s="16">
        <v>33</v>
      </c>
      <c r="C1273" s="8" t="s">
        <v>20</v>
      </c>
      <c r="D1273" s="8" t="s">
        <v>37</v>
      </c>
      <c r="E1273" s="8" t="s">
        <v>5905</v>
      </c>
      <c r="F1273" s="17">
        <v>41966</v>
      </c>
      <c r="G1273" s="8" t="s">
        <v>5906</v>
      </c>
      <c r="H1273" s="8" t="s">
        <v>5907</v>
      </c>
      <c r="I1273" s="8" t="s">
        <v>124</v>
      </c>
      <c r="J1273" s="16" t="s">
        <v>5908</v>
      </c>
      <c r="K1273" s="2" t="s">
        <v>5909</v>
      </c>
      <c r="L1273" s="8" t="s">
        <v>5910</v>
      </c>
      <c r="M1273" s="8" t="s">
        <v>27</v>
      </c>
      <c r="N1273" s="8" t="s">
        <v>5911</v>
      </c>
      <c r="O1273" s="8" t="s">
        <v>554</v>
      </c>
      <c r="P1273" s="8" t="s">
        <v>405</v>
      </c>
      <c r="Q1273" s="12" t="s">
        <v>5912</v>
      </c>
      <c r="R1273" s="8" t="s">
        <v>972</v>
      </c>
      <c r="S1273" s="7" t="s">
        <v>28</v>
      </c>
      <c r="T1273" s="6"/>
      <c r="U1273" s="8"/>
    </row>
    <row r="1274" spans="1:24" ht="13.5" customHeight="1">
      <c r="A1274" s="8" t="s">
        <v>5948</v>
      </c>
      <c r="B1274" s="16">
        <v>29</v>
      </c>
      <c r="C1274" s="8" t="s">
        <v>20</v>
      </c>
      <c r="D1274" s="8" t="s">
        <v>37</v>
      </c>
      <c r="E1274" s="8" t="s">
        <v>5949</v>
      </c>
      <c r="F1274" s="17">
        <v>41965</v>
      </c>
      <c r="G1274" s="8" t="s">
        <v>5950</v>
      </c>
      <c r="H1274" s="8" t="s">
        <v>5951</v>
      </c>
      <c r="I1274" s="8" t="s">
        <v>45</v>
      </c>
      <c r="J1274" s="16" t="s">
        <v>5952</v>
      </c>
      <c r="K1274" s="2" t="s">
        <v>5953</v>
      </c>
      <c r="L1274" s="8" t="s">
        <v>5954</v>
      </c>
      <c r="M1274" s="8" t="s">
        <v>27</v>
      </c>
      <c r="N1274" s="8" t="s">
        <v>5955</v>
      </c>
      <c r="O1274" s="8" t="s">
        <v>1018</v>
      </c>
      <c r="P1274" s="8" t="s">
        <v>405</v>
      </c>
      <c r="Q1274" s="12"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1274" s="8" t="s">
        <v>100</v>
      </c>
      <c r="S1274" s="7" t="s">
        <v>28</v>
      </c>
      <c r="T1274" s="6"/>
      <c r="U1274" s="8"/>
    </row>
    <row r="1275" spans="1:24" ht="13.5" customHeight="1">
      <c r="A1275" s="8" t="s">
        <v>5942</v>
      </c>
      <c r="B1275" s="16">
        <v>53</v>
      </c>
      <c r="C1275" s="8" t="s">
        <v>20</v>
      </c>
      <c r="D1275" s="8" t="s">
        <v>37</v>
      </c>
      <c r="E1275" s="8" t="s">
        <v>5943</v>
      </c>
      <c r="F1275" s="17">
        <v>41965</v>
      </c>
      <c r="G1275" s="8" t="s">
        <v>5944</v>
      </c>
      <c r="H1275" s="8" t="s">
        <v>3541</v>
      </c>
      <c r="I1275" s="8" t="s">
        <v>62</v>
      </c>
      <c r="J1275" s="16" t="s">
        <v>3542</v>
      </c>
      <c r="K1275" s="2" t="s">
        <v>3543</v>
      </c>
      <c r="L1275" s="8" t="s">
        <v>5945</v>
      </c>
      <c r="M1275" s="8" t="s">
        <v>27</v>
      </c>
      <c r="N1275" s="8" t="s">
        <v>5946</v>
      </c>
      <c r="O1275" s="8" t="s">
        <v>404</v>
      </c>
      <c r="P1275" s="8" t="s">
        <v>405</v>
      </c>
      <c r="Q1275" s="12" t="s">
        <v>5947</v>
      </c>
      <c r="R1275" s="8" t="s">
        <v>100</v>
      </c>
      <c r="S1275" s="7" t="s">
        <v>28</v>
      </c>
      <c r="T1275" s="6"/>
      <c r="U1275" s="8"/>
    </row>
    <row r="1276" spans="1:24" ht="13.5" customHeight="1">
      <c r="A1276" s="8" t="s">
        <v>5919</v>
      </c>
      <c r="B1276" s="16">
        <v>27</v>
      </c>
      <c r="C1276" s="8" t="s">
        <v>20</v>
      </c>
      <c r="D1276" s="8" t="s">
        <v>48</v>
      </c>
      <c r="E1276" s="8" t="s">
        <v>5920</v>
      </c>
      <c r="F1276" s="17">
        <v>41965</v>
      </c>
      <c r="G1276" s="8" t="s">
        <v>5921</v>
      </c>
      <c r="H1276" s="8" t="s">
        <v>5922</v>
      </c>
      <c r="I1276" s="8" t="s">
        <v>45</v>
      </c>
      <c r="J1276" s="16" t="s">
        <v>5923</v>
      </c>
      <c r="K1276" s="2" t="s">
        <v>65</v>
      </c>
      <c r="L1276" s="8" t="s">
        <v>5924</v>
      </c>
      <c r="M1276" s="8" t="s">
        <v>27</v>
      </c>
      <c r="N1276" s="8" t="s">
        <v>5925</v>
      </c>
      <c r="O1276" s="8" t="s">
        <v>1018</v>
      </c>
      <c r="P1276" s="8" t="s">
        <v>405</v>
      </c>
      <c r="Q1276" s="12" t="s">
        <v>5926</v>
      </c>
      <c r="R1276" s="8" t="s">
        <v>100</v>
      </c>
      <c r="S1276" s="7" t="s">
        <v>28</v>
      </c>
      <c r="T1276" s="6"/>
      <c r="U1276" s="8"/>
    </row>
    <row r="1277" spans="1:24" ht="13.5" customHeight="1">
      <c r="A1277" s="8" t="s">
        <v>5934</v>
      </c>
      <c r="B1277" s="16">
        <v>40</v>
      </c>
      <c r="C1277" s="8" t="s">
        <v>115</v>
      </c>
      <c r="D1277" s="8" t="s">
        <v>37</v>
      </c>
      <c r="E1277" s="8" t="s">
        <v>5935</v>
      </c>
      <c r="F1277" s="17">
        <v>41965</v>
      </c>
      <c r="G1277" s="8" t="s">
        <v>5936</v>
      </c>
      <c r="H1277" s="8" t="s">
        <v>5937</v>
      </c>
      <c r="I1277" s="8" t="s">
        <v>62</v>
      </c>
      <c r="J1277" s="16" t="s">
        <v>5938</v>
      </c>
      <c r="K1277" s="2" t="s">
        <v>1269</v>
      </c>
      <c r="L1277" s="8" t="s">
        <v>5939</v>
      </c>
      <c r="M1277" s="8" t="s">
        <v>27</v>
      </c>
      <c r="N1277" s="8" t="s">
        <v>5940</v>
      </c>
      <c r="O1277" s="8" t="s">
        <v>1018</v>
      </c>
      <c r="P1277" s="8" t="s">
        <v>405</v>
      </c>
      <c r="Q1277" s="12" t="s">
        <v>5941</v>
      </c>
      <c r="R1277" s="8" t="s">
        <v>100</v>
      </c>
      <c r="S1277" s="7" t="s">
        <v>28</v>
      </c>
      <c r="T1277" s="6"/>
      <c r="U1277" s="8"/>
    </row>
    <row r="1278" spans="1:24" ht="13.5" customHeight="1">
      <c r="A1278" s="8" t="s">
        <v>5913</v>
      </c>
      <c r="B1278" s="16">
        <v>12</v>
      </c>
      <c r="C1278" s="8" t="s">
        <v>20</v>
      </c>
      <c r="D1278" s="8" t="s">
        <v>85</v>
      </c>
      <c r="E1278" s="8" t="s">
        <v>5914</v>
      </c>
      <c r="F1278" s="17">
        <v>41965</v>
      </c>
      <c r="G1278" s="8" t="s">
        <v>5915</v>
      </c>
      <c r="H1278" s="8" t="s">
        <v>992</v>
      </c>
      <c r="I1278" s="8" t="s">
        <v>69</v>
      </c>
      <c r="J1278" s="16" t="s">
        <v>5916</v>
      </c>
      <c r="K1278" s="2" t="s">
        <v>105</v>
      </c>
      <c r="L1278" s="8" t="s">
        <v>3492</v>
      </c>
      <c r="M1278" s="8" t="s">
        <v>27</v>
      </c>
      <c r="N1278" s="8" t="s">
        <v>5917</v>
      </c>
      <c r="O1278" s="8" t="s">
        <v>404</v>
      </c>
      <c r="P1278" s="8" t="s">
        <v>405</v>
      </c>
      <c r="Q1278" s="12" t="s">
        <v>5918</v>
      </c>
      <c r="R1278" s="8" t="s">
        <v>100</v>
      </c>
      <c r="S1278" s="7" t="s">
        <v>18</v>
      </c>
      <c r="T1278" s="6"/>
      <c r="U1278" s="8"/>
    </row>
    <row r="1279" spans="1:24" ht="13.5" customHeight="1">
      <c r="A1279" s="8" t="s">
        <v>5927</v>
      </c>
      <c r="B1279" s="16">
        <v>26</v>
      </c>
      <c r="C1279" s="8" t="s">
        <v>20</v>
      </c>
      <c r="D1279" s="8" t="s">
        <v>37</v>
      </c>
      <c r="E1279" s="8" t="s">
        <v>5928</v>
      </c>
      <c r="F1279" s="17">
        <v>41965</v>
      </c>
      <c r="G1279" s="8" t="s">
        <v>5929</v>
      </c>
      <c r="H1279" s="8" t="s">
        <v>5930</v>
      </c>
      <c r="I1279" s="8" t="s">
        <v>243</v>
      </c>
      <c r="J1279" s="16" t="s">
        <v>5931</v>
      </c>
      <c r="K1279" s="2" t="s">
        <v>617</v>
      </c>
      <c r="L1279" s="8" t="s">
        <v>5932</v>
      </c>
      <c r="M1279" s="8" t="s">
        <v>27</v>
      </c>
      <c r="N1279" s="8" t="s">
        <v>5933</v>
      </c>
      <c r="O1279" s="8" t="s">
        <v>404</v>
      </c>
      <c r="P1279" s="8" t="s">
        <v>405</v>
      </c>
      <c r="Q1279" s="12"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1279" s="8" t="s">
        <v>29</v>
      </c>
      <c r="S1279" s="7" t="s">
        <v>28</v>
      </c>
      <c r="T1279" s="6"/>
      <c r="U1279" s="8"/>
    </row>
    <row r="1280" spans="1:24" ht="13.5" customHeight="1">
      <c r="A1280" s="8" t="s">
        <v>5956</v>
      </c>
      <c r="B1280" s="16">
        <v>18</v>
      </c>
      <c r="C1280" s="8" t="s">
        <v>20</v>
      </c>
      <c r="D1280" s="8" t="s">
        <v>48</v>
      </c>
      <c r="E1280" s="8" t="s">
        <v>5957</v>
      </c>
      <c r="F1280" s="17">
        <v>41964</v>
      </c>
      <c r="G1280" s="8" t="s">
        <v>5958</v>
      </c>
      <c r="H1280" s="8" t="s">
        <v>493</v>
      </c>
      <c r="I1280" s="8" t="s">
        <v>45</v>
      </c>
      <c r="J1280" s="16" t="s">
        <v>5959</v>
      </c>
      <c r="K1280" s="2" t="s">
        <v>98</v>
      </c>
      <c r="L1280" s="8" t="s">
        <v>494</v>
      </c>
      <c r="M1280" s="8" t="s">
        <v>27</v>
      </c>
      <c r="N1280" s="8" t="s">
        <v>5960</v>
      </c>
      <c r="O1280" s="8" t="s">
        <v>1018</v>
      </c>
      <c r="P1280" s="8" t="s">
        <v>405</v>
      </c>
      <c r="Q1280" s="12" t="s">
        <v>5961</v>
      </c>
      <c r="R1280" s="8" t="s">
        <v>100</v>
      </c>
      <c r="S1280" s="7" t="s">
        <v>28</v>
      </c>
      <c r="T1280" s="6"/>
      <c r="U1280" s="8"/>
    </row>
    <row r="1281" spans="1:21" ht="13.5" customHeight="1">
      <c r="A1281" s="8" t="s">
        <v>5968</v>
      </c>
      <c r="B1281" s="16">
        <v>28</v>
      </c>
      <c r="C1281" s="8" t="s">
        <v>20</v>
      </c>
      <c r="D1281" s="8" t="s">
        <v>85</v>
      </c>
      <c r="E1281" s="8" t="s">
        <v>5969</v>
      </c>
      <c r="F1281" s="17">
        <v>41963</v>
      </c>
      <c r="G1281" s="8" t="s">
        <v>5970</v>
      </c>
      <c r="H1281" s="8" t="s">
        <v>762</v>
      </c>
      <c r="I1281" s="8" t="s">
        <v>427</v>
      </c>
      <c r="J1281" s="16" t="s">
        <v>5971</v>
      </c>
      <c r="K1281" s="2" t="s">
        <v>5972</v>
      </c>
      <c r="L1281" s="8" t="s">
        <v>586</v>
      </c>
      <c r="M1281" s="8" t="s">
        <v>27</v>
      </c>
      <c r="N1281" s="8" t="s">
        <v>5973</v>
      </c>
      <c r="O1281" s="8" t="s">
        <v>1804</v>
      </c>
      <c r="P1281" s="8" t="s">
        <v>1171</v>
      </c>
      <c r="Q1281" s="12" t="s">
        <v>5974</v>
      </c>
      <c r="R1281" s="8" t="s">
        <v>100</v>
      </c>
      <c r="S1281" s="7" t="s">
        <v>18</v>
      </c>
      <c r="T1281" s="6"/>
      <c r="U1281" s="8"/>
    </row>
    <row r="1282" spans="1:21" ht="13.5" customHeight="1">
      <c r="A1282" s="8" t="s">
        <v>5975</v>
      </c>
      <c r="B1282" s="16">
        <v>35</v>
      </c>
      <c r="C1282" s="8" t="s">
        <v>20</v>
      </c>
      <c r="D1282" s="8" t="s">
        <v>37</v>
      </c>
      <c r="E1282" s="8" t="s">
        <v>5976</v>
      </c>
      <c r="F1282" s="17">
        <v>41963</v>
      </c>
      <c r="G1282" s="8" t="s">
        <v>5977</v>
      </c>
      <c r="H1282" s="8" t="s">
        <v>5978</v>
      </c>
      <c r="I1282" s="8" t="s">
        <v>25</v>
      </c>
      <c r="J1282" s="16" t="s">
        <v>5979</v>
      </c>
      <c r="K1282" s="2" t="s">
        <v>5980</v>
      </c>
      <c r="L1282" s="8" t="s">
        <v>5981</v>
      </c>
      <c r="M1282" s="8" t="s">
        <v>27</v>
      </c>
      <c r="N1282" s="8" t="s">
        <v>5982</v>
      </c>
      <c r="O1282" s="8" t="s">
        <v>554</v>
      </c>
      <c r="P1282" s="8" t="s">
        <v>405</v>
      </c>
      <c r="Q1282" s="12" t="s">
        <v>5983</v>
      </c>
      <c r="R1282" s="8" t="s">
        <v>29</v>
      </c>
      <c r="S1282" s="7" t="s">
        <v>28</v>
      </c>
      <c r="T1282" s="6"/>
      <c r="U1282" s="8"/>
    </row>
    <row r="1283" spans="1:21" ht="13.5" customHeight="1">
      <c r="A1283" s="8" t="s">
        <v>5984</v>
      </c>
      <c r="B1283" s="16">
        <v>29</v>
      </c>
      <c r="C1283" s="8" t="s">
        <v>115</v>
      </c>
      <c r="D1283" s="8" t="s">
        <v>37</v>
      </c>
      <c r="E1283" s="8" t="s">
        <v>5985</v>
      </c>
      <c r="F1283" s="17">
        <v>41963</v>
      </c>
      <c r="G1283" s="8" t="s">
        <v>5986</v>
      </c>
      <c r="H1283" s="8" t="s">
        <v>329</v>
      </c>
      <c r="I1283" s="8" t="s">
        <v>118</v>
      </c>
      <c r="J1283" s="16" t="s">
        <v>5987</v>
      </c>
      <c r="K1283" s="2" t="s">
        <v>119</v>
      </c>
      <c r="L1283" s="8" t="s">
        <v>1395</v>
      </c>
      <c r="M1283" s="8" t="s">
        <v>27</v>
      </c>
      <c r="N1283" s="8" t="s">
        <v>5988</v>
      </c>
      <c r="O1283" s="8" t="s">
        <v>404</v>
      </c>
      <c r="P1283" s="8" t="s">
        <v>405</v>
      </c>
      <c r="Q1283" s="12" t="s">
        <v>5989</v>
      </c>
      <c r="R1283" s="8" t="s">
        <v>559</v>
      </c>
      <c r="S1283" s="7" t="s">
        <v>28</v>
      </c>
      <c r="T1283" s="6"/>
      <c r="U1283" s="8"/>
    </row>
    <row r="1284" spans="1:21" ht="13.5" customHeight="1">
      <c r="A1284" s="8" t="s">
        <v>5962</v>
      </c>
      <c r="B1284" s="16">
        <v>31</v>
      </c>
      <c r="C1284" s="8" t="s">
        <v>20</v>
      </c>
      <c r="D1284" s="8" t="s">
        <v>85</v>
      </c>
      <c r="F1284" s="17">
        <v>41963</v>
      </c>
      <c r="G1284" s="8" t="s">
        <v>5963</v>
      </c>
      <c r="H1284" s="8" t="s">
        <v>3541</v>
      </c>
      <c r="I1284" s="8" t="s">
        <v>62</v>
      </c>
      <c r="J1284" s="16" t="s">
        <v>5964</v>
      </c>
      <c r="K1284" s="2" t="s">
        <v>3543</v>
      </c>
      <c r="L1284" s="8" t="s">
        <v>5965</v>
      </c>
      <c r="M1284" s="8" t="s">
        <v>27</v>
      </c>
      <c r="N1284" s="8" t="s">
        <v>5966</v>
      </c>
      <c r="O1284" s="8" t="s">
        <v>404</v>
      </c>
      <c r="P1284" s="8" t="s">
        <v>405</v>
      </c>
      <c r="Q1284" s="12" t="s">
        <v>5967</v>
      </c>
      <c r="R1284" s="8" t="s">
        <v>100</v>
      </c>
      <c r="S1284" s="7" t="s">
        <v>28</v>
      </c>
      <c r="T1284" s="6"/>
      <c r="U1284" s="8"/>
    </row>
    <row r="1285" spans="1:21" ht="13.5" customHeight="1">
      <c r="A1285" s="8" t="s">
        <v>5990</v>
      </c>
      <c r="B1285" s="16">
        <v>29</v>
      </c>
      <c r="C1285" s="8" t="s">
        <v>115</v>
      </c>
      <c r="D1285" s="8" t="s">
        <v>85</v>
      </c>
      <c r="E1285" s="8" t="s">
        <v>5991</v>
      </c>
      <c r="F1285" s="17">
        <v>41962</v>
      </c>
      <c r="G1285" s="8" t="s">
        <v>5992</v>
      </c>
      <c r="H1285" s="8" t="s">
        <v>1204</v>
      </c>
      <c r="I1285" s="8" t="s">
        <v>323</v>
      </c>
      <c r="J1285" s="16" t="s">
        <v>5993</v>
      </c>
      <c r="K1285" s="2" t="s">
        <v>1205</v>
      </c>
      <c r="L1285" s="8" t="s">
        <v>1206</v>
      </c>
      <c r="M1285" s="8" t="s">
        <v>27</v>
      </c>
      <c r="N1285" s="8" t="s">
        <v>5994</v>
      </c>
      <c r="O1285" s="8" t="s">
        <v>1170</v>
      </c>
      <c r="P1285" s="8" t="s">
        <v>1171</v>
      </c>
      <c r="Q1285" s="12" t="s">
        <v>5995</v>
      </c>
      <c r="R1285" s="8" t="s">
        <v>29</v>
      </c>
      <c r="S1285" s="7" t="s">
        <v>18</v>
      </c>
      <c r="T1285" s="6"/>
      <c r="U1285" s="8"/>
    </row>
    <row r="1286" spans="1:21" ht="13.5" customHeight="1">
      <c r="A1286" s="8" t="s">
        <v>5996</v>
      </c>
      <c r="B1286" s="16">
        <v>41</v>
      </c>
      <c r="C1286" s="8" t="s">
        <v>20</v>
      </c>
      <c r="D1286" s="8" t="s">
        <v>37</v>
      </c>
      <c r="E1286" s="8" t="s">
        <v>5997</v>
      </c>
      <c r="F1286" s="17">
        <v>41962</v>
      </c>
      <c r="G1286" s="8" t="s">
        <v>5998</v>
      </c>
      <c r="H1286" s="8" t="s">
        <v>5999</v>
      </c>
      <c r="I1286" s="8" t="s">
        <v>435</v>
      </c>
      <c r="J1286" s="16" t="s">
        <v>6000</v>
      </c>
      <c r="K1286" s="2" t="s">
        <v>6001</v>
      </c>
      <c r="L1286" s="8" t="s">
        <v>6002</v>
      </c>
      <c r="M1286" s="8" t="s">
        <v>27</v>
      </c>
      <c r="N1286" s="8" t="s">
        <v>6003</v>
      </c>
      <c r="O1286" s="8" t="s">
        <v>1018</v>
      </c>
      <c r="P1286" s="8" t="s">
        <v>405</v>
      </c>
      <c r="Q1286" s="12" t="s">
        <v>6004</v>
      </c>
      <c r="R1286" s="8" t="s">
        <v>100</v>
      </c>
      <c r="S1286" s="7" t="s">
        <v>28</v>
      </c>
      <c r="T1286" s="6"/>
      <c r="U1286" s="8"/>
    </row>
    <row r="1287" spans="1:21" ht="13.5" customHeight="1">
      <c r="A1287" s="8" t="s">
        <v>6019</v>
      </c>
      <c r="B1287" s="16">
        <v>45</v>
      </c>
      <c r="C1287" s="8" t="s">
        <v>20</v>
      </c>
      <c r="D1287" s="8" t="s">
        <v>37</v>
      </c>
      <c r="E1287" s="8" t="s">
        <v>6020</v>
      </c>
      <c r="F1287" s="17">
        <v>41961</v>
      </c>
      <c r="G1287" s="8" t="s">
        <v>6021</v>
      </c>
      <c r="H1287" s="8" t="s">
        <v>6022</v>
      </c>
      <c r="I1287" s="8" t="s">
        <v>370</v>
      </c>
      <c r="J1287" s="16" t="s">
        <v>6023</v>
      </c>
      <c r="K1287" s="2" t="s">
        <v>3187</v>
      </c>
      <c r="L1287" s="8" t="s">
        <v>6024</v>
      </c>
      <c r="M1287" s="8" t="s">
        <v>27</v>
      </c>
      <c r="N1287" s="8" t="s">
        <v>6025</v>
      </c>
      <c r="O1287" s="8" t="s">
        <v>1018</v>
      </c>
      <c r="P1287" s="8" t="s">
        <v>405</v>
      </c>
      <c r="Q1287" s="12" t="str">
        <f>HYPERLINK("http://www.wral.com/family-man-who-shot-fayetteville-officer-suffered-from-mental-illness/14200793/","http://www.wral.com/family-man-who-shot-fayetteville-officer-suffered-from-mental-illness/14200793/")</f>
        <v>http://www.wral.com/family-man-who-shot-fayetteville-officer-suffered-from-mental-illness/14200793/</v>
      </c>
      <c r="R1287" s="8" t="s">
        <v>559</v>
      </c>
      <c r="S1287" s="7" t="s">
        <v>28</v>
      </c>
      <c r="T1287" s="6"/>
      <c r="U1287" s="8"/>
    </row>
    <row r="1288" spans="1:21" ht="13.5" customHeight="1">
      <c r="A1288" s="8" t="s">
        <v>6012</v>
      </c>
      <c r="B1288" s="16">
        <v>34</v>
      </c>
      <c r="C1288" s="8" t="s">
        <v>20</v>
      </c>
      <c r="D1288" s="8" t="s">
        <v>37</v>
      </c>
      <c r="F1288" s="17">
        <v>41961</v>
      </c>
      <c r="G1288" s="8" t="s">
        <v>6013</v>
      </c>
      <c r="H1288" s="8" t="s">
        <v>6014</v>
      </c>
      <c r="I1288" s="8" t="s">
        <v>62</v>
      </c>
      <c r="J1288" s="16" t="s">
        <v>6015</v>
      </c>
      <c r="K1288" s="2" t="s">
        <v>2331</v>
      </c>
      <c r="L1288" s="8" t="s">
        <v>6016</v>
      </c>
      <c r="M1288" s="8" t="s">
        <v>27</v>
      </c>
      <c r="N1288" s="8" t="s">
        <v>6017</v>
      </c>
      <c r="O1288" s="8" t="s">
        <v>1018</v>
      </c>
      <c r="P1288" s="8" t="s">
        <v>405</v>
      </c>
      <c r="Q1288" s="12" t="s">
        <v>6018</v>
      </c>
      <c r="R1288" s="8" t="s">
        <v>100</v>
      </c>
      <c r="S1288" s="7" t="s">
        <v>28</v>
      </c>
      <c r="T1288" s="6"/>
      <c r="U1288" s="8"/>
    </row>
    <row r="1289" spans="1:21" ht="13.5" customHeight="1">
      <c r="A1289" s="8" t="s">
        <v>6005</v>
      </c>
      <c r="B1289" s="16">
        <v>34</v>
      </c>
      <c r="C1289" s="8" t="s">
        <v>20</v>
      </c>
      <c r="D1289" s="8" t="s">
        <v>48</v>
      </c>
      <c r="E1289" s="8" t="s">
        <v>6006</v>
      </c>
      <c r="F1289" s="17">
        <v>41961</v>
      </c>
      <c r="G1289" s="8" t="s">
        <v>6007</v>
      </c>
      <c r="H1289" s="8" t="s">
        <v>791</v>
      </c>
      <c r="I1289" s="8" t="s">
        <v>45</v>
      </c>
      <c r="J1289" s="16" t="s">
        <v>6008</v>
      </c>
      <c r="K1289" s="2" t="s">
        <v>791</v>
      </c>
      <c r="L1289" s="8" t="s">
        <v>6009</v>
      </c>
      <c r="M1289" s="8" t="s">
        <v>27</v>
      </c>
      <c r="N1289" s="8" t="s">
        <v>6010</v>
      </c>
      <c r="O1289" s="8" t="s">
        <v>1018</v>
      </c>
      <c r="P1289" s="8" t="s">
        <v>405</v>
      </c>
      <c r="Q1289" s="12" t="s">
        <v>6011</v>
      </c>
      <c r="R1289" s="8" t="s">
        <v>100</v>
      </c>
      <c r="S1289" s="7" t="s">
        <v>28</v>
      </c>
      <c r="T1289" s="6"/>
      <c r="U1289" s="8"/>
    </row>
    <row r="1290" spans="1:21" ht="13.5" customHeight="1">
      <c r="A1290" s="8" t="s">
        <v>6034</v>
      </c>
      <c r="B1290" s="16">
        <v>15</v>
      </c>
      <c r="C1290" s="8" t="s">
        <v>20</v>
      </c>
      <c r="D1290" s="8" t="s">
        <v>37</v>
      </c>
      <c r="E1290" s="8" t="str">
        <f>HYPERLINK("http://www.revelsfh.com/obituaries/uploads/OI1223286732_FullSizeRender.jpg","http://www.revelsfh.com/obituaries/uploads/OI1223286732_FullSizeRender.jpg")</f>
        <v>http://www.revelsfh.com/obituaries/uploads/OI1223286732_FullSizeRender.jpg</v>
      </c>
      <c r="F1290" s="17">
        <v>41960</v>
      </c>
      <c r="G1290" s="8" t="s">
        <v>6027</v>
      </c>
      <c r="H1290" s="8" t="s">
        <v>6028</v>
      </c>
      <c r="I1290" s="8" t="s">
        <v>370</v>
      </c>
      <c r="J1290" s="16" t="s">
        <v>6029</v>
      </c>
      <c r="K1290" s="2" t="s">
        <v>5755</v>
      </c>
      <c r="L1290" s="8" t="s">
        <v>5756</v>
      </c>
      <c r="M1290" s="8" t="s">
        <v>383</v>
      </c>
      <c r="N1290" s="8" t="s">
        <v>6030</v>
      </c>
      <c r="O1290" s="8" t="s">
        <v>1018</v>
      </c>
      <c r="P1290" s="8" t="s">
        <v>405</v>
      </c>
      <c r="Q1290" s="12" t="s">
        <v>6031</v>
      </c>
      <c r="R1290" s="8" t="s">
        <v>100</v>
      </c>
      <c r="S1290" s="7" t="s">
        <v>383</v>
      </c>
      <c r="T1290" s="6"/>
      <c r="U1290" s="8"/>
    </row>
    <row r="1291" spans="1:21" ht="13.5" customHeight="1">
      <c r="A1291" s="8" t="s">
        <v>6032</v>
      </c>
      <c r="B1291" s="16">
        <v>16</v>
      </c>
      <c r="C1291" s="8" t="s">
        <v>20</v>
      </c>
      <c r="D1291" s="8" t="s">
        <v>85</v>
      </c>
      <c r="F1291" s="17">
        <v>41960</v>
      </c>
      <c r="G1291" s="8" t="s">
        <v>6027</v>
      </c>
      <c r="H1291" s="8" t="s">
        <v>6028</v>
      </c>
      <c r="I1291" s="8" t="s">
        <v>370</v>
      </c>
      <c r="J1291" s="16" t="s">
        <v>6029</v>
      </c>
      <c r="K1291" s="2" t="s">
        <v>5755</v>
      </c>
      <c r="L1291" s="8" t="s">
        <v>5756</v>
      </c>
      <c r="M1291" s="8" t="s">
        <v>383</v>
      </c>
      <c r="N1291" s="8" t="s">
        <v>6030</v>
      </c>
      <c r="O1291" s="8" t="s">
        <v>1018</v>
      </c>
      <c r="P1291" s="8" t="s">
        <v>405</v>
      </c>
      <c r="Q1291" s="12" t="s">
        <v>6031</v>
      </c>
      <c r="R1291" s="8" t="s">
        <v>100</v>
      </c>
      <c r="S1291" s="7" t="s">
        <v>383</v>
      </c>
      <c r="T1291" s="6"/>
      <c r="U1291" s="8"/>
    </row>
    <row r="1292" spans="1:21" ht="13.5" customHeight="1">
      <c r="A1292" s="8" t="s">
        <v>6026</v>
      </c>
      <c r="B1292" s="16">
        <v>19</v>
      </c>
      <c r="C1292" s="8" t="s">
        <v>20</v>
      </c>
      <c r="D1292" s="8" t="s">
        <v>85</v>
      </c>
      <c r="F1292" s="17">
        <v>41960</v>
      </c>
      <c r="G1292" s="8" t="s">
        <v>6027</v>
      </c>
      <c r="H1292" s="8" t="s">
        <v>6028</v>
      </c>
      <c r="I1292" s="8" t="s">
        <v>370</v>
      </c>
      <c r="J1292" s="16" t="s">
        <v>6029</v>
      </c>
      <c r="K1292" s="2" t="s">
        <v>5755</v>
      </c>
      <c r="L1292" s="8" t="s">
        <v>5756</v>
      </c>
      <c r="M1292" s="8" t="s">
        <v>383</v>
      </c>
      <c r="N1292" s="8" t="s">
        <v>6030</v>
      </c>
      <c r="O1292" s="8" t="s">
        <v>1018</v>
      </c>
      <c r="P1292" s="8" t="s">
        <v>405</v>
      </c>
      <c r="Q1292" s="12" t="s">
        <v>6031</v>
      </c>
      <c r="R1292" s="8" t="s">
        <v>100</v>
      </c>
      <c r="S1292" s="7" t="s">
        <v>383</v>
      </c>
      <c r="T1292" s="6"/>
      <c r="U1292" s="8"/>
    </row>
    <row r="1293" spans="1:21" ht="13.5" customHeight="1">
      <c r="A1293" s="8" t="s">
        <v>6035</v>
      </c>
      <c r="B1293" s="16">
        <v>36</v>
      </c>
      <c r="C1293" s="8" t="s">
        <v>20</v>
      </c>
      <c r="D1293" s="8" t="s">
        <v>37</v>
      </c>
      <c r="F1293" s="17">
        <v>41960</v>
      </c>
      <c r="G1293" s="8" t="s">
        <v>6036</v>
      </c>
      <c r="H1293" s="8" t="s">
        <v>6037</v>
      </c>
      <c r="I1293" s="8" t="s">
        <v>81</v>
      </c>
      <c r="J1293" s="16" t="s">
        <v>6038</v>
      </c>
      <c r="K1293" s="2" t="s">
        <v>6039</v>
      </c>
      <c r="L1293" s="8" t="s">
        <v>6040</v>
      </c>
      <c r="M1293" s="8" t="s">
        <v>27</v>
      </c>
      <c r="N1293" s="8" t="s">
        <v>6041</v>
      </c>
      <c r="O1293" s="8" t="s">
        <v>404</v>
      </c>
      <c r="P1293" s="8" t="s">
        <v>405</v>
      </c>
      <c r="Q1293" s="12"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1293" s="8" t="s">
        <v>559</v>
      </c>
      <c r="S1293" s="7" t="s">
        <v>28</v>
      </c>
      <c r="T1293" s="6"/>
      <c r="U1293" s="8"/>
    </row>
    <row r="1294" spans="1:21" ht="13.5" customHeight="1">
      <c r="A1294" s="8" t="s">
        <v>6033</v>
      </c>
      <c r="B1294" s="16">
        <v>18</v>
      </c>
      <c r="C1294" s="8" t="s">
        <v>20</v>
      </c>
      <c r="D1294" s="8" t="s">
        <v>85</v>
      </c>
      <c r="F1294" s="17">
        <v>41960</v>
      </c>
      <c r="G1294" s="8" t="s">
        <v>6027</v>
      </c>
      <c r="H1294" s="8" t="s">
        <v>6028</v>
      </c>
      <c r="I1294" s="8" t="s">
        <v>370</v>
      </c>
      <c r="J1294" s="16" t="s">
        <v>6029</v>
      </c>
      <c r="K1294" s="2" t="s">
        <v>5755</v>
      </c>
      <c r="L1294" s="8" t="s">
        <v>5756</v>
      </c>
      <c r="M1294" s="8" t="s">
        <v>383</v>
      </c>
      <c r="N1294" s="8" t="s">
        <v>6030</v>
      </c>
      <c r="O1294" s="8" t="s">
        <v>1018</v>
      </c>
      <c r="P1294" s="8" t="s">
        <v>405</v>
      </c>
      <c r="Q1294" s="12" t="s">
        <v>6031</v>
      </c>
      <c r="R1294" s="8" t="s">
        <v>100</v>
      </c>
      <c r="S1294" s="7" t="s">
        <v>383</v>
      </c>
      <c r="T1294" s="6"/>
      <c r="U1294" s="8"/>
    </row>
    <row r="1295" spans="1:21" ht="13.5" customHeight="1">
      <c r="A1295" s="8" t="s">
        <v>6042</v>
      </c>
      <c r="B1295" s="16">
        <v>37</v>
      </c>
      <c r="C1295" s="8" t="s">
        <v>20</v>
      </c>
      <c r="D1295" s="8" t="s">
        <v>85</v>
      </c>
      <c r="F1295" s="17">
        <v>41959</v>
      </c>
      <c r="G1295" s="8" t="s">
        <v>6043</v>
      </c>
      <c r="H1295" s="8" t="s">
        <v>6044</v>
      </c>
      <c r="I1295" s="8" t="s">
        <v>306</v>
      </c>
      <c r="J1295" s="16" t="s">
        <v>6045</v>
      </c>
      <c r="K1295" s="2" t="s">
        <v>3515</v>
      </c>
      <c r="L1295" s="8" t="s">
        <v>6046</v>
      </c>
      <c r="M1295" s="8" t="s">
        <v>27</v>
      </c>
      <c r="N1295" s="8" t="s">
        <v>6047</v>
      </c>
      <c r="O1295" s="8" t="s">
        <v>1018</v>
      </c>
      <c r="P1295" s="8" t="s">
        <v>405</v>
      </c>
      <c r="Q1295" s="12" t="s">
        <v>6048</v>
      </c>
      <c r="R1295" s="8" t="s">
        <v>100</v>
      </c>
      <c r="S1295" s="7" t="s">
        <v>28</v>
      </c>
      <c r="T1295" s="6"/>
      <c r="U1295" s="8"/>
    </row>
    <row r="1296" spans="1:21" ht="13.5" customHeight="1">
      <c r="A1296" s="8" t="s">
        <v>6067</v>
      </c>
      <c r="B1296" s="16">
        <v>42</v>
      </c>
      <c r="C1296" s="8" t="s">
        <v>20</v>
      </c>
      <c r="D1296" s="8" t="s">
        <v>37</v>
      </c>
      <c r="E1296" s="8" t="s">
        <v>6068</v>
      </c>
      <c r="F1296" s="17">
        <v>41959</v>
      </c>
      <c r="G1296" s="8" t="s">
        <v>6069</v>
      </c>
      <c r="H1296" s="8" t="s">
        <v>292</v>
      </c>
      <c r="I1296" s="8" t="s">
        <v>319</v>
      </c>
      <c r="J1296" s="16" t="s">
        <v>6070</v>
      </c>
      <c r="K1296" s="2" t="s">
        <v>1205</v>
      </c>
      <c r="L1296" s="8" t="s">
        <v>3406</v>
      </c>
      <c r="M1296" s="8" t="s">
        <v>27</v>
      </c>
      <c r="N1296" s="8" t="s">
        <v>6071</v>
      </c>
      <c r="O1296" s="8" t="s">
        <v>1018</v>
      </c>
      <c r="P1296" s="8" t="s">
        <v>405</v>
      </c>
      <c r="Q1296" s="12" t="s">
        <v>6072</v>
      </c>
      <c r="R1296" s="8" t="s">
        <v>100</v>
      </c>
      <c r="S1296" s="7" t="s">
        <v>28</v>
      </c>
      <c r="T1296" s="6"/>
      <c r="U1296" s="8"/>
    </row>
    <row r="1297" spans="1:39" ht="13.5" customHeight="1">
      <c r="A1297" s="8" t="s">
        <v>6058</v>
      </c>
      <c r="B1297" s="16">
        <v>46</v>
      </c>
      <c r="C1297" s="8" t="s">
        <v>115</v>
      </c>
      <c r="D1297" s="8" t="s">
        <v>37</v>
      </c>
      <c r="E1297" s="8" t="s">
        <v>6059</v>
      </c>
      <c r="F1297" s="17">
        <v>41959</v>
      </c>
      <c r="G1297" s="8" t="s">
        <v>6060</v>
      </c>
      <c r="H1297" s="8" t="s">
        <v>6061</v>
      </c>
      <c r="I1297" s="8" t="s">
        <v>62</v>
      </c>
      <c r="J1297" s="16" t="s">
        <v>6062</v>
      </c>
      <c r="K1297" s="2" t="s">
        <v>6063</v>
      </c>
      <c r="L1297" s="8" t="s">
        <v>6064</v>
      </c>
      <c r="M1297" s="8" t="s">
        <v>27</v>
      </c>
      <c r="N1297" s="8" t="s">
        <v>6065</v>
      </c>
      <c r="O1297" s="8" t="s">
        <v>1018</v>
      </c>
      <c r="P1297" s="8" t="s">
        <v>405</v>
      </c>
      <c r="Q1297" s="12" t="s">
        <v>6066</v>
      </c>
      <c r="R1297" s="8" t="s">
        <v>100</v>
      </c>
      <c r="S1297" s="7" t="s">
        <v>28</v>
      </c>
      <c r="T1297" s="6"/>
      <c r="U1297" s="8"/>
    </row>
    <row r="1298" spans="1:39" ht="13.5" customHeight="1">
      <c r="A1298" s="8" t="s">
        <v>6049</v>
      </c>
      <c r="B1298" s="16">
        <v>26</v>
      </c>
      <c r="C1298" s="8" t="s">
        <v>20</v>
      </c>
      <c r="D1298" s="8" t="s">
        <v>48</v>
      </c>
      <c r="E1298" s="8" t="s">
        <v>6050</v>
      </c>
      <c r="F1298" s="17">
        <v>41959</v>
      </c>
      <c r="G1298" s="8" t="s">
        <v>6051</v>
      </c>
      <c r="H1298" s="8" t="s">
        <v>6052</v>
      </c>
      <c r="I1298" s="8" t="s">
        <v>45</v>
      </c>
      <c r="J1298" s="16" t="s">
        <v>6053</v>
      </c>
      <c r="K1298" s="2" t="s">
        <v>98</v>
      </c>
      <c r="L1298" s="8" t="s">
        <v>418</v>
      </c>
      <c r="M1298" s="8" t="s">
        <v>27</v>
      </c>
      <c r="N1298" s="8" t="s">
        <v>6054</v>
      </c>
      <c r="O1298" s="8" t="s">
        <v>1018</v>
      </c>
      <c r="P1298" s="8" t="s">
        <v>405</v>
      </c>
      <c r="Q1298" s="12" t="s">
        <v>6055</v>
      </c>
      <c r="R1298" s="8" t="s">
        <v>100</v>
      </c>
      <c r="S1298" s="7" t="s">
        <v>18</v>
      </c>
      <c r="T1298" s="6"/>
      <c r="U1298" s="8"/>
    </row>
    <row r="1299" spans="1:39" ht="13.5" customHeight="1">
      <c r="A1299" s="8" t="s">
        <v>6082</v>
      </c>
      <c r="B1299" s="16">
        <v>40</v>
      </c>
      <c r="C1299" s="8" t="s">
        <v>20</v>
      </c>
      <c r="D1299" s="8" t="s">
        <v>37</v>
      </c>
      <c r="E1299" s="8" t="s">
        <v>6083</v>
      </c>
      <c r="F1299" s="17">
        <v>41959</v>
      </c>
      <c r="G1299" s="8" t="s">
        <v>6084</v>
      </c>
      <c r="H1299" s="8" t="s">
        <v>1064</v>
      </c>
      <c r="I1299" s="8" t="s">
        <v>69</v>
      </c>
      <c r="J1299" s="16" t="s">
        <v>6085</v>
      </c>
      <c r="K1299" s="2" t="s">
        <v>1065</v>
      </c>
      <c r="L1299" s="8" t="s">
        <v>6086</v>
      </c>
      <c r="M1299" s="8" t="s">
        <v>27</v>
      </c>
      <c r="N1299" s="8" t="s">
        <v>6087</v>
      </c>
      <c r="O1299" s="8" t="s">
        <v>554</v>
      </c>
      <c r="P1299" s="8" t="s">
        <v>405</v>
      </c>
      <c r="Q1299" s="12" t="s">
        <v>6088</v>
      </c>
      <c r="R1299" s="8" t="s">
        <v>100</v>
      </c>
      <c r="S1299" s="7" t="s">
        <v>28</v>
      </c>
      <c r="T1299" s="6"/>
      <c r="U1299" s="8"/>
    </row>
    <row r="1300" spans="1:39" ht="13.5" customHeight="1">
      <c r="A1300" s="8" t="s">
        <v>6073</v>
      </c>
      <c r="B1300" s="16">
        <v>37</v>
      </c>
      <c r="C1300" s="8" t="s">
        <v>20</v>
      </c>
      <c r="D1300" s="8" t="s">
        <v>37</v>
      </c>
      <c r="E1300" s="8" t="s">
        <v>6074</v>
      </c>
      <c r="F1300" s="17">
        <v>41959</v>
      </c>
      <c r="G1300" s="8" t="s">
        <v>6075</v>
      </c>
      <c r="H1300" s="8" t="s">
        <v>6076</v>
      </c>
      <c r="I1300" s="8" t="s">
        <v>118</v>
      </c>
      <c r="J1300" s="16" t="s">
        <v>6077</v>
      </c>
      <c r="K1300" s="2" t="s">
        <v>6078</v>
      </c>
      <c r="L1300" s="8" t="s">
        <v>6079</v>
      </c>
      <c r="M1300" s="8" t="s">
        <v>27</v>
      </c>
      <c r="N1300" s="8" t="s">
        <v>6080</v>
      </c>
      <c r="O1300" s="8" t="s">
        <v>404</v>
      </c>
      <c r="P1300" s="8" t="s">
        <v>405</v>
      </c>
      <c r="Q1300" s="12" t="s">
        <v>6081</v>
      </c>
      <c r="R1300" s="8" t="s">
        <v>100</v>
      </c>
      <c r="S1300" s="7" t="s">
        <v>28</v>
      </c>
      <c r="T1300" s="6"/>
      <c r="U1300" s="8"/>
    </row>
    <row r="1301" spans="1:39" ht="13.5" customHeight="1">
      <c r="A1301" s="8" t="s">
        <v>6056</v>
      </c>
      <c r="B1301" s="16">
        <v>57</v>
      </c>
      <c r="C1301" s="8" t="s">
        <v>20</v>
      </c>
      <c r="D1301" s="8" t="s">
        <v>48</v>
      </c>
      <c r="E1301" s="8" t="s">
        <v>6057</v>
      </c>
      <c r="F1301" s="17">
        <v>41959</v>
      </c>
      <c r="G1301" s="8" t="s">
        <v>6051</v>
      </c>
      <c r="H1301" s="8" t="s">
        <v>6052</v>
      </c>
      <c r="I1301" s="8" t="s">
        <v>45</v>
      </c>
      <c r="J1301" s="16" t="s">
        <v>6053</v>
      </c>
      <c r="K1301" s="2" t="s">
        <v>98</v>
      </c>
      <c r="L1301" s="8" t="s">
        <v>418</v>
      </c>
      <c r="M1301" s="8" t="s">
        <v>27</v>
      </c>
      <c r="N1301" s="8" t="s">
        <v>6054</v>
      </c>
      <c r="O1301" s="8" t="s">
        <v>1018</v>
      </c>
      <c r="P1301" s="8" t="s">
        <v>405</v>
      </c>
      <c r="Q1301" s="12" t="s">
        <v>6055</v>
      </c>
      <c r="R1301" s="8" t="s">
        <v>100</v>
      </c>
      <c r="S1301" s="7" t="s">
        <v>18</v>
      </c>
      <c r="T1301" s="6"/>
      <c r="U1301" s="8"/>
    </row>
    <row r="1302" spans="1:39" ht="13.5" customHeight="1">
      <c r="A1302" s="8" t="s">
        <v>6089</v>
      </c>
      <c r="B1302" s="16">
        <v>33</v>
      </c>
      <c r="C1302" s="8" t="s">
        <v>20</v>
      </c>
      <c r="D1302" s="8" t="s">
        <v>48</v>
      </c>
      <c r="F1302" s="17">
        <v>41958</v>
      </c>
      <c r="G1302" s="8" t="s">
        <v>6090</v>
      </c>
      <c r="H1302" s="8" t="s">
        <v>1546</v>
      </c>
      <c r="I1302" s="8" t="s">
        <v>118</v>
      </c>
      <c r="J1302" s="16" t="s">
        <v>6091</v>
      </c>
      <c r="K1302" s="2" t="s">
        <v>1547</v>
      </c>
      <c r="L1302" s="8" t="s">
        <v>6092</v>
      </c>
      <c r="M1302" s="8" t="s">
        <v>27</v>
      </c>
      <c r="N1302" s="8" t="s">
        <v>6093</v>
      </c>
      <c r="O1302" s="8" t="s">
        <v>404</v>
      </c>
      <c r="P1302" s="8" t="s">
        <v>405</v>
      </c>
      <c r="Q1302" s="12" t="s">
        <v>6094</v>
      </c>
      <c r="R1302" s="8" t="s">
        <v>100</v>
      </c>
      <c r="S1302" s="7" t="s">
        <v>35</v>
      </c>
      <c r="T1302" s="6"/>
      <c r="U1302" s="8"/>
    </row>
    <row r="1303" spans="1:39" ht="13.5" customHeight="1">
      <c r="A1303" s="8" t="s">
        <v>6095</v>
      </c>
      <c r="B1303" s="16">
        <v>20</v>
      </c>
      <c r="C1303" s="8" t="s">
        <v>20</v>
      </c>
      <c r="D1303" s="8" t="s">
        <v>21</v>
      </c>
      <c r="E1303" s="8" t="s">
        <v>6096</v>
      </c>
      <c r="F1303" s="17">
        <v>41957</v>
      </c>
      <c r="G1303" s="8" t="s">
        <v>6097</v>
      </c>
      <c r="H1303" s="8" t="s">
        <v>6098</v>
      </c>
      <c r="I1303" s="8" t="s">
        <v>442</v>
      </c>
      <c r="J1303" s="16" t="s">
        <v>6099</v>
      </c>
      <c r="K1303" s="2" t="s">
        <v>6100</v>
      </c>
      <c r="L1303" s="8" t="s">
        <v>6101</v>
      </c>
      <c r="M1303" s="8" t="s">
        <v>27</v>
      </c>
      <c r="N1303" s="8" t="s">
        <v>6102</v>
      </c>
      <c r="O1303" s="8" t="s">
        <v>404</v>
      </c>
      <c r="P1303" s="8" t="s">
        <v>405</v>
      </c>
      <c r="Q1303" s="12" t="s">
        <v>6103</v>
      </c>
      <c r="R1303" s="8" t="s">
        <v>100</v>
      </c>
      <c r="S1303" s="7" t="s">
        <v>28</v>
      </c>
      <c r="T1303" s="6"/>
      <c r="U1303" s="8"/>
      <c r="AI1303" s="8"/>
      <c r="AJ1303" s="8"/>
      <c r="AK1303" s="8"/>
      <c r="AL1303" s="8"/>
      <c r="AM1303" s="8"/>
    </row>
    <row r="1304" spans="1:39" ht="13.5" customHeight="1">
      <c r="A1304" s="8" t="s">
        <v>6117</v>
      </c>
      <c r="B1304" s="16">
        <v>33</v>
      </c>
      <c r="C1304" s="8" t="s">
        <v>115</v>
      </c>
      <c r="D1304" s="8" t="s">
        <v>37</v>
      </c>
      <c r="E1304" s="8" t="s">
        <v>6118</v>
      </c>
      <c r="F1304" s="17">
        <v>41957</v>
      </c>
      <c r="G1304" s="8" t="s">
        <v>6119</v>
      </c>
      <c r="H1304" s="8" t="s">
        <v>6120</v>
      </c>
      <c r="I1304" s="8" t="s">
        <v>442</v>
      </c>
      <c r="J1304" s="16" t="s">
        <v>6121</v>
      </c>
      <c r="K1304" s="2" t="s">
        <v>6122</v>
      </c>
      <c r="L1304" s="8" t="s">
        <v>6123</v>
      </c>
      <c r="M1304" s="8" t="s">
        <v>27</v>
      </c>
      <c r="N1304" s="8" t="s">
        <v>6124</v>
      </c>
      <c r="O1304" s="8" t="s">
        <v>1018</v>
      </c>
      <c r="P1304" s="8" t="s">
        <v>405</v>
      </c>
      <c r="Q1304" s="12"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1304" s="8" t="s">
        <v>100</v>
      </c>
      <c r="S1304" s="7" t="s">
        <v>28</v>
      </c>
      <c r="T1304" s="6"/>
      <c r="U1304" s="8"/>
    </row>
    <row r="1305" spans="1:39" ht="13.5" customHeight="1">
      <c r="A1305" s="8" t="s">
        <v>6104</v>
      </c>
      <c r="B1305" s="16">
        <v>35</v>
      </c>
      <c r="C1305" s="8" t="s">
        <v>20</v>
      </c>
      <c r="D1305" s="8" t="s">
        <v>48</v>
      </c>
      <c r="F1305" s="17">
        <v>41957</v>
      </c>
      <c r="G1305" s="8" t="s">
        <v>6105</v>
      </c>
      <c r="H1305" s="8" t="s">
        <v>6106</v>
      </c>
      <c r="I1305" s="8" t="s">
        <v>45</v>
      </c>
      <c r="J1305" s="16" t="s">
        <v>6107</v>
      </c>
      <c r="K1305" s="2" t="s">
        <v>158</v>
      </c>
      <c r="L1305" s="8" t="s">
        <v>6108</v>
      </c>
      <c r="M1305" s="8" t="s">
        <v>27</v>
      </c>
      <c r="N1305" s="8" t="s">
        <v>6109</v>
      </c>
      <c r="O1305" s="8" t="s">
        <v>554</v>
      </c>
      <c r="P1305" s="8" t="s">
        <v>405</v>
      </c>
      <c r="Q1305" s="12" t="s">
        <v>6110</v>
      </c>
      <c r="R1305" s="8" t="s">
        <v>559</v>
      </c>
      <c r="S1305" s="7" t="s">
        <v>28</v>
      </c>
      <c r="T1305" s="6"/>
      <c r="U1305" s="8"/>
    </row>
    <row r="1306" spans="1:39" ht="13.5" customHeight="1">
      <c r="A1306" s="8" t="s">
        <v>6111</v>
      </c>
      <c r="B1306" s="16">
        <v>41</v>
      </c>
      <c r="C1306" s="8" t="s">
        <v>20</v>
      </c>
      <c r="D1306" s="8" t="s">
        <v>37</v>
      </c>
      <c r="E1306" s="8" t="s">
        <v>6112</v>
      </c>
      <c r="F1306" s="17">
        <v>41957</v>
      </c>
      <c r="G1306" s="8" t="s">
        <v>6113</v>
      </c>
      <c r="H1306" s="8" t="s">
        <v>3856</v>
      </c>
      <c r="I1306" s="8" t="s">
        <v>228</v>
      </c>
      <c r="J1306" s="16" t="s">
        <v>3857</v>
      </c>
      <c r="K1306" s="2" t="s">
        <v>3858</v>
      </c>
      <c r="L1306" s="8" t="s">
        <v>6114</v>
      </c>
      <c r="M1306" s="8" t="s">
        <v>27</v>
      </c>
      <c r="N1306" s="8" t="s">
        <v>6115</v>
      </c>
      <c r="O1306" s="8" t="s">
        <v>404</v>
      </c>
      <c r="P1306" s="8" t="s">
        <v>405</v>
      </c>
      <c r="Q1306" s="12" t="s">
        <v>6116</v>
      </c>
      <c r="R1306" s="8" t="s">
        <v>100</v>
      </c>
      <c r="S1306" s="7" t="s">
        <v>28</v>
      </c>
      <c r="T1306" s="6"/>
      <c r="U1306" s="8"/>
    </row>
    <row r="1307" spans="1:39" ht="13.5" customHeight="1">
      <c r="A1307" s="8" t="s">
        <v>6149</v>
      </c>
      <c r="B1307" s="16">
        <v>33</v>
      </c>
      <c r="C1307" s="8" t="s">
        <v>20</v>
      </c>
      <c r="D1307" s="8" t="s">
        <v>37</v>
      </c>
      <c r="E1307" s="8" t="s">
        <v>6150</v>
      </c>
      <c r="F1307" s="17">
        <v>41956</v>
      </c>
      <c r="G1307" s="8" t="s">
        <v>6151</v>
      </c>
      <c r="H1307" s="8" t="s">
        <v>1064</v>
      </c>
      <c r="I1307" s="8" t="s">
        <v>69</v>
      </c>
      <c r="J1307" s="16" t="s">
        <v>6152</v>
      </c>
      <c r="K1307" s="2" t="s">
        <v>1065</v>
      </c>
      <c r="L1307" s="8" t="s">
        <v>6153</v>
      </c>
      <c r="M1307" s="8" t="s">
        <v>27</v>
      </c>
      <c r="N1307" s="8" t="s">
        <v>6154</v>
      </c>
      <c r="P1307" s="8" t="s">
        <v>405</v>
      </c>
      <c r="Q1307" s="12" t="s">
        <v>6155</v>
      </c>
      <c r="R1307" s="8" t="s">
        <v>100</v>
      </c>
      <c r="S1307" s="7" t="s">
        <v>28</v>
      </c>
      <c r="T1307" s="6"/>
      <c r="U1307" s="8"/>
    </row>
    <row r="1308" spans="1:39" ht="13.5" customHeight="1">
      <c r="A1308" s="8" t="s">
        <v>6132</v>
      </c>
      <c r="B1308" s="16">
        <v>31</v>
      </c>
      <c r="C1308" s="8" t="s">
        <v>20</v>
      </c>
      <c r="D1308" s="8" t="s">
        <v>85</v>
      </c>
      <c r="E1308" s="8" t="s">
        <v>6133</v>
      </c>
      <c r="F1308" s="17">
        <v>41956</v>
      </c>
      <c r="G1308" s="8" t="s">
        <v>6134</v>
      </c>
      <c r="H1308" s="8" t="s">
        <v>2120</v>
      </c>
      <c r="I1308" s="8" t="s">
        <v>81</v>
      </c>
      <c r="J1308" s="16" t="s">
        <v>6135</v>
      </c>
      <c r="K1308" s="2" t="s">
        <v>2933</v>
      </c>
      <c r="L1308" s="8" t="s">
        <v>2122</v>
      </c>
      <c r="M1308" s="8" t="s">
        <v>27</v>
      </c>
      <c r="N1308" s="8" t="s">
        <v>6136</v>
      </c>
      <c r="P1308" s="8" t="s">
        <v>405</v>
      </c>
      <c r="Q1308" s="12" t="s">
        <v>6137</v>
      </c>
      <c r="R1308" s="8" t="s">
        <v>100</v>
      </c>
      <c r="S1308" s="7" t="s">
        <v>28</v>
      </c>
      <c r="T1308" s="6"/>
      <c r="U1308" s="8"/>
    </row>
    <row r="1309" spans="1:39" ht="13.5" customHeight="1">
      <c r="A1309" s="8" t="s">
        <v>6144</v>
      </c>
      <c r="B1309" s="16">
        <v>35</v>
      </c>
      <c r="C1309" s="8" t="s">
        <v>20</v>
      </c>
      <c r="D1309" s="8" t="s">
        <v>48</v>
      </c>
      <c r="F1309" s="17">
        <v>41956</v>
      </c>
      <c r="G1309" s="8" t="s">
        <v>6145</v>
      </c>
      <c r="H1309" s="8" t="s">
        <v>313</v>
      </c>
      <c r="I1309" s="8" t="s">
        <v>45</v>
      </c>
      <c r="J1309" s="16" t="s">
        <v>6146</v>
      </c>
      <c r="K1309" s="2" t="s">
        <v>313</v>
      </c>
      <c r="L1309" s="8" t="s">
        <v>4373</v>
      </c>
      <c r="M1309" s="8" t="s">
        <v>27</v>
      </c>
      <c r="N1309" s="8" t="s">
        <v>6147</v>
      </c>
      <c r="P1309" s="8" t="s">
        <v>405</v>
      </c>
      <c r="Q1309" s="12" t="s">
        <v>6148</v>
      </c>
      <c r="R1309" s="8" t="s">
        <v>100</v>
      </c>
      <c r="S1309" s="7" t="s">
        <v>28</v>
      </c>
      <c r="T1309" s="6"/>
      <c r="U1309" s="8"/>
    </row>
    <row r="1310" spans="1:39" ht="13.5" customHeight="1">
      <c r="A1310" s="8" t="s">
        <v>6156</v>
      </c>
      <c r="B1310" s="16">
        <v>29</v>
      </c>
      <c r="C1310" s="8" t="s">
        <v>20</v>
      </c>
      <c r="D1310" s="8" t="s">
        <v>37</v>
      </c>
      <c r="E1310" s="8" t="s">
        <v>6157</v>
      </c>
      <c r="F1310" s="17">
        <v>41956</v>
      </c>
      <c r="G1310" s="8" t="s">
        <v>6158</v>
      </c>
      <c r="H1310" s="8" t="s">
        <v>391</v>
      </c>
      <c r="I1310" s="8" t="s">
        <v>323</v>
      </c>
      <c r="J1310" s="16" t="s">
        <v>6159</v>
      </c>
      <c r="K1310" s="2" t="s">
        <v>2708</v>
      </c>
      <c r="L1310" s="8" t="s">
        <v>2709</v>
      </c>
      <c r="M1310" s="8" t="s">
        <v>27</v>
      </c>
      <c r="N1310" s="8" t="s">
        <v>6160</v>
      </c>
      <c r="P1310" s="8" t="s">
        <v>405</v>
      </c>
      <c r="Q1310" s="12" t="str">
        <f>HYPERLINK("http://www.local8now.com/home/headlines/Shooting-investigation-in-South-Knox-County-282637501.html","http://www.local8now.com/home/headlines/Shooting-investigation-in-South-Knox-County-282637501.html")</f>
        <v>http://www.local8now.com/home/headlines/Shooting-investigation-in-South-Knox-County-282637501.html</v>
      </c>
      <c r="R1310" s="8" t="s">
        <v>100</v>
      </c>
      <c r="S1310" s="7" t="s">
        <v>28</v>
      </c>
      <c r="T1310" s="6"/>
      <c r="U1310" s="8"/>
    </row>
    <row r="1311" spans="1:39" ht="13.5" customHeight="1">
      <c r="A1311" s="8" t="s">
        <v>6138</v>
      </c>
      <c r="B1311" s="16">
        <v>22</v>
      </c>
      <c r="C1311" s="8" t="s">
        <v>20</v>
      </c>
      <c r="D1311" s="8" t="s">
        <v>48</v>
      </c>
      <c r="E1311" s="8" t="s">
        <v>6139</v>
      </c>
      <c r="F1311" s="17">
        <v>41956</v>
      </c>
      <c r="G1311" s="8" t="s">
        <v>6140</v>
      </c>
      <c r="H1311" s="8" t="s">
        <v>686</v>
      </c>
      <c r="I1311" s="8" t="s">
        <v>45</v>
      </c>
      <c r="J1311" s="16" t="s">
        <v>6141</v>
      </c>
      <c r="K1311" s="2" t="s">
        <v>687</v>
      </c>
      <c r="L1311" s="8" t="s">
        <v>688</v>
      </c>
      <c r="M1311" s="8" t="s">
        <v>27</v>
      </c>
      <c r="N1311" s="8" t="s">
        <v>6142</v>
      </c>
      <c r="O1311" s="8" t="s">
        <v>1018</v>
      </c>
      <c r="P1311" s="8" t="s">
        <v>405</v>
      </c>
      <c r="Q1311" s="12" t="s">
        <v>6143</v>
      </c>
      <c r="R1311" s="8" t="s">
        <v>100</v>
      </c>
      <c r="S1311" s="7" t="s">
        <v>18</v>
      </c>
      <c r="T1311" s="6"/>
      <c r="U1311" s="8"/>
      <c r="Y1311" s="8"/>
      <c r="Z1311" s="8"/>
      <c r="AA1311" s="8"/>
      <c r="AB1311" s="8"/>
      <c r="AC1311" s="8"/>
      <c r="AD1311" s="8"/>
      <c r="AE1311" s="8"/>
      <c r="AF1311" s="8"/>
      <c r="AG1311" s="8"/>
      <c r="AH1311" s="8"/>
    </row>
    <row r="1312" spans="1:39" ht="13.5" customHeight="1">
      <c r="A1312" s="8" t="s">
        <v>6125</v>
      </c>
      <c r="B1312" s="16">
        <v>37</v>
      </c>
      <c r="C1312" s="8" t="s">
        <v>115</v>
      </c>
      <c r="D1312" s="8" t="s">
        <v>85</v>
      </c>
      <c r="E1312" s="8" t="s">
        <v>6126</v>
      </c>
      <c r="F1312" s="17">
        <v>41956</v>
      </c>
      <c r="G1312" s="8" t="s">
        <v>6127</v>
      </c>
      <c r="H1312" s="8" t="s">
        <v>992</v>
      </c>
      <c r="I1312" s="8" t="s">
        <v>69</v>
      </c>
      <c r="J1312" s="16" t="s">
        <v>6128</v>
      </c>
      <c r="K1312" s="2" t="s">
        <v>105</v>
      </c>
      <c r="L1312" s="8" t="s">
        <v>3492</v>
      </c>
      <c r="M1312" s="8" t="s">
        <v>6129</v>
      </c>
      <c r="N1312" s="8" t="s">
        <v>6130</v>
      </c>
      <c r="O1312" s="8" t="s">
        <v>1018</v>
      </c>
      <c r="P1312" s="8" t="s">
        <v>405</v>
      </c>
      <c r="Q1312" s="12" t="s">
        <v>6131</v>
      </c>
      <c r="R1312" s="8" t="s">
        <v>559</v>
      </c>
      <c r="S1312" s="7" t="s">
        <v>18</v>
      </c>
      <c r="T1312" s="6"/>
      <c r="U1312" s="8"/>
    </row>
    <row r="1313" spans="1:39" ht="13.5" customHeight="1">
      <c r="A1313" s="8" t="s">
        <v>6161</v>
      </c>
      <c r="B1313" s="16">
        <v>26</v>
      </c>
      <c r="C1313" s="8" t="s">
        <v>20</v>
      </c>
      <c r="D1313" s="8" t="s">
        <v>48</v>
      </c>
      <c r="F1313" s="17">
        <v>41955</v>
      </c>
      <c r="G1313" s="8" t="s">
        <v>6162</v>
      </c>
      <c r="H1313" s="8" t="s">
        <v>6163</v>
      </c>
      <c r="I1313" s="8" t="s">
        <v>45</v>
      </c>
      <c r="J1313" s="16" t="s">
        <v>6164</v>
      </c>
      <c r="K1313" s="2" t="s">
        <v>4556</v>
      </c>
      <c r="L1313" s="8" t="s">
        <v>6165</v>
      </c>
      <c r="M1313" s="8" t="s">
        <v>27</v>
      </c>
      <c r="N1313" s="8" t="s">
        <v>6166</v>
      </c>
      <c r="P1313" s="8" t="s">
        <v>405</v>
      </c>
      <c r="Q1313" s="12" t="s">
        <v>6167</v>
      </c>
      <c r="R1313" s="8" t="s">
        <v>100</v>
      </c>
      <c r="S1313" s="7" t="s">
        <v>28</v>
      </c>
      <c r="T1313" s="6"/>
      <c r="U1313" s="8"/>
    </row>
    <row r="1314" spans="1:39" ht="13.5" customHeight="1">
      <c r="A1314" s="8" t="s">
        <v>6189</v>
      </c>
      <c r="B1314" s="16">
        <v>38</v>
      </c>
      <c r="C1314" s="8" t="s">
        <v>20</v>
      </c>
      <c r="D1314" s="8" t="s">
        <v>37</v>
      </c>
      <c r="E1314" s="8" t="s">
        <v>6190</v>
      </c>
      <c r="F1314" s="17">
        <v>41954</v>
      </c>
      <c r="G1314" s="8" t="s">
        <v>6191</v>
      </c>
      <c r="H1314" s="8" t="s">
        <v>5562</v>
      </c>
      <c r="I1314" s="8" t="s">
        <v>45</v>
      </c>
      <c r="J1314" s="16" t="s">
        <v>6192</v>
      </c>
      <c r="K1314" s="2" t="s">
        <v>791</v>
      </c>
      <c r="L1314" s="8" t="s">
        <v>792</v>
      </c>
      <c r="M1314" s="8" t="s">
        <v>27</v>
      </c>
      <c r="N1314" s="8" t="s">
        <v>6193</v>
      </c>
      <c r="P1314" s="8" t="s">
        <v>405</v>
      </c>
      <c r="Q1314" s="12" t="s">
        <v>6194</v>
      </c>
      <c r="R1314" s="8" t="s">
        <v>100</v>
      </c>
      <c r="S1314" s="7" t="s">
        <v>18</v>
      </c>
      <c r="T1314" s="6"/>
      <c r="U1314" s="8"/>
    </row>
    <row r="1315" spans="1:39" ht="13.5" customHeight="1">
      <c r="A1315" s="8" t="s">
        <v>6175</v>
      </c>
      <c r="B1315" s="16">
        <v>26</v>
      </c>
      <c r="C1315" s="8" t="s">
        <v>20</v>
      </c>
      <c r="D1315" s="8" t="s">
        <v>37</v>
      </c>
      <c r="E1315" s="8" t="s">
        <v>6176</v>
      </c>
      <c r="F1315" s="17">
        <v>41954</v>
      </c>
      <c r="G1315" s="8" t="s">
        <v>6177</v>
      </c>
      <c r="H1315" s="8" t="s">
        <v>657</v>
      </c>
      <c r="I1315" s="8" t="s">
        <v>94</v>
      </c>
      <c r="J1315" s="16" t="s">
        <v>6178</v>
      </c>
      <c r="K1315" s="2" t="s">
        <v>6179</v>
      </c>
      <c r="L1315" s="8" t="s">
        <v>2377</v>
      </c>
      <c r="M1315" s="8" t="s">
        <v>27</v>
      </c>
      <c r="N1315" s="8" t="s">
        <v>6180</v>
      </c>
      <c r="P1315" s="8" t="s">
        <v>405</v>
      </c>
      <c r="Q1315" s="12" t="s">
        <v>6181</v>
      </c>
      <c r="R1315" s="8" t="s">
        <v>100</v>
      </c>
      <c r="S1315" s="7" t="s">
        <v>28</v>
      </c>
      <c r="T1315" s="6"/>
      <c r="U1315" s="8"/>
    </row>
    <row r="1316" spans="1:39" ht="13.5" customHeight="1">
      <c r="A1316" s="8" t="s">
        <v>6182</v>
      </c>
      <c r="B1316" s="16">
        <v>52</v>
      </c>
      <c r="C1316" s="8" t="s">
        <v>20</v>
      </c>
      <c r="D1316" s="8" t="s">
        <v>37</v>
      </c>
      <c r="F1316" s="17">
        <v>41954</v>
      </c>
      <c r="G1316" s="8" t="s">
        <v>6183</v>
      </c>
      <c r="H1316" s="8" t="s">
        <v>6184</v>
      </c>
      <c r="I1316" s="8" t="s">
        <v>45</v>
      </c>
      <c r="J1316" s="16" t="s">
        <v>6185</v>
      </c>
      <c r="K1316" s="2" t="s">
        <v>4689</v>
      </c>
      <c r="L1316" s="8" t="s">
        <v>6186</v>
      </c>
      <c r="M1316" s="8" t="s">
        <v>27</v>
      </c>
      <c r="N1316" s="8" t="s">
        <v>6187</v>
      </c>
      <c r="O1316" s="8" t="s">
        <v>404</v>
      </c>
      <c r="P1316" s="8" t="s">
        <v>405</v>
      </c>
      <c r="Q1316" s="12" t="s">
        <v>6188</v>
      </c>
      <c r="R1316" s="8" t="s">
        <v>100</v>
      </c>
      <c r="S1316" s="7" t="s">
        <v>28</v>
      </c>
      <c r="T1316" s="6"/>
      <c r="U1316" s="8"/>
    </row>
    <row r="1317" spans="1:39" ht="13.5" customHeight="1">
      <c r="A1317" s="8" t="s">
        <v>6195</v>
      </c>
      <c r="B1317" s="16">
        <v>30</v>
      </c>
      <c r="C1317" s="8" t="s">
        <v>20</v>
      </c>
      <c r="D1317" s="8" t="s">
        <v>37</v>
      </c>
      <c r="F1317" s="17">
        <v>41954</v>
      </c>
      <c r="G1317" s="8" t="s">
        <v>6196</v>
      </c>
      <c r="H1317" s="8" t="s">
        <v>6197</v>
      </c>
      <c r="I1317" s="8" t="s">
        <v>370</v>
      </c>
      <c r="J1317" s="16" t="s">
        <v>6198</v>
      </c>
      <c r="K1317" s="2" t="s">
        <v>653</v>
      </c>
      <c r="L1317" s="8" t="s">
        <v>6199</v>
      </c>
      <c r="M1317" s="8" t="s">
        <v>383</v>
      </c>
      <c r="N1317" s="8" t="s">
        <v>6200</v>
      </c>
      <c r="O1317" s="8" t="s">
        <v>1018</v>
      </c>
      <c r="P1317" s="8" t="s">
        <v>405</v>
      </c>
      <c r="Q1317" s="12"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1317" s="8" t="s">
        <v>100</v>
      </c>
      <c r="S1317" s="7" t="s">
        <v>383</v>
      </c>
      <c r="T1317" s="6"/>
      <c r="U1317" s="8"/>
    </row>
    <row r="1318" spans="1:39" ht="13.5" customHeight="1">
      <c r="A1318" s="8" t="s">
        <v>6168</v>
      </c>
      <c r="B1318" s="16">
        <v>31</v>
      </c>
      <c r="C1318" s="8" t="s">
        <v>20</v>
      </c>
      <c r="D1318" s="8" t="s">
        <v>21</v>
      </c>
      <c r="F1318" s="17">
        <v>41954</v>
      </c>
      <c r="G1318" s="8" t="s">
        <v>6169</v>
      </c>
      <c r="H1318" s="8" t="s">
        <v>6170</v>
      </c>
      <c r="I1318" s="8" t="s">
        <v>62</v>
      </c>
      <c r="J1318" s="16" t="s">
        <v>6171</v>
      </c>
      <c r="K1318" s="2" t="s">
        <v>644</v>
      </c>
      <c r="L1318" s="8" t="s">
        <v>6172</v>
      </c>
      <c r="M1318" s="8" t="s">
        <v>27</v>
      </c>
      <c r="N1318" s="8" t="s">
        <v>6173</v>
      </c>
      <c r="O1318" s="8" t="s">
        <v>1018</v>
      </c>
      <c r="P1318" s="8" t="s">
        <v>405</v>
      </c>
      <c r="Q1318" s="12" t="s">
        <v>6174</v>
      </c>
      <c r="R1318" s="8" t="s">
        <v>100</v>
      </c>
      <c r="S1318" s="7" t="s">
        <v>28</v>
      </c>
      <c r="T1318" s="6"/>
      <c r="U1318" s="8"/>
      <c r="AI1318" s="8"/>
      <c r="AJ1318" s="8"/>
      <c r="AK1318" s="8"/>
      <c r="AL1318" s="8"/>
      <c r="AM1318" s="8"/>
    </row>
    <row r="1319" spans="1:39" ht="13.5" customHeight="1">
      <c r="A1319" s="8" t="s">
        <v>6201</v>
      </c>
      <c r="B1319" s="16">
        <v>27</v>
      </c>
      <c r="C1319" s="8" t="s">
        <v>20</v>
      </c>
      <c r="D1319" s="8" t="s">
        <v>85</v>
      </c>
      <c r="E1319" s="8" t="str">
        <f>HYPERLINK("http://imgick.nj.com/home/njo-media/width620/img/middlesex_impact/photo/16419415-mmmain.png","http://imgick.nj.com/home/njo-media/width620/img/middlesex_impact/photo/16419415-mmmain.png")</f>
        <v>http://imgick.nj.com/home/njo-media/width620/img/middlesex_impact/photo/16419415-mmmain.png</v>
      </c>
      <c r="F1319" s="17">
        <v>41953</v>
      </c>
      <c r="G1319" s="8" t="s">
        <v>6202</v>
      </c>
      <c r="H1319" s="8" t="s">
        <v>6203</v>
      </c>
      <c r="I1319" s="8" t="s">
        <v>81</v>
      </c>
      <c r="J1319" s="16">
        <v>8902</v>
      </c>
      <c r="K1319" s="2" t="s">
        <v>42</v>
      </c>
      <c r="L1319" s="8" t="s">
        <v>6204</v>
      </c>
      <c r="M1319" s="8" t="s">
        <v>2312</v>
      </c>
      <c r="N1319" s="8" t="s">
        <v>6205</v>
      </c>
      <c r="O1319" s="8" t="s">
        <v>4742</v>
      </c>
      <c r="P1319" s="8" t="s">
        <v>405</v>
      </c>
      <c r="Q1319" s="12"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1319" s="8" t="s">
        <v>559</v>
      </c>
      <c r="S1319" s="7" t="s">
        <v>18</v>
      </c>
      <c r="T1319" s="6"/>
      <c r="U1319" s="8"/>
    </row>
    <row r="1320" spans="1:39" ht="13.5" customHeight="1">
      <c r="A1320" s="8" t="s">
        <v>6206</v>
      </c>
      <c r="B1320" s="16">
        <v>38</v>
      </c>
      <c r="C1320" s="8" t="s">
        <v>20</v>
      </c>
      <c r="D1320" s="8" t="s">
        <v>21</v>
      </c>
      <c r="E1320" s="8" t="s">
        <v>6207</v>
      </c>
      <c r="F1320" s="17">
        <v>41952</v>
      </c>
      <c r="G1320" s="8" t="s">
        <v>6208</v>
      </c>
      <c r="H1320" s="8" t="s">
        <v>6209</v>
      </c>
      <c r="I1320" s="8" t="s">
        <v>73</v>
      </c>
      <c r="J1320" s="16" t="s">
        <v>6210</v>
      </c>
      <c r="K1320" s="2" t="s">
        <v>288</v>
      </c>
      <c r="L1320" s="8" t="s">
        <v>6211</v>
      </c>
      <c r="M1320" s="8" t="s">
        <v>27</v>
      </c>
      <c r="N1320" s="8" t="s">
        <v>6212</v>
      </c>
      <c r="O1320" s="8" t="s">
        <v>1018</v>
      </c>
      <c r="P1320" s="8" t="s">
        <v>405</v>
      </c>
      <c r="Q1320" s="12" t="s">
        <v>6213</v>
      </c>
      <c r="R1320" s="8" t="s">
        <v>100</v>
      </c>
      <c r="S1320" s="7" t="s">
        <v>28</v>
      </c>
      <c r="T1320" s="6"/>
      <c r="U1320" s="8"/>
      <c r="AI1320" s="8"/>
      <c r="AJ1320" s="8"/>
      <c r="AK1320" s="8"/>
      <c r="AL1320" s="8"/>
      <c r="AM1320" s="8"/>
    </row>
    <row r="1321" spans="1:39" ht="13.5" customHeight="1">
      <c r="A1321" s="8" t="s">
        <v>6214</v>
      </c>
      <c r="B1321" s="16">
        <v>40</v>
      </c>
      <c r="C1321" s="8" t="s">
        <v>115</v>
      </c>
      <c r="D1321" s="8" t="s">
        <v>85</v>
      </c>
      <c r="E1321" s="8" t="s">
        <v>6215</v>
      </c>
      <c r="F1321" s="17">
        <v>41952</v>
      </c>
      <c r="G1321" s="8" t="s">
        <v>6216</v>
      </c>
      <c r="H1321" s="8" t="s">
        <v>6217</v>
      </c>
      <c r="I1321" s="8" t="s">
        <v>57</v>
      </c>
      <c r="J1321" s="16" t="s">
        <v>6218</v>
      </c>
      <c r="K1321" s="2" t="s">
        <v>6219</v>
      </c>
      <c r="L1321" s="8" t="s">
        <v>6220</v>
      </c>
      <c r="M1321" s="8" t="s">
        <v>27</v>
      </c>
      <c r="N1321" s="8" t="s">
        <v>6221</v>
      </c>
      <c r="O1321" s="8" t="s">
        <v>404</v>
      </c>
      <c r="P1321" s="8" t="s">
        <v>405</v>
      </c>
      <c r="Q1321" s="12" t="s">
        <v>6222</v>
      </c>
      <c r="R1321" s="8" t="s">
        <v>29</v>
      </c>
      <c r="S1321" s="7" t="s">
        <v>28</v>
      </c>
      <c r="T1321" s="6"/>
      <c r="U1321" s="8"/>
      <c r="Y1321" s="8"/>
      <c r="Z1321" s="8"/>
      <c r="AA1321" s="8"/>
      <c r="AB1321" s="8"/>
      <c r="AC1321" s="8"/>
      <c r="AD1321" s="8"/>
      <c r="AE1321" s="8"/>
      <c r="AF1321" s="8"/>
      <c r="AG1321" s="8"/>
      <c r="AH1321" s="8"/>
    </row>
    <row r="1322" spans="1:39" ht="13.5" customHeight="1">
      <c r="A1322" s="8" t="s">
        <v>6247</v>
      </c>
      <c r="B1322" s="16">
        <v>56</v>
      </c>
      <c r="C1322" s="8" t="s">
        <v>20</v>
      </c>
      <c r="D1322" s="8" t="s">
        <v>37</v>
      </c>
      <c r="F1322" s="17">
        <v>41952</v>
      </c>
      <c r="G1322" s="8" t="s">
        <v>6248</v>
      </c>
      <c r="H1322" s="8" t="s">
        <v>6249</v>
      </c>
      <c r="I1322" s="8" t="s">
        <v>45</v>
      </c>
      <c r="J1322" s="16" t="s">
        <v>6250</v>
      </c>
      <c r="K1322" s="2" t="s">
        <v>1269</v>
      </c>
      <c r="L1322" s="8" t="s">
        <v>1270</v>
      </c>
      <c r="M1322" s="8" t="s">
        <v>27</v>
      </c>
      <c r="N1322" s="8" t="s">
        <v>6251</v>
      </c>
      <c r="O1322" s="8" t="s">
        <v>404</v>
      </c>
      <c r="P1322" s="8" t="s">
        <v>405</v>
      </c>
      <c r="Q1322" s="12" t="s">
        <v>6252</v>
      </c>
      <c r="R1322" s="8" t="s">
        <v>100</v>
      </c>
      <c r="S1322" s="7" t="s">
        <v>28</v>
      </c>
      <c r="T1322" s="6"/>
      <c r="U1322" s="8"/>
    </row>
    <row r="1323" spans="1:39" ht="13.5" customHeight="1">
      <c r="A1323" s="8" t="s">
        <v>6241</v>
      </c>
      <c r="B1323" s="16">
        <v>48</v>
      </c>
      <c r="C1323" s="8" t="s">
        <v>20</v>
      </c>
      <c r="D1323" s="8" t="s">
        <v>48</v>
      </c>
      <c r="E1323" s="8" t="s">
        <v>6242</v>
      </c>
      <c r="F1323" s="17">
        <v>41952</v>
      </c>
      <c r="G1323" s="8" t="s">
        <v>6243</v>
      </c>
      <c r="H1323" s="8" t="s">
        <v>638</v>
      </c>
      <c r="I1323" s="8" t="s">
        <v>124</v>
      </c>
      <c r="J1323" s="16" t="s">
        <v>6244</v>
      </c>
      <c r="K1323" s="2" t="s">
        <v>639</v>
      </c>
      <c r="L1323" s="8" t="s">
        <v>640</v>
      </c>
      <c r="M1323" s="8" t="s">
        <v>2312</v>
      </c>
      <c r="N1323" s="8" t="s">
        <v>6245</v>
      </c>
      <c r="O1323" s="8" t="s">
        <v>1018</v>
      </c>
      <c r="P1323" s="8" t="s">
        <v>405</v>
      </c>
      <c r="Q1323" s="12" t="s">
        <v>6246</v>
      </c>
      <c r="R1323" s="8" t="s">
        <v>972</v>
      </c>
      <c r="S1323" s="7" t="s">
        <v>28</v>
      </c>
      <c r="T1323" s="6"/>
      <c r="U1323" s="8"/>
      <c r="V1323" s="8"/>
      <c r="W1323" s="8"/>
      <c r="X1323" s="8"/>
    </row>
    <row r="1324" spans="1:39" ht="13.5" customHeight="1">
      <c r="A1324" s="8" t="s">
        <v>6230</v>
      </c>
      <c r="B1324" s="16">
        <v>31</v>
      </c>
      <c r="C1324" s="8" t="s">
        <v>20</v>
      </c>
      <c r="D1324" s="8" t="s">
        <v>48</v>
      </c>
      <c r="E1324" s="8" t="s">
        <v>6231</v>
      </c>
      <c r="F1324" s="17">
        <v>41952</v>
      </c>
      <c r="G1324" s="8" t="s">
        <v>6232</v>
      </c>
      <c r="H1324" s="8" t="s">
        <v>1311</v>
      </c>
      <c r="I1324" s="8" t="s">
        <v>212</v>
      </c>
      <c r="J1324" s="16" t="s">
        <v>6233</v>
      </c>
      <c r="K1324" s="2" t="s">
        <v>1311</v>
      </c>
      <c r="L1324" s="8" t="s">
        <v>1312</v>
      </c>
      <c r="M1324" s="8" t="s">
        <v>27</v>
      </c>
      <c r="N1324" s="8" t="s">
        <v>6234</v>
      </c>
      <c r="O1324" s="8" t="s">
        <v>1018</v>
      </c>
      <c r="P1324" s="8" t="s">
        <v>405</v>
      </c>
      <c r="Q1324" s="12" t="s">
        <v>6235</v>
      </c>
      <c r="R1324" s="8" t="s">
        <v>29</v>
      </c>
      <c r="S1324" s="7" t="s">
        <v>28</v>
      </c>
      <c r="T1324" s="6"/>
      <c r="U1324" s="8"/>
    </row>
    <row r="1325" spans="1:39" ht="13.5" customHeight="1">
      <c r="A1325" s="8" t="s">
        <v>6236</v>
      </c>
      <c r="B1325" s="16">
        <v>34</v>
      </c>
      <c r="C1325" s="8" t="s">
        <v>20</v>
      </c>
      <c r="D1325" s="8" t="s">
        <v>48</v>
      </c>
      <c r="F1325" s="17">
        <v>41952</v>
      </c>
      <c r="G1325" s="8" t="s">
        <v>6237</v>
      </c>
      <c r="H1325" s="8" t="s">
        <v>98</v>
      </c>
      <c r="I1325" s="8" t="s">
        <v>45</v>
      </c>
      <c r="J1325" s="16" t="s">
        <v>6238</v>
      </c>
      <c r="K1325" s="2" t="s">
        <v>98</v>
      </c>
      <c r="L1325" s="8" t="s">
        <v>99</v>
      </c>
      <c r="M1325" s="8" t="s">
        <v>27</v>
      </c>
      <c r="N1325" s="8" t="s">
        <v>6239</v>
      </c>
      <c r="O1325" s="8" t="s">
        <v>1018</v>
      </c>
      <c r="P1325" s="8" t="s">
        <v>405</v>
      </c>
      <c r="Q1325" s="12" t="s">
        <v>6240</v>
      </c>
      <c r="R1325" s="8" t="s">
        <v>100</v>
      </c>
      <c r="S1325" s="7" t="s">
        <v>28</v>
      </c>
      <c r="T1325" s="6"/>
      <c r="U1325" s="8"/>
    </row>
    <row r="1326" spans="1:39" ht="13.5" customHeight="1">
      <c r="A1326" s="8" t="s">
        <v>6223</v>
      </c>
      <c r="B1326" s="16">
        <v>22</v>
      </c>
      <c r="C1326" s="8" t="s">
        <v>20</v>
      </c>
      <c r="D1326" s="8" t="s">
        <v>48</v>
      </c>
      <c r="E1326" s="8" t="s">
        <v>6224</v>
      </c>
      <c r="F1326" s="17">
        <v>41952</v>
      </c>
      <c r="G1326" s="8" t="s">
        <v>6225</v>
      </c>
      <c r="H1326" s="8" t="s">
        <v>6226</v>
      </c>
      <c r="I1326" s="8" t="s">
        <v>45</v>
      </c>
      <c r="J1326" s="16" t="s">
        <v>6227</v>
      </c>
      <c r="K1326" s="2" t="s">
        <v>98</v>
      </c>
      <c r="L1326" s="8" t="s">
        <v>99</v>
      </c>
      <c r="M1326" s="8" t="s">
        <v>27</v>
      </c>
      <c r="N1326" s="8" t="s">
        <v>6228</v>
      </c>
      <c r="O1326" s="8" t="s">
        <v>1018</v>
      </c>
      <c r="P1326" s="8" t="s">
        <v>405</v>
      </c>
      <c r="Q1326" s="12" t="s">
        <v>6229</v>
      </c>
      <c r="R1326" s="8" t="s">
        <v>559</v>
      </c>
      <c r="S1326" s="7" t="s">
        <v>28</v>
      </c>
      <c r="T1326" s="6"/>
      <c r="U1326" s="8"/>
    </row>
    <row r="1327" spans="1:39" ht="13.5" customHeight="1">
      <c r="A1327" s="8" t="s">
        <v>6253</v>
      </c>
      <c r="B1327" s="16">
        <v>23</v>
      </c>
      <c r="C1327" s="8" t="s">
        <v>20</v>
      </c>
      <c r="D1327" s="8" t="s">
        <v>37</v>
      </c>
      <c r="F1327" s="17">
        <v>41952</v>
      </c>
      <c r="G1327" s="8" t="s">
        <v>6254</v>
      </c>
      <c r="H1327" s="8" t="s">
        <v>6255</v>
      </c>
      <c r="I1327" s="8" t="s">
        <v>81</v>
      </c>
      <c r="J1327" s="16">
        <v>8759</v>
      </c>
      <c r="K1327" s="2" t="s">
        <v>649</v>
      </c>
      <c r="L1327" s="8" t="s">
        <v>6256</v>
      </c>
      <c r="M1327" s="8" t="s">
        <v>383</v>
      </c>
      <c r="N1327" s="8" t="s">
        <v>6257</v>
      </c>
      <c r="P1327" s="8" t="s">
        <v>405</v>
      </c>
      <c r="Q1327" s="12" t="s">
        <v>6258</v>
      </c>
      <c r="S1327" s="7" t="s">
        <v>18</v>
      </c>
      <c r="T1327" s="6"/>
      <c r="U1327" s="8"/>
    </row>
    <row r="1328" spans="1:39" ht="13.5" customHeight="1">
      <c r="A1328" s="8" t="s">
        <v>6285</v>
      </c>
      <c r="B1328" s="16">
        <v>27</v>
      </c>
      <c r="C1328" s="8" t="s">
        <v>20</v>
      </c>
      <c r="D1328" s="8" t="s">
        <v>37</v>
      </c>
      <c r="F1328" s="17">
        <v>41951</v>
      </c>
      <c r="G1328" s="8" t="s">
        <v>6286</v>
      </c>
      <c r="H1328" s="8" t="s">
        <v>790</v>
      </c>
      <c r="I1328" s="8" t="s">
        <v>45</v>
      </c>
      <c r="J1328" s="16" t="s">
        <v>2858</v>
      </c>
      <c r="K1328" s="2" t="s">
        <v>791</v>
      </c>
      <c r="L1328" s="8" t="s">
        <v>4790</v>
      </c>
      <c r="M1328" s="8" t="s">
        <v>27</v>
      </c>
      <c r="N1328" s="8" t="s">
        <v>6287</v>
      </c>
      <c r="O1328" s="8" t="s">
        <v>1170</v>
      </c>
      <c r="P1328" s="8" t="s">
        <v>1171</v>
      </c>
      <c r="Q1328" s="12" t="s">
        <v>6288</v>
      </c>
      <c r="R1328" s="8" t="s">
        <v>100</v>
      </c>
      <c r="S1328" s="7" t="s">
        <v>28</v>
      </c>
      <c r="T1328" s="6"/>
      <c r="U1328" s="8"/>
    </row>
    <row r="1329" spans="1:24" ht="13.5" customHeight="1">
      <c r="A1329" s="8" t="s">
        <v>6259</v>
      </c>
      <c r="B1329" s="16">
        <v>50</v>
      </c>
      <c r="C1329" s="8" t="s">
        <v>20</v>
      </c>
      <c r="D1329" s="8" t="s">
        <v>85</v>
      </c>
      <c r="F1329" s="17">
        <v>41951</v>
      </c>
      <c r="G1329" s="8" t="s">
        <v>6260</v>
      </c>
      <c r="H1329" s="8" t="s">
        <v>434</v>
      </c>
      <c r="I1329" s="8" t="s">
        <v>367</v>
      </c>
      <c r="J1329" s="16" t="s">
        <v>6261</v>
      </c>
      <c r="K1329" s="2" t="s">
        <v>604</v>
      </c>
      <c r="L1329" s="8" t="s">
        <v>2140</v>
      </c>
      <c r="M1329" s="8" t="s">
        <v>27</v>
      </c>
      <c r="N1329" s="8" t="s">
        <v>6262</v>
      </c>
      <c r="O1329" s="8" t="s">
        <v>404</v>
      </c>
      <c r="P1329" s="8" t="s">
        <v>405</v>
      </c>
      <c r="Q1329" s="12" t="s">
        <v>6263</v>
      </c>
      <c r="R1329" s="8" t="s">
        <v>29</v>
      </c>
      <c r="S1329" s="7" t="s">
        <v>28</v>
      </c>
      <c r="T1329" s="6"/>
      <c r="U1329" s="8"/>
    </row>
    <row r="1330" spans="1:24" ht="13.5" customHeight="1">
      <c r="A1330" s="8" t="s">
        <v>6279</v>
      </c>
      <c r="B1330" s="16">
        <v>34</v>
      </c>
      <c r="C1330" s="8" t="s">
        <v>20</v>
      </c>
      <c r="D1330" s="8" t="s">
        <v>37</v>
      </c>
      <c r="E1330" s="8" t="s">
        <v>6280</v>
      </c>
      <c r="F1330" s="17">
        <v>41951</v>
      </c>
      <c r="G1330" s="8" t="s">
        <v>6281</v>
      </c>
      <c r="H1330" s="8" t="s">
        <v>1104</v>
      </c>
      <c r="I1330" s="8" t="s">
        <v>399</v>
      </c>
      <c r="J1330" s="16" t="s">
        <v>6282</v>
      </c>
      <c r="K1330" s="2" t="s">
        <v>1105</v>
      </c>
      <c r="L1330" s="8" t="s">
        <v>1106</v>
      </c>
      <c r="M1330" s="8" t="s">
        <v>27</v>
      </c>
      <c r="N1330" s="8" t="s">
        <v>6283</v>
      </c>
      <c r="P1330" s="8" t="s">
        <v>405</v>
      </c>
      <c r="Q1330" s="12" t="s">
        <v>6284</v>
      </c>
      <c r="R1330" s="8" t="s">
        <v>100</v>
      </c>
      <c r="S1330" s="7" t="s">
        <v>28</v>
      </c>
      <c r="T1330" s="6"/>
      <c r="U1330" s="8"/>
    </row>
    <row r="1331" spans="1:24" ht="13.5" customHeight="1">
      <c r="A1331" s="8" t="s">
        <v>6264</v>
      </c>
      <c r="B1331" s="16">
        <v>52</v>
      </c>
      <c r="C1331" s="8" t="s">
        <v>115</v>
      </c>
      <c r="D1331" s="8" t="s">
        <v>141</v>
      </c>
      <c r="F1331" s="17">
        <v>41951</v>
      </c>
      <c r="G1331" s="8" t="s">
        <v>6265</v>
      </c>
      <c r="H1331" s="8" t="s">
        <v>518</v>
      </c>
      <c r="I1331" s="8" t="s">
        <v>145</v>
      </c>
      <c r="J1331" s="16" t="s">
        <v>6266</v>
      </c>
      <c r="K1331" s="2" t="s">
        <v>6267</v>
      </c>
      <c r="L1331" s="8" t="s">
        <v>6268</v>
      </c>
      <c r="M1331" s="8" t="s">
        <v>27</v>
      </c>
      <c r="N1331" s="8" t="s">
        <v>6269</v>
      </c>
      <c r="O1331" s="8" t="s">
        <v>554</v>
      </c>
      <c r="P1331" s="8" t="s">
        <v>405</v>
      </c>
      <c r="Q1331" s="12" t="s">
        <v>6270</v>
      </c>
      <c r="R1331" s="8" t="s">
        <v>972</v>
      </c>
      <c r="S1331" s="7" t="s">
        <v>28</v>
      </c>
      <c r="T1331" s="6"/>
      <c r="U1331" s="8"/>
    </row>
    <row r="1332" spans="1:24" ht="13.5" customHeight="1">
      <c r="A1332" s="8" t="s">
        <v>6271</v>
      </c>
      <c r="B1332" s="16">
        <v>27</v>
      </c>
      <c r="C1332" s="8" t="s">
        <v>20</v>
      </c>
      <c r="D1332" s="8" t="s">
        <v>37</v>
      </c>
      <c r="E1332" s="8" t="s">
        <v>6272</v>
      </c>
      <c r="F1332" s="17">
        <v>41951</v>
      </c>
      <c r="G1332" s="8" t="s">
        <v>6273</v>
      </c>
      <c r="H1332" s="8" t="s">
        <v>6274</v>
      </c>
      <c r="I1332" s="8" t="s">
        <v>57</v>
      </c>
      <c r="J1332" s="16" t="s">
        <v>6275</v>
      </c>
      <c r="K1332" s="2" t="s">
        <v>1139</v>
      </c>
      <c r="L1332" s="8" t="s">
        <v>6276</v>
      </c>
      <c r="M1332" s="8" t="s">
        <v>27</v>
      </c>
      <c r="N1332" s="8" t="s">
        <v>6277</v>
      </c>
      <c r="O1332" s="8" t="s">
        <v>1018</v>
      </c>
      <c r="P1332" s="8" t="s">
        <v>405</v>
      </c>
      <c r="Q1332" s="12" t="s">
        <v>6278</v>
      </c>
      <c r="R1332" s="8" t="s">
        <v>559</v>
      </c>
      <c r="S1332" s="7" t="s">
        <v>28</v>
      </c>
      <c r="T1332" s="6"/>
      <c r="U1332" s="8"/>
    </row>
    <row r="1333" spans="1:24" ht="13.5" customHeight="1">
      <c r="A1333" s="8" t="s">
        <v>6289</v>
      </c>
      <c r="B1333" s="16">
        <v>57</v>
      </c>
      <c r="C1333" s="8" t="s">
        <v>20</v>
      </c>
      <c r="D1333" s="8" t="s">
        <v>37</v>
      </c>
      <c r="F1333" s="17">
        <v>41950</v>
      </c>
      <c r="G1333" s="8" t="s">
        <v>6290</v>
      </c>
      <c r="H1333" s="8" t="s">
        <v>934</v>
      </c>
      <c r="I1333" s="8" t="s">
        <v>73</v>
      </c>
      <c r="J1333" s="16" t="s">
        <v>6291</v>
      </c>
      <c r="K1333" s="2" t="s">
        <v>74</v>
      </c>
      <c r="L1333" s="8" t="s">
        <v>6292</v>
      </c>
      <c r="M1333" s="8" t="s">
        <v>27</v>
      </c>
      <c r="N1333" s="8" t="s">
        <v>6293</v>
      </c>
      <c r="O1333" s="8" t="s">
        <v>1018</v>
      </c>
      <c r="P1333" s="8" t="s">
        <v>405</v>
      </c>
      <c r="Q1333" s="12" t="s">
        <v>6294</v>
      </c>
      <c r="R1333" s="8" t="s">
        <v>100</v>
      </c>
      <c r="S1333" s="7" t="s">
        <v>28</v>
      </c>
      <c r="T1333" s="6"/>
      <c r="U1333" s="8"/>
    </row>
    <row r="1334" spans="1:24" ht="13.5" customHeight="1">
      <c r="A1334" s="8" t="s">
        <v>6295</v>
      </c>
      <c r="B1334" s="16">
        <v>20</v>
      </c>
      <c r="C1334" s="8" t="s">
        <v>20</v>
      </c>
      <c r="D1334" s="8" t="s">
        <v>85</v>
      </c>
      <c r="E1334" s="8" t="s">
        <v>6296</v>
      </c>
      <c r="F1334" s="17">
        <v>41949</v>
      </c>
      <c r="G1334" s="8" t="s">
        <v>6297</v>
      </c>
      <c r="H1334" s="8" t="s">
        <v>437</v>
      </c>
      <c r="I1334" s="8" t="s">
        <v>323</v>
      </c>
      <c r="J1334" s="16" t="s">
        <v>6298</v>
      </c>
      <c r="K1334" s="2" t="s">
        <v>2179</v>
      </c>
      <c r="L1334" s="8" t="s">
        <v>6299</v>
      </c>
      <c r="M1334" s="8" t="s">
        <v>27</v>
      </c>
      <c r="N1334" s="8" t="s">
        <v>6300</v>
      </c>
      <c r="O1334" s="8" t="s">
        <v>404</v>
      </c>
      <c r="P1334" s="8" t="s">
        <v>405</v>
      </c>
      <c r="Q1334" s="12"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1334" s="8" t="s">
        <v>29</v>
      </c>
      <c r="S1334" s="7" t="s">
        <v>28</v>
      </c>
      <c r="T1334" s="6"/>
      <c r="U1334" s="8"/>
    </row>
    <row r="1335" spans="1:24" ht="13.5" customHeight="1">
      <c r="A1335" s="8" t="s">
        <v>6314</v>
      </c>
      <c r="B1335" s="16">
        <v>26</v>
      </c>
      <c r="C1335" s="8" t="s">
        <v>20</v>
      </c>
      <c r="D1335" s="8" t="s">
        <v>37</v>
      </c>
      <c r="F1335" s="17">
        <v>41949</v>
      </c>
      <c r="G1335" s="8" t="s">
        <v>6315</v>
      </c>
      <c r="H1335" s="8" t="s">
        <v>6316</v>
      </c>
      <c r="I1335" s="8" t="s">
        <v>798</v>
      </c>
      <c r="J1335" s="16">
        <v>83338</v>
      </c>
      <c r="K1335" s="2" t="s">
        <v>6316</v>
      </c>
      <c r="L1335" s="8" t="s">
        <v>19943</v>
      </c>
      <c r="M1335" s="8" t="s">
        <v>27</v>
      </c>
      <c r="N1335" s="8" t="s">
        <v>6317</v>
      </c>
      <c r="P1335" s="8" t="s">
        <v>405</v>
      </c>
      <c r="Q1335" s="12"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1335" s="7" t="s">
        <v>28</v>
      </c>
      <c r="T1335" s="6"/>
      <c r="U1335" s="8"/>
    </row>
    <row r="1336" spans="1:24" ht="13.5" customHeight="1">
      <c r="A1336" s="8" t="s">
        <v>6301</v>
      </c>
      <c r="B1336" s="16">
        <v>71</v>
      </c>
      <c r="C1336" s="8" t="s">
        <v>20</v>
      </c>
      <c r="D1336" s="8" t="s">
        <v>30</v>
      </c>
      <c r="F1336" s="17">
        <v>41949</v>
      </c>
      <c r="G1336" s="8" t="s">
        <v>6302</v>
      </c>
      <c r="H1336" s="8" t="s">
        <v>6303</v>
      </c>
      <c r="I1336" s="8" t="s">
        <v>94</v>
      </c>
      <c r="J1336" s="16">
        <v>35640</v>
      </c>
      <c r="K1336" s="2" t="s">
        <v>5486</v>
      </c>
      <c r="L1336" s="8" t="s">
        <v>6304</v>
      </c>
      <c r="M1336" s="8" t="s">
        <v>383</v>
      </c>
      <c r="N1336" s="8" t="s">
        <v>6305</v>
      </c>
      <c r="P1336" s="8" t="s">
        <v>405</v>
      </c>
      <c r="Q1336" s="12" t="s">
        <v>6306</v>
      </c>
      <c r="S1336" s="7" t="s">
        <v>18</v>
      </c>
      <c r="T1336" s="6"/>
      <c r="U1336" s="8"/>
    </row>
    <row r="1337" spans="1:24" ht="13.5" customHeight="1">
      <c r="A1337" s="8" t="s">
        <v>6307</v>
      </c>
      <c r="B1337" s="16">
        <v>36</v>
      </c>
      <c r="C1337" s="8" t="s">
        <v>20</v>
      </c>
      <c r="D1337" s="8" t="s">
        <v>37</v>
      </c>
      <c r="E1337" s="8" t="s">
        <v>6308</v>
      </c>
      <c r="F1337" s="17">
        <v>41949</v>
      </c>
      <c r="G1337" s="8" t="s">
        <v>6309</v>
      </c>
      <c r="H1337" s="8" t="s">
        <v>6310</v>
      </c>
      <c r="I1337" s="8" t="s">
        <v>45</v>
      </c>
      <c r="J1337" s="16" t="s">
        <v>6311</v>
      </c>
      <c r="K1337" s="2" t="s">
        <v>98</v>
      </c>
      <c r="L1337" s="8" t="s">
        <v>418</v>
      </c>
      <c r="M1337" s="8" t="s">
        <v>27</v>
      </c>
      <c r="N1337" s="8" t="s">
        <v>6312</v>
      </c>
      <c r="O1337" s="8" t="s">
        <v>1018</v>
      </c>
      <c r="P1337" s="8" t="s">
        <v>405</v>
      </c>
      <c r="Q1337" s="12" t="s">
        <v>6313</v>
      </c>
      <c r="R1337" s="8" t="s">
        <v>559</v>
      </c>
      <c r="S1337" s="7" t="s">
        <v>28</v>
      </c>
      <c r="T1337" s="6"/>
      <c r="U1337" s="8"/>
    </row>
    <row r="1338" spans="1:24" ht="13.5" customHeight="1">
      <c r="A1338" s="8" t="s">
        <v>6324</v>
      </c>
      <c r="B1338" s="16">
        <v>27</v>
      </c>
      <c r="C1338" s="8" t="s">
        <v>20</v>
      </c>
      <c r="D1338" s="8" t="s">
        <v>37</v>
      </c>
      <c r="E1338" s="8" t="str">
        <f>HYPERLINK("https://www.facebook.com/groups/387178151407408/","https://www.facebook.com/groups/387178151407408/")</f>
        <v>https://www.facebook.com/groups/387178151407408/</v>
      </c>
      <c r="F1338" s="17">
        <v>41948</v>
      </c>
      <c r="G1338" s="8" t="s">
        <v>6325</v>
      </c>
      <c r="H1338" s="8" t="s">
        <v>6326</v>
      </c>
      <c r="I1338" s="8" t="s">
        <v>306</v>
      </c>
      <c r="J1338" s="16">
        <v>98908</v>
      </c>
      <c r="K1338" s="2" t="s">
        <v>6326</v>
      </c>
      <c r="L1338" s="8" t="s">
        <v>6327</v>
      </c>
      <c r="M1338" s="8" t="s">
        <v>27</v>
      </c>
      <c r="N1338" s="8" t="s">
        <v>6328</v>
      </c>
      <c r="P1338" s="8" t="s">
        <v>405</v>
      </c>
      <c r="Q1338" s="12" t="str">
        <f>HYPERLINK("http://www.yakimaherald.com/news/latestlocalnews/2632541-8/man-fatally-shot-by-yakima-county-deputy","http://www.yakimaherald.com/news/latestlocalnews/2632541-8/man-fatally-shot-by-yakima-county-deputy")</f>
        <v>http://www.yakimaherald.com/news/latestlocalnews/2632541-8/man-fatally-shot-by-yakima-county-deputy</v>
      </c>
      <c r="S1338" s="7" t="s">
        <v>383</v>
      </c>
      <c r="T1338" s="6"/>
      <c r="U1338" s="8"/>
      <c r="V1338" s="8"/>
      <c r="W1338" s="8"/>
      <c r="X1338" s="8"/>
    </row>
    <row r="1339" spans="1:24" ht="13.5" customHeight="1">
      <c r="A1339" s="8" t="s">
        <v>6318</v>
      </c>
      <c r="B1339" s="16">
        <v>33</v>
      </c>
      <c r="C1339" s="8" t="s">
        <v>20</v>
      </c>
      <c r="D1339" s="8" t="s">
        <v>30</v>
      </c>
      <c r="F1339" s="17">
        <v>41948</v>
      </c>
      <c r="G1339" s="8" t="s">
        <v>6319</v>
      </c>
      <c r="H1339" s="8" t="s">
        <v>1627</v>
      </c>
      <c r="I1339" s="8" t="s">
        <v>272</v>
      </c>
      <c r="J1339" s="16" t="s">
        <v>6320</v>
      </c>
      <c r="K1339" s="2" t="s">
        <v>6321</v>
      </c>
      <c r="L1339" s="8" t="s">
        <v>6322</v>
      </c>
      <c r="M1339" s="8" t="s">
        <v>27</v>
      </c>
      <c r="N1339" s="8" t="s">
        <v>6323</v>
      </c>
      <c r="O1339" s="8" t="s">
        <v>4742</v>
      </c>
      <c r="P1339" s="8" t="s">
        <v>405</v>
      </c>
      <c r="Q1339" s="12" t="str">
        <f>HYPERLINK("http://www.rgj.com/story/news/crime/2014/11/05/police-officer-involved-shooting-near-unr/18563353/","http://www.rgj.com/story/news/crime/2014/11/05/police-officer-involved-shooting-near-unr/18563353/")</f>
        <v>http://www.rgj.com/story/news/crime/2014/11/05/police-officer-involved-shooting-near-unr/18563353/</v>
      </c>
      <c r="R1339" s="8" t="s">
        <v>100</v>
      </c>
      <c r="S1339" s="7" t="s">
        <v>28</v>
      </c>
      <c r="T1339" s="6"/>
      <c r="U1339" s="8"/>
    </row>
    <row r="1340" spans="1:24" ht="13.5" customHeight="1">
      <c r="A1340" s="8" t="s">
        <v>6329</v>
      </c>
      <c r="B1340" s="16">
        <v>64</v>
      </c>
      <c r="C1340" s="8" t="s">
        <v>20</v>
      </c>
      <c r="D1340" s="8" t="s">
        <v>30</v>
      </c>
      <c r="F1340" s="17">
        <v>41947</v>
      </c>
      <c r="G1340" s="8" t="s">
        <v>6330</v>
      </c>
      <c r="H1340" s="8" t="s">
        <v>6331</v>
      </c>
      <c r="I1340" s="8" t="s">
        <v>69</v>
      </c>
      <c r="J1340" s="16">
        <v>45645</v>
      </c>
      <c r="K1340" s="2" t="s">
        <v>2087</v>
      </c>
      <c r="L1340" s="8" t="s">
        <v>348</v>
      </c>
      <c r="M1340" s="8" t="s">
        <v>27</v>
      </c>
      <c r="N1340" s="8" t="s">
        <v>6332</v>
      </c>
      <c r="O1340" s="8" t="s">
        <v>554</v>
      </c>
      <c r="P1340" s="8" t="s">
        <v>405</v>
      </c>
      <c r="Q1340" s="12"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1340" s="7" t="s">
        <v>28</v>
      </c>
      <c r="T1340" s="6"/>
      <c r="U1340" s="8"/>
    </row>
    <row r="1341" spans="1:24" ht="13.5" customHeight="1">
      <c r="A1341" s="8" t="s">
        <v>6351</v>
      </c>
      <c r="B1341" s="16">
        <v>28</v>
      </c>
      <c r="C1341" s="8" t="s">
        <v>20</v>
      </c>
      <c r="D1341" s="8" t="s">
        <v>30</v>
      </c>
      <c r="F1341" s="17">
        <v>41946</v>
      </c>
      <c r="G1341" s="8" t="s">
        <v>6352</v>
      </c>
      <c r="H1341" s="8" t="s">
        <v>6353</v>
      </c>
      <c r="I1341" s="8" t="s">
        <v>69</v>
      </c>
      <c r="J1341" s="16">
        <v>45750</v>
      </c>
      <c r="K1341" s="2" t="s">
        <v>119</v>
      </c>
      <c r="L1341" s="8" t="s">
        <v>120</v>
      </c>
      <c r="M1341" s="8" t="s">
        <v>383</v>
      </c>
      <c r="N1341" s="8" t="s">
        <v>6354</v>
      </c>
      <c r="O1341" s="8" t="s">
        <v>3421</v>
      </c>
      <c r="P1341" s="8" t="s">
        <v>405</v>
      </c>
      <c r="Q1341" s="12" t="str">
        <f>HYPERLINK("http://www.thenewscenter.tv/home/headlines/One-Person-Dead-in-Marietta-Crash-281400271.html","http://www.thenewscenter.tv/home/headlines/One-Person-Dead-in-Marietta-Crash-281400271.html")</f>
        <v>http://www.thenewscenter.tv/home/headlines/One-Person-Dead-in-Marietta-Crash-281400271.html</v>
      </c>
      <c r="R1341" s="8" t="s">
        <v>100</v>
      </c>
      <c r="S1341" s="7" t="s">
        <v>18</v>
      </c>
      <c r="T1341" s="6"/>
      <c r="U1341" s="8"/>
    </row>
    <row r="1342" spans="1:24" ht="13.5" customHeight="1">
      <c r="A1342" s="8" t="s">
        <v>6362</v>
      </c>
      <c r="B1342" s="16">
        <v>28</v>
      </c>
      <c r="C1342" s="8" t="s">
        <v>20</v>
      </c>
      <c r="D1342" s="8" t="s">
        <v>37</v>
      </c>
      <c r="E1342" s="8" t="s">
        <v>6363</v>
      </c>
      <c r="F1342" s="17">
        <v>41946</v>
      </c>
      <c r="G1342" s="8" t="s">
        <v>6364</v>
      </c>
      <c r="H1342" s="8" t="s">
        <v>6365</v>
      </c>
      <c r="I1342" s="8" t="s">
        <v>94</v>
      </c>
      <c r="J1342" s="16" t="s">
        <v>6366</v>
      </c>
      <c r="K1342" s="2" t="s">
        <v>6367</v>
      </c>
      <c r="L1342" s="8" t="s">
        <v>6368</v>
      </c>
      <c r="M1342" s="8" t="s">
        <v>27</v>
      </c>
      <c r="N1342" s="8" t="s">
        <v>6369</v>
      </c>
      <c r="O1342" s="8" t="s">
        <v>554</v>
      </c>
      <c r="P1342" s="8" t="s">
        <v>405</v>
      </c>
      <c r="Q1342" s="12" t="s">
        <v>6370</v>
      </c>
      <c r="R1342" s="8" t="s">
        <v>972</v>
      </c>
      <c r="S1342" s="7" t="s">
        <v>28</v>
      </c>
      <c r="T1342" s="6"/>
      <c r="U1342" s="8"/>
    </row>
    <row r="1343" spans="1:24" ht="13.5" customHeight="1">
      <c r="A1343" s="8" t="s">
        <v>773</v>
      </c>
      <c r="B1343" s="16">
        <v>27</v>
      </c>
      <c r="C1343" s="8" t="s">
        <v>20</v>
      </c>
      <c r="D1343" s="8" t="s">
        <v>85</v>
      </c>
      <c r="E1343" s="8" t="s">
        <v>6340</v>
      </c>
      <c r="F1343" s="17">
        <v>41946</v>
      </c>
      <c r="G1343" s="8" t="s">
        <v>6341</v>
      </c>
      <c r="H1343" s="8" t="s">
        <v>6342</v>
      </c>
      <c r="I1343" s="8" t="s">
        <v>44</v>
      </c>
      <c r="J1343" s="16" t="s">
        <v>6343</v>
      </c>
      <c r="K1343" s="2" t="s">
        <v>1269</v>
      </c>
      <c r="L1343" s="8" t="s">
        <v>6344</v>
      </c>
      <c r="M1343" s="8" t="s">
        <v>27</v>
      </c>
      <c r="N1343" s="8" t="s">
        <v>6345</v>
      </c>
      <c r="O1343" s="8" t="s">
        <v>554</v>
      </c>
      <c r="P1343" s="8" t="s">
        <v>405</v>
      </c>
      <c r="Q1343" s="12" t="s">
        <v>6346</v>
      </c>
      <c r="R1343" s="8" t="s">
        <v>100</v>
      </c>
      <c r="S1343" s="7" t="s">
        <v>28</v>
      </c>
      <c r="T1343" s="6"/>
      <c r="U1343" s="8"/>
    </row>
    <row r="1344" spans="1:24" ht="13.5" customHeight="1">
      <c r="A1344" s="8" t="s">
        <v>3288</v>
      </c>
      <c r="B1344" s="16" t="s">
        <v>29</v>
      </c>
      <c r="D1344" s="8" t="s">
        <v>30</v>
      </c>
      <c r="F1344" s="17">
        <v>41946</v>
      </c>
      <c r="G1344" s="8" t="s">
        <v>6347</v>
      </c>
      <c r="H1344" s="8" t="s">
        <v>6348</v>
      </c>
      <c r="I1344" s="8" t="s">
        <v>62</v>
      </c>
      <c r="J1344" s="16">
        <v>33169</v>
      </c>
      <c r="K1344" s="2" t="s">
        <v>163</v>
      </c>
      <c r="L1344" s="8" t="s">
        <v>164</v>
      </c>
      <c r="M1344" s="8" t="s">
        <v>27</v>
      </c>
      <c r="N1344" s="8" t="s">
        <v>6349</v>
      </c>
      <c r="P1344" s="8" t="s">
        <v>405</v>
      </c>
      <c r="Q1344" s="12" t="s">
        <v>6350</v>
      </c>
      <c r="S1344" s="7" t="s">
        <v>28</v>
      </c>
      <c r="T1344" s="6"/>
      <c r="U1344" s="8"/>
    </row>
    <row r="1345" spans="1:34" ht="13.5" customHeight="1">
      <c r="A1345" s="8" t="s">
        <v>6355</v>
      </c>
      <c r="B1345" s="16">
        <v>17</v>
      </c>
      <c r="C1345" s="8" t="s">
        <v>20</v>
      </c>
      <c r="D1345" s="8" t="s">
        <v>30</v>
      </c>
      <c r="F1345" s="17">
        <v>41946</v>
      </c>
      <c r="G1345" s="8" t="s">
        <v>6356</v>
      </c>
      <c r="H1345" s="8" t="s">
        <v>6357</v>
      </c>
      <c r="I1345" s="8" t="s">
        <v>367</v>
      </c>
      <c r="J1345" s="16" t="s">
        <v>6358</v>
      </c>
      <c r="K1345" s="2" t="s">
        <v>1591</v>
      </c>
      <c r="L1345" s="8" t="s">
        <v>6359</v>
      </c>
      <c r="M1345" s="8" t="s">
        <v>383</v>
      </c>
      <c r="N1345" s="8" t="s">
        <v>6360</v>
      </c>
      <c r="O1345" s="8" t="s">
        <v>1018</v>
      </c>
      <c r="P1345" s="8" t="s">
        <v>405</v>
      </c>
      <c r="Q1345" s="12" t="s">
        <v>6361</v>
      </c>
      <c r="R1345" s="8" t="s">
        <v>100</v>
      </c>
      <c r="S1345" s="7" t="s">
        <v>383</v>
      </c>
      <c r="T1345" s="6"/>
      <c r="U1345" s="8"/>
    </row>
    <row r="1346" spans="1:34" ht="13.5" customHeight="1">
      <c r="A1346" s="8" t="s">
        <v>6333</v>
      </c>
      <c r="B1346" s="16">
        <v>29</v>
      </c>
      <c r="C1346" s="8" t="s">
        <v>20</v>
      </c>
      <c r="D1346" s="8" t="s">
        <v>85</v>
      </c>
      <c r="E1346" s="8" t="s">
        <v>6334</v>
      </c>
      <c r="F1346" s="17">
        <v>41946</v>
      </c>
      <c r="G1346" s="8" t="s">
        <v>6335</v>
      </c>
      <c r="H1346" s="8" t="s">
        <v>207</v>
      </c>
      <c r="I1346" s="8" t="s">
        <v>69</v>
      </c>
      <c r="J1346" s="16" t="s">
        <v>6336</v>
      </c>
      <c r="K1346" s="2" t="s">
        <v>3506</v>
      </c>
      <c r="L1346" s="8" t="s">
        <v>6337</v>
      </c>
      <c r="M1346" s="8" t="s">
        <v>27</v>
      </c>
      <c r="N1346" s="8" t="s">
        <v>6338</v>
      </c>
      <c r="O1346" s="8" t="s">
        <v>404</v>
      </c>
      <c r="P1346" s="8" t="s">
        <v>405</v>
      </c>
      <c r="Q1346" s="12" t="s">
        <v>6339</v>
      </c>
      <c r="R1346" s="8" t="s">
        <v>100</v>
      </c>
      <c r="S1346" s="7" t="s">
        <v>28</v>
      </c>
      <c r="T1346" s="6"/>
      <c r="U1346" s="8"/>
      <c r="Y1346" s="8"/>
      <c r="Z1346" s="8"/>
      <c r="AA1346" s="8"/>
      <c r="AB1346" s="8"/>
      <c r="AC1346" s="8"/>
      <c r="AD1346" s="8"/>
      <c r="AE1346" s="8"/>
      <c r="AF1346" s="8"/>
      <c r="AG1346" s="8"/>
      <c r="AH1346" s="8"/>
    </row>
    <row r="1347" spans="1:34" ht="13.5" customHeight="1">
      <c r="A1347" s="8" t="s">
        <v>6371</v>
      </c>
      <c r="B1347" s="16">
        <v>68</v>
      </c>
      <c r="C1347" s="8" t="s">
        <v>20</v>
      </c>
      <c r="D1347" s="8" t="s">
        <v>85</v>
      </c>
      <c r="E1347" s="8" t="s">
        <v>6372</v>
      </c>
      <c r="F1347" s="17">
        <v>41945</v>
      </c>
      <c r="G1347" s="8" t="s">
        <v>6373</v>
      </c>
      <c r="H1347" s="8" t="s">
        <v>6374</v>
      </c>
      <c r="I1347" s="8" t="s">
        <v>135</v>
      </c>
      <c r="J1347" s="16" t="s">
        <v>6375</v>
      </c>
      <c r="K1347" s="2" t="s">
        <v>3639</v>
      </c>
      <c r="L1347" s="8" t="s">
        <v>6376</v>
      </c>
      <c r="M1347" s="8" t="s">
        <v>395</v>
      </c>
      <c r="N1347" s="8" t="s">
        <v>6377</v>
      </c>
      <c r="O1347" s="8" t="s">
        <v>404</v>
      </c>
      <c r="P1347" s="8" t="s">
        <v>405</v>
      </c>
      <c r="Q1347" s="12" t="s">
        <v>6378</v>
      </c>
      <c r="R1347" s="8" t="s">
        <v>559</v>
      </c>
      <c r="S1347" s="7" t="s">
        <v>28</v>
      </c>
      <c r="T1347" s="6"/>
      <c r="U1347" s="8"/>
    </row>
    <row r="1348" spans="1:34" ht="13.5" customHeight="1">
      <c r="A1348" s="8" t="s">
        <v>6379</v>
      </c>
      <c r="B1348" s="16">
        <v>20</v>
      </c>
      <c r="C1348" s="8" t="s">
        <v>20</v>
      </c>
      <c r="D1348" s="8" t="s">
        <v>48</v>
      </c>
      <c r="F1348" s="17">
        <v>41945</v>
      </c>
      <c r="G1348" s="8" t="s">
        <v>6380</v>
      </c>
      <c r="H1348" s="8" t="s">
        <v>6381</v>
      </c>
      <c r="I1348" s="8" t="s">
        <v>45</v>
      </c>
      <c r="J1348" s="16" t="s">
        <v>6382</v>
      </c>
      <c r="K1348" s="2" t="s">
        <v>791</v>
      </c>
      <c r="L1348" s="8" t="s">
        <v>6383</v>
      </c>
      <c r="M1348" s="8" t="s">
        <v>27</v>
      </c>
      <c r="N1348" s="8" t="s">
        <v>6384</v>
      </c>
      <c r="O1348" s="8" t="s">
        <v>404</v>
      </c>
      <c r="P1348" s="8" t="s">
        <v>405</v>
      </c>
      <c r="Q1348" s="12" t="s">
        <v>6385</v>
      </c>
      <c r="R1348" s="8" t="s">
        <v>29</v>
      </c>
      <c r="S1348" s="7" t="s">
        <v>28</v>
      </c>
      <c r="T1348" s="6"/>
      <c r="U1348" s="8"/>
    </row>
    <row r="1349" spans="1:34" ht="13.5" customHeight="1">
      <c r="A1349" s="8" t="s">
        <v>6386</v>
      </c>
      <c r="B1349" s="16">
        <v>28</v>
      </c>
      <c r="C1349" s="8" t="s">
        <v>20</v>
      </c>
      <c r="D1349" s="8" t="s">
        <v>37</v>
      </c>
      <c r="F1349" s="17">
        <v>41945</v>
      </c>
      <c r="G1349" s="8" t="s">
        <v>6387</v>
      </c>
      <c r="H1349" s="8" t="s">
        <v>6388</v>
      </c>
      <c r="I1349" s="8" t="s">
        <v>435</v>
      </c>
      <c r="J1349" s="16">
        <v>64744</v>
      </c>
      <c r="K1349" s="2" t="s">
        <v>6389</v>
      </c>
      <c r="L1349" s="8" t="s">
        <v>6390</v>
      </c>
      <c r="M1349" s="8" t="s">
        <v>27</v>
      </c>
      <c r="N1349" s="8" t="s">
        <v>6391</v>
      </c>
      <c r="P1349" s="8" t="s">
        <v>405</v>
      </c>
      <c r="Q1349" s="12" t="str">
        <f>HYPERLINK("http://www.kshb.com/news/crime/deputy-fatally-shot-in-cedar-county","http://www.kshb.com/news/crime/deputy-fatally-shot-in-cedar-county")</f>
        <v>http://www.kshb.com/news/crime/deputy-fatally-shot-in-cedar-county</v>
      </c>
      <c r="S1349" s="7" t="s">
        <v>28</v>
      </c>
      <c r="T1349" s="6"/>
      <c r="U1349" s="8"/>
    </row>
    <row r="1350" spans="1:34" ht="13.5" customHeight="1">
      <c r="A1350" s="8" t="s">
        <v>6398</v>
      </c>
      <c r="B1350" s="16">
        <v>49</v>
      </c>
      <c r="C1350" s="8" t="s">
        <v>20</v>
      </c>
      <c r="D1350" s="8" t="s">
        <v>48</v>
      </c>
      <c r="E1350" s="8" t="s">
        <v>6399</v>
      </c>
      <c r="F1350" s="17">
        <v>41944</v>
      </c>
      <c r="G1350" s="8" t="s">
        <v>6400</v>
      </c>
      <c r="H1350" s="8" t="s">
        <v>565</v>
      </c>
      <c r="I1350" s="8" t="s">
        <v>124</v>
      </c>
      <c r="J1350" s="16" t="s">
        <v>6401</v>
      </c>
      <c r="K1350" s="2" t="s">
        <v>566</v>
      </c>
      <c r="L1350" s="8" t="s">
        <v>567</v>
      </c>
      <c r="M1350" s="8" t="s">
        <v>27</v>
      </c>
      <c r="N1350" s="8" t="s">
        <v>6402</v>
      </c>
      <c r="O1350" s="8" t="s">
        <v>404</v>
      </c>
      <c r="P1350" s="8" t="s">
        <v>405</v>
      </c>
      <c r="Q1350" s="12"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1350" s="8" t="s">
        <v>100</v>
      </c>
      <c r="S1350" s="7" t="s">
        <v>28</v>
      </c>
      <c r="T1350" s="6"/>
      <c r="U1350" s="8"/>
    </row>
    <row r="1351" spans="1:34" ht="13.5" customHeight="1">
      <c r="A1351" s="8" t="s">
        <v>6407</v>
      </c>
      <c r="B1351" s="16">
        <v>43</v>
      </c>
      <c r="C1351" s="8" t="s">
        <v>20</v>
      </c>
      <c r="D1351" s="8" t="s">
        <v>37</v>
      </c>
      <c r="E1351" s="8" t="s">
        <v>6408</v>
      </c>
      <c r="F1351" s="17">
        <v>41944</v>
      </c>
      <c r="G1351" s="8" t="s">
        <v>6409</v>
      </c>
      <c r="H1351" s="8" t="s">
        <v>2625</v>
      </c>
      <c r="I1351" s="8" t="s">
        <v>45</v>
      </c>
      <c r="J1351" s="16" t="s">
        <v>6410</v>
      </c>
      <c r="K1351" s="2" t="s">
        <v>1070</v>
      </c>
      <c r="L1351" s="8" t="s">
        <v>6411</v>
      </c>
      <c r="M1351" s="8" t="s">
        <v>27</v>
      </c>
      <c r="N1351" s="8" t="s">
        <v>6412</v>
      </c>
      <c r="O1351" s="8" t="s">
        <v>404</v>
      </c>
      <c r="P1351" s="8" t="s">
        <v>405</v>
      </c>
      <c r="Q1351" s="12" t="s">
        <v>6413</v>
      </c>
      <c r="R1351" s="8" t="s">
        <v>100</v>
      </c>
      <c r="S1351" s="7" t="s">
        <v>28</v>
      </c>
      <c r="T1351" s="6"/>
      <c r="U1351" s="8"/>
    </row>
    <row r="1352" spans="1:34" ht="13.5" customHeight="1">
      <c r="A1352" s="8" t="s">
        <v>6392</v>
      </c>
      <c r="B1352" s="16">
        <v>22</v>
      </c>
      <c r="C1352" s="8" t="s">
        <v>20</v>
      </c>
      <c r="D1352" s="8" t="s">
        <v>85</v>
      </c>
      <c r="F1352" s="17">
        <v>41944</v>
      </c>
      <c r="G1352" s="8" t="s">
        <v>6393</v>
      </c>
      <c r="H1352" s="8" t="s">
        <v>661</v>
      </c>
      <c r="I1352" s="8" t="s">
        <v>272</v>
      </c>
      <c r="J1352" s="16" t="s">
        <v>6394</v>
      </c>
      <c r="K1352" s="2" t="s">
        <v>574</v>
      </c>
      <c r="L1352" s="8" t="s">
        <v>6395</v>
      </c>
      <c r="M1352" s="8" t="s">
        <v>27</v>
      </c>
      <c r="N1352" s="8" t="s">
        <v>6396</v>
      </c>
      <c r="O1352" s="8" t="s">
        <v>404</v>
      </c>
      <c r="P1352" s="8" t="s">
        <v>405</v>
      </c>
      <c r="Q1352" s="12" t="s">
        <v>6397</v>
      </c>
      <c r="R1352" s="8" t="s">
        <v>29</v>
      </c>
      <c r="S1352" s="7" t="s">
        <v>18</v>
      </c>
      <c r="T1352" s="6"/>
      <c r="U1352" s="8"/>
    </row>
    <row r="1353" spans="1:34" ht="13.5" customHeight="1">
      <c r="A1353" s="8" t="s">
        <v>6414</v>
      </c>
      <c r="B1353" s="16">
        <v>62</v>
      </c>
      <c r="C1353" s="8" t="s">
        <v>20</v>
      </c>
      <c r="D1353" s="8" t="s">
        <v>37</v>
      </c>
      <c r="F1353" s="17">
        <v>41944</v>
      </c>
      <c r="G1353" s="8" t="s">
        <v>6415</v>
      </c>
      <c r="H1353" s="8" t="s">
        <v>493</v>
      </c>
      <c r="I1353" s="8" t="s">
        <v>45</v>
      </c>
      <c r="J1353" s="16" t="s">
        <v>6416</v>
      </c>
      <c r="K1353" s="2" t="s">
        <v>98</v>
      </c>
      <c r="L1353" s="8" t="s">
        <v>494</v>
      </c>
      <c r="M1353" s="8" t="s">
        <v>27</v>
      </c>
      <c r="N1353" s="8" t="s">
        <v>6417</v>
      </c>
      <c r="O1353" s="8" t="s">
        <v>404</v>
      </c>
      <c r="P1353" s="8" t="s">
        <v>405</v>
      </c>
      <c r="Q1353" s="12" t="s">
        <v>6418</v>
      </c>
      <c r="R1353" s="8" t="s">
        <v>559</v>
      </c>
      <c r="S1353" s="7" t="s">
        <v>28</v>
      </c>
      <c r="T1353" s="6"/>
      <c r="U1353" s="8"/>
    </row>
    <row r="1354" spans="1:34" ht="13.5" customHeight="1">
      <c r="A1354" s="8" t="s">
        <v>6403</v>
      </c>
      <c r="B1354" s="16">
        <v>27</v>
      </c>
      <c r="C1354" s="8" t="s">
        <v>20</v>
      </c>
      <c r="D1354" s="8" t="s">
        <v>48</v>
      </c>
      <c r="F1354" s="17">
        <v>41944</v>
      </c>
      <c r="G1354" s="8" t="s">
        <v>6404</v>
      </c>
      <c r="H1354" s="8" t="s">
        <v>1764</v>
      </c>
      <c r="I1354" s="8" t="s">
        <v>45</v>
      </c>
      <c r="J1354" s="16">
        <v>93291</v>
      </c>
      <c r="K1354" s="2" t="s">
        <v>1175</v>
      </c>
      <c r="L1354" s="8" t="s">
        <v>1766</v>
      </c>
      <c r="M1354" s="8" t="s">
        <v>383</v>
      </c>
      <c r="N1354" s="8" t="s">
        <v>6405</v>
      </c>
      <c r="O1354" s="8" t="s">
        <v>554</v>
      </c>
      <c r="P1354" s="8" t="s">
        <v>405</v>
      </c>
      <c r="Q1354" s="12" t="s">
        <v>6406</v>
      </c>
      <c r="S1354" s="7" t="s">
        <v>18</v>
      </c>
      <c r="T1354" s="6"/>
      <c r="U1354" s="8"/>
    </row>
    <row r="1355" spans="1:34" ht="13.5" customHeight="1">
      <c r="A1355" s="8" t="s">
        <v>6419</v>
      </c>
      <c r="B1355" s="16">
        <v>35</v>
      </c>
      <c r="C1355" s="8" t="s">
        <v>20</v>
      </c>
      <c r="D1355" s="8" t="s">
        <v>48</v>
      </c>
      <c r="F1355" s="17">
        <v>41943</v>
      </c>
      <c r="G1355" s="8" t="s">
        <v>6420</v>
      </c>
      <c r="H1355" s="8" t="s">
        <v>6421</v>
      </c>
      <c r="I1355" s="8" t="s">
        <v>45</v>
      </c>
      <c r="J1355" s="16" t="s">
        <v>6422</v>
      </c>
      <c r="K1355" s="2" t="s">
        <v>65</v>
      </c>
      <c r="L1355" s="8" t="s">
        <v>6423</v>
      </c>
      <c r="M1355" s="8" t="s">
        <v>6424</v>
      </c>
      <c r="N1355" s="8" t="s">
        <v>6425</v>
      </c>
      <c r="O1355" s="8" t="s">
        <v>404</v>
      </c>
      <c r="P1355" s="8" t="s">
        <v>405</v>
      </c>
      <c r="Q1355" s="12" t="s">
        <v>6426</v>
      </c>
      <c r="R1355" s="8" t="s">
        <v>100</v>
      </c>
      <c r="S1355" s="7" t="s">
        <v>28</v>
      </c>
      <c r="T1355" s="6"/>
      <c r="U1355" s="8"/>
    </row>
    <row r="1356" spans="1:34" ht="13.5" customHeight="1">
      <c r="A1356" s="8" t="s">
        <v>6427</v>
      </c>
      <c r="B1356" s="16">
        <v>54</v>
      </c>
      <c r="C1356" s="8" t="s">
        <v>20</v>
      </c>
      <c r="D1356" s="8" t="s">
        <v>37</v>
      </c>
      <c r="E1356" s="8" t="s">
        <v>6428</v>
      </c>
      <c r="F1356" s="17">
        <v>41942</v>
      </c>
      <c r="G1356" s="8" t="s">
        <v>6429</v>
      </c>
      <c r="H1356" s="8" t="s">
        <v>1104</v>
      </c>
      <c r="I1356" s="8" t="s">
        <v>399</v>
      </c>
      <c r="J1356" s="16" t="s">
        <v>3977</v>
      </c>
      <c r="K1356" s="2" t="s">
        <v>1105</v>
      </c>
      <c r="L1356" s="8" t="s">
        <v>1106</v>
      </c>
      <c r="M1356" s="8" t="s">
        <v>27</v>
      </c>
      <c r="N1356" s="8" t="s">
        <v>6430</v>
      </c>
      <c r="O1356" s="8" t="s">
        <v>404</v>
      </c>
      <c r="P1356" s="8" t="s">
        <v>405</v>
      </c>
      <c r="Q1356" s="12" t="s">
        <v>6431</v>
      </c>
      <c r="R1356" s="8" t="s">
        <v>100</v>
      </c>
      <c r="S1356" s="7" t="s">
        <v>28</v>
      </c>
      <c r="T1356" s="6"/>
      <c r="U1356" s="8"/>
    </row>
    <row r="1357" spans="1:34" ht="13.5" customHeight="1">
      <c r="A1357" s="8" t="s">
        <v>6440</v>
      </c>
      <c r="B1357" s="16">
        <v>33</v>
      </c>
      <c r="C1357" s="8" t="s">
        <v>115</v>
      </c>
      <c r="D1357" s="8" t="s">
        <v>37</v>
      </c>
      <c r="E1357" s="8" t="s">
        <v>6441</v>
      </c>
      <c r="F1357" s="17">
        <v>41941</v>
      </c>
      <c r="G1357" s="8" t="s">
        <v>6442</v>
      </c>
      <c r="H1357" s="8" t="s">
        <v>6443</v>
      </c>
      <c r="I1357" s="8" t="s">
        <v>427</v>
      </c>
      <c r="J1357" s="16" t="s">
        <v>6444</v>
      </c>
      <c r="K1357" s="2" t="s">
        <v>6445</v>
      </c>
      <c r="L1357" s="8" t="s">
        <v>6446</v>
      </c>
      <c r="M1357" s="8" t="s">
        <v>383</v>
      </c>
      <c r="N1357" s="8" t="s">
        <v>6447</v>
      </c>
      <c r="O1357" s="8" t="s">
        <v>404</v>
      </c>
      <c r="P1357" s="8" t="s">
        <v>405</v>
      </c>
      <c r="Q1357" s="12" t="s">
        <v>6448</v>
      </c>
      <c r="R1357" s="8" t="s">
        <v>100</v>
      </c>
      <c r="S1357" s="7" t="s">
        <v>18</v>
      </c>
      <c r="T1357" s="6"/>
      <c r="U1357" s="8"/>
    </row>
    <row r="1358" spans="1:34" ht="13.5" customHeight="1">
      <c r="A1358" s="8" t="s">
        <v>6432</v>
      </c>
      <c r="B1358" s="16">
        <v>26</v>
      </c>
      <c r="C1358" s="8" t="s">
        <v>20</v>
      </c>
      <c r="D1358" s="8" t="s">
        <v>37</v>
      </c>
      <c r="E1358" s="8" t="s">
        <v>6433</v>
      </c>
      <c r="F1358" s="17">
        <v>41941</v>
      </c>
      <c r="G1358" s="8" t="s">
        <v>6434</v>
      </c>
      <c r="H1358" s="8" t="s">
        <v>6435</v>
      </c>
      <c r="I1358" s="8" t="s">
        <v>25</v>
      </c>
      <c r="J1358" s="16" t="s">
        <v>6436</v>
      </c>
      <c r="K1358" s="2" t="s">
        <v>6435</v>
      </c>
      <c r="L1358" s="8" t="s">
        <v>6437</v>
      </c>
      <c r="M1358" s="8" t="s">
        <v>27</v>
      </c>
      <c r="N1358" s="8" t="s">
        <v>6438</v>
      </c>
      <c r="O1358" s="8" t="s">
        <v>1018</v>
      </c>
      <c r="P1358" s="8" t="s">
        <v>405</v>
      </c>
      <c r="Q1358" s="12" t="s">
        <v>6439</v>
      </c>
      <c r="R1358" s="8" t="s">
        <v>559</v>
      </c>
      <c r="S1358" s="7" t="s">
        <v>28</v>
      </c>
      <c r="T1358" s="6"/>
      <c r="U1358" s="8"/>
    </row>
    <row r="1359" spans="1:34" ht="13.5" customHeight="1">
      <c r="A1359" s="8" t="s">
        <v>6484</v>
      </c>
      <c r="B1359" s="16">
        <v>29</v>
      </c>
      <c r="C1359" s="8" t="s">
        <v>20</v>
      </c>
      <c r="D1359" s="8" t="s">
        <v>37</v>
      </c>
      <c r="E1359" s="8" t="s">
        <v>6485</v>
      </c>
      <c r="F1359" s="17">
        <v>41940</v>
      </c>
      <c r="G1359" s="8" t="s">
        <v>6486</v>
      </c>
      <c r="H1359" s="8" t="s">
        <v>979</v>
      </c>
      <c r="I1359" s="8" t="s">
        <v>198</v>
      </c>
      <c r="J1359" s="16" t="s">
        <v>6487</v>
      </c>
      <c r="K1359" s="2" t="s">
        <v>6488</v>
      </c>
      <c r="L1359" s="8" t="s">
        <v>6489</v>
      </c>
      <c r="M1359" s="8" t="s">
        <v>27</v>
      </c>
      <c r="N1359" s="8" t="s">
        <v>6490</v>
      </c>
      <c r="O1359" s="8" t="s">
        <v>1804</v>
      </c>
      <c r="P1359" s="8" t="s">
        <v>1171</v>
      </c>
      <c r="Q1359" s="12" t="s">
        <v>6491</v>
      </c>
      <c r="R1359" s="8" t="s">
        <v>100</v>
      </c>
      <c r="S1359" s="7" t="s">
        <v>28</v>
      </c>
      <c r="T1359" s="6"/>
      <c r="U1359" s="8"/>
    </row>
    <row r="1360" spans="1:34" ht="13.5" customHeight="1">
      <c r="A1360" s="8" t="s">
        <v>6458</v>
      </c>
      <c r="B1360" s="16">
        <v>22</v>
      </c>
      <c r="C1360" s="8" t="s">
        <v>20</v>
      </c>
      <c r="D1360" s="8" t="s">
        <v>48</v>
      </c>
      <c r="E1360" s="8" t="s">
        <v>6459</v>
      </c>
      <c r="F1360" s="17">
        <v>41940</v>
      </c>
      <c r="G1360" s="8" t="s">
        <v>6460</v>
      </c>
      <c r="H1360" s="8" t="s">
        <v>638</v>
      </c>
      <c r="I1360" s="8" t="s">
        <v>124</v>
      </c>
      <c r="J1360" s="16" t="s">
        <v>6461</v>
      </c>
      <c r="K1360" s="2" t="s">
        <v>639</v>
      </c>
      <c r="L1360" s="8" t="s">
        <v>15414</v>
      </c>
      <c r="M1360" s="8" t="s">
        <v>27</v>
      </c>
      <c r="N1360" s="8" t="s">
        <v>6462</v>
      </c>
      <c r="O1360" s="8" t="s">
        <v>404</v>
      </c>
      <c r="P1360" s="8" t="s">
        <v>405</v>
      </c>
      <c r="Q1360" s="12" t="s">
        <v>6463</v>
      </c>
      <c r="R1360" s="8" t="s">
        <v>100</v>
      </c>
      <c r="S1360" s="7" t="s">
        <v>18</v>
      </c>
      <c r="T1360" s="6"/>
      <c r="U1360" s="8"/>
      <c r="V1360" s="8"/>
      <c r="W1360" s="8"/>
      <c r="X1360" s="8"/>
    </row>
    <row r="1361" spans="1:34" ht="13.5" customHeight="1">
      <c r="A1361" s="8" t="s">
        <v>6449</v>
      </c>
      <c r="B1361" s="16">
        <v>24</v>
      </c>
      <c r="C1361" s="8" t="s">
        <v>20</v>
      </c>
      <c r="D1361" s="8" t="s">
        <v>85</v>
      </c>
      <c r="E1361" s="8" t="s">
        <v>6450</v>
      </c>
      <c r="F1361" s="17">
        <v>41940</v>
      </c>
      <c r="G1361" s="8" t="s">
        <v>6451</v>
      </c>
      <c r="H1361" s="8" t="s">
        <v>6452</v>
      </c>
      <c r="I1361" s="8" t="s">
        <v>62</v>
      </c>
      <c r="J1361" s="16" t="s">
        <v>6453</v>
      </c>
      <c r="K1361" s="2" t="s">
        <v>6454</v>
      </c>
      <c r="L1361" s="8" t="s">
        <v>6455</v>
      </c>
      <c r="M1361" s="8" t="s">
        <v>27</v>
      </c>
      <c r="N1361" s="8" t="s">
        <v>6456</v>
      </c>
      <c r="O1361" s="8" t="s">
        <v>554</v>
      </c>
      <c r="P1361" s="8" t="s">
        <v>405</v>
      </c>
      <c r="Q1361" s="12" t="s">
        <v>6457</v>
      </c>
      <c r="R1361" s="8" t="s">
        <v>559</v>
      </c>
      <c r="S1361" s="7" t="s">
        <v>18</v>
      </c>
      <c r="T1361" s="6"/>
      <c r="U1361" s="8"/>
    </row>
    <row r="1362" spans="1:34" ht="13.5" customHeight="1">
      <c r="A1362" s="8" t="s">
        <v>6471</v>
      </c>
      <c r="B1362" s="16">
        <v>37</v>
      </c>
      <c r="C1362" s="8" t="s">
        <v>20</v>
      </c>
      <c r="D1362" s="8" t="s">
        <v>37</v>
      </c>
      <c r="E1362" s="8" t="s">
        <v>6472</v>
      </c>
      <c r="F1362" s="17">
        <v>41940</v>
      </c>
      <c r="G1362" s="8" t="s">
        <v>6473</v>
      </c>
      <c r="H1362" s="8" t="s">
        <v>5357</v>
      </c>
      <c r="I1362" s="8" t="s">
        <v>247</v>
      </c>
      <c r="J1362" s="16" t="s">
        <v>6474</v>
      </c>
      <c r="K1362" s="2" t="s">
        <v>6475</v>
      </c>
      <c r="L1362" s="8" t="s">
        <v>6476</v>
      </c>
      <c r="M1362" s="8" t="s">
        <v>27</v>
      </c>
      <c r="N1362" s="8" t="s">
        <v>6477</v>
      </c>
      <c r="O1362" s="8" t="s">
        <v>554</v>
      </c>
      <c r="P1362" s="8" t="s">
        <v>405</v>
      </c>
      <c r="Q1362" s="12"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1362" s="8" t="s">
        <v>100</v>
      </c>
      <c r="S1362" s="7" t="s">
        <v>28</v>
      </c>
      <c r="T1362" s="6"/>
      <c r="U1362" s="8"/>
    </row>
    <row r="1363" spans="1:34" ht="13.5" customHeight="1">
      <c r="A1363" s="8" t="s">
        <v>6464</v>
      </c>
      <c r="B1363" s="16">
        <v>49</v>
      </c>
      <c r="C1363" s="8" t="s">
        <v>20</v>
      </c>
      <c r="D1363" s="8" t="s">
        <v>30</v>
      </c>
      <c r="F1363" s="17">
        <v>41940</v>
      </c>
      <c r="G1363" s="8" t="s">
        <v>6465</v>
      </c>
      <c r="H1363" s="8" t="s">
        <v>6466</v>
      </c>
      <c r="I1363" s="8" t="s">
        <v>45</v>
      </c>
      <c r="J1363" s="16" t="s">
        <v>6467</v>
      </c>
      <c r="K1363" s="2" t="s">
        <v>3463</v>
      </c>
      <c r="L1363" s="8" t="s">
        <v>6468</v>
      </c>
      <c r="M1363" s="8" t="s">
        <v>27</v>
      </c>
      <c r="N1363" s="8" t="s">
        <v>6469</v>
      </c>
      <c r="O1363" s="8" t="s">
        <v>404</v>
      </c>
      <c r="P1363" s="8" t="s">
        <v>405</v>
      </c>
      <c r="Q1363" s="12" t="s">
        <v>6470</v>
      </c>
      <c r="R1363" s="8" t="s">
        <v>972</v>
      </c>
      <c r="S1363" s="7" t="s">
        <v>28</v>
      </c>
      <c r="T1363" s="6"/>
      <c r="U1363" s="8"/>
    </row>
    <row r="1364" spans="1:34" ht="13.5" customHeight="1">
      <c r="A1364" s="8" t="s">
        <v>6478</v>
      </c>
      <c r="B1364" s="16">
        <v>38</v>
      </c>
      <c r="C1364" s="8" t="s">
        <v>20</v>
      </c>
      <c r="D1364" s="8" t="s">
        <v>37</v>
      </c>
      <c r="E1364" s="8" t="s">
        <v>6479</v>
      </c>
      <c r="F1364" s="17">
        <v>41940</v>
      </c>
      <c r="G1364" s="8" t="s">
        <v>6480</v>
      </c>
      <c r="H1364" s="8" t="s">
        <v>898</v>
      </c>
      <c r="I1364" s="8" t="s">
        <v>319</v>
      </c>
      <c r="J1364" s="16" t="s">
        <v>6481</v>
      </c>
      <c r="K1364" s="2" t="s">
        <v>1795</v>
      </c>
      <c r="L1364" s="8" t="s">
        <v>899</v>
      </c>
      <c r="M1364" s="8" t="s">
        <v>27</v>
      </c>
      <c r="N1364" s="8" t="s">
        <v>6482</v>
      </c>
      <c r="O1364" s="8" t="s">
        <v>1018</v>
      </c>
      <c r="P1364" s="8" t="s">
        <v>405</v>
      </c>
      <c r="Q1364" s="12" t="s">
        <v>6483</v>
      </c>
      <c r="R1364" s="8" t="s">
        <v>100</v>
      </c>
      <c r="S1364" s="7" t="s">
        <v>28</v>
      </c>
      <c r="T1364" s="6"/>
      <c r="U1364" s="8"/>
    </row>
    <row r="1365" spans="1:34" ht="13.5" customHeight="1">
      <c r="A1365" s="8" t="s">
        <v>6511</v>
      </c>
      <c r="B1365" s="16">
        <v>41</v>
      </c>
      <c r="C1365" s="8" t="s">
        <v>20</v>
      </c>
      <c r="D1365" s="8" t="s">
        <v>37</v>
      </c>
      <c r="F1365" s="17">
        <v>41939</v>
      </c>
      <c r="G1365" s="8" t="s">
        <v>6512</v>
      </c>
      <c r="H1365" s="8" t="s">
        <v>6513</v>
      </c>
      <c r="I1365" s="8" t="s">
        <v>370</v>
      </c>
      <c r="J1365" s="16" t="s">
        <v>6514</v>
      </c>
      <c r="K1365" s="2" t="s">
        <v>6515</v>
      </c>
      <c r="L1365" s="8" t="s">
        <v>6516</v>
      </c>
      <c r="M1365" s="8" t="s">
        <v>27</v>
      </c>
      <c r="N1365" s="8" t="s">
        <v>6517</v>
      </c>
      <c r="O1365" s="8" t="s">
        <v>404</v>
      </c>
      <c r="P1365" s="8" t="s">
        <v>405</v>
      </c>
      <c r="Q1365" s="12" t="s">
        <v>6518</v>
      </c>
      <c r="R1365" s="8" t="s">
        <v>559</v>
      </c>
      <c r="S1365" s="7" t="s">
        <v>18</v>
      </c>
      <c r="T1365" s="6"/>
      <c r="U1365" s="8"/>
    </row>
    <row r="1366" spans="1:34" ht="13.5" customHeight="1">
      <c r="A1366" s="8" t="s">
        <v>6492</v>
      </c>
      <c r="B1366" s="16">
        <v>17</v>
      </c>
      <c r="C1366" s="8" t="s">
        <v>20</v>
      </c>
      <c r="D1366" s="8" t="s">
        <v>85</v>
      </c>
      <c r="E1366" s="8" t="s">
        <v>6493</v>
      </c>
      <c r="F1366" s="17">
        <v>41939</v>
      </c>
      <c r="G1366" s="8" t="s">
        <v>6494</v>
      </c>
      <c r="H1366" s="8" t="s">
        <v>6022</v>
      </c>
      <c r="I1366" s="8" t="s">
        <v>370</v>
      </c>
      <c r="J1366" s="16" t="s">
        <v>6495</v>
      </c>
      <c r="K1366" s="2" t="s">
        <v>3187</v>
      </c>
      <c r="L1366" s="8" t="s">
        <v>6496</v>
      </c>
      <c r="M1366" s="8" t="s">
        <v>383</v>
      </c>
      <c r="N1366" s="8" t="s">
        <v>6497</v>
      </c>
      <c r="O1366" s="8" t="s">
        <v>404</v>
      </c>
      <c r="P1366" s="8" t="s">
        <v>405</v>
      </c>
      <c r="Q1366" s="12" t="s">
        <v>6498</v>
      </c>
      <c r="R1366" s="8" t="s">
        <v>100</v>
      </c>
      <c r="S1366" s="7" t="s">
        <v>18</v>
      </c>
      <c r="T1366" s="6"/>
      <c r="U1366" s="8"/>
    </row>
    <row r="1367" spans="1:34" ht="13.5" customHeight="1">
      <c r="A1367" s="8" t="s">
        <v>6504</v>
      </c>
      <c r="B1367" s="16">
        <v>30</v>
      </c>
      <c r="C1367" s="8" t="s">
        <v>20</v>
      </c>
      <c r="D1367" s="8" t="s">
        <v>37</v>
      </c>
      <c r="F1367" s="17">
        <v>41939</v>
      </c>
      <c r="G1367" s="8" t="s">
        <v>6505</v>
      </c>
      <c r="H1367" s="8" t="s">
        <v>6506</v>
      </c>
      <c r="I1367" s="8" t="s">
        <v>62</v>
      </c>
      <c r="J1367" s="16" t="s">
        <v>6507</v>
      </c>
      <c r="K1367" s="2" t="s">
        <v>1134</v>
      </c>
      <c r="L1367" s="8" t="s">
        <v>6508</v>
      </c>
      <c r="M1367" s="8" t="s">
        <v>395</v>
      </c>
      <c r="N1367" s="8" t="s">
        <v>6509</v>
      </c>
      <c r="O1367" s="8" t="s">
        <v>404</v>
      </c>
      <c r="P1367" s="8" t="s">
        <v>405</v>
      </c>
      <c r="Q1367" s="12" t="s">
        <v>6510</v>
      </c>
      <c r="R1367" s="8" t="s">
        <v>559</v>
      </c>
      <c r="S1367" s="7" t="s">
        <v>18</v>
      </c>
      <c r="T1367" s="6"/>
      <c r="U1367" s="8"/>
    </row>
    <row r="1368" spans="1:34" ht="13.5" customHeight="1">
      <c r="A1368" s="8" t="s">
        <v>6519</v>
      </c>
      <c r="B1368" s="16">
        <v>44</v>
      </c>
      <c r="C1368" s="8" t="s">
        <v>20</v>
      </c>
      <c r="D1368" s="8" t="s">
        <v>37</v>
      </c>
      <c r="F1368" s="17">
        <v>41939</v>
      </c>
      <c r="G1368" s="8" t="s">
        <v>6520</v>
      </c>
      <c r="H1368" s="8" t="s">
        <v>6521</v>
      </c>
      <c r="I1368" s="8" t="s">
        <v>62</v>
      </c>
      <c r="J1368" s="16">
        <v>33012</v>
      </c>
      <c r="K1368" s="2" t="s">
        <v>163</v>
      </c>
      <c r="L1368" s="8" t="s">
        <v>6522</v>
      </c>
      <c r="M1368" s="8" t="s">
        <v>27</v>
      </c>
      <c r="N1368" s="8" t="s">
        <v>6523</v>
      </c>
      <c r="P1368" s="8" t="s">
        <v>405</v>
      </c>
      <c r="Q1368" s="12" t="str">
        <f>HYPERLINK("http://www.wsvn.com/story/27025232/1-dead-in-hialeah-police-involved-shooting","http://www.wsvn.com/story/27025232/1-dead-in-hialeah-police-involved-shooting")</f>
        <v>http://www.wsvn.com/story/27025232/1-dead-in-hialeah-police-involved-shooting</v>
      </c>
      <c r="S1368" s="7" t="s">
        <v>28</v>
      </c>
      <c r="T1368" s="6"/>
      <c r="U1368" s="8"/>
    </row>
    <row r="1369" spans="1:34" ht="13.5" customHeight="1">
      <c r="A1369" s="8" t="s">
        <v>6499</v>
      </c>
      <c r="B1369" s="16">
        <v>28</v>
      </c>
      <c r="C1369" s="8" t="s">
        <v>20</v>
      </c>
      <c r="D1369" s="8" t="s">
        <v>48</v>
      </c>
      <c r="F1369" s="17">
        <v>41939</v>
      </c>
      <c r="G1369" s="8" t="s">
        <v>6500</v>
      </c>
      <c r="H1369" s="8" t="s">
        <v>6501</v>
      </c>
      <c r="I1369" s="8" t="s">
        <v>45</v>
      </c>
      <c r="J1369" s="16">
        <v>90723</v>
      </c>
      <c r="K1369" s="2" t="s">
        <v>98</v>
      </c>
      <c r="L1369" s="8" t="s">
        <v>418</v>
      </c>
      <c r="M1369" s="8" t="s">
        <v>27</v>
      </c>
      <c r="N1369" s="8" t="s">
        <v>6502</v>
      </c>
      <c r="P1369" s="8" t="s">
        <v>405</v>
      </c>
      <c r="Q1369" s="12" t="s">
        <v>6503</v>
      </c>
      <c r="S1369" s="7" t="s">
        <v>18</v>
      </c>
      <c r="T1369" s="6"/>
      <c r="U1369" s="8"/>
    </row>
    <row r="1370" spans="1:34" ht="13.5" customHeight="1">
      <c r="A1370" s="8" t="s">
        <v>6529</v>
      </c>
      <c r="B1370" s="16">
        <v>18</v>
      </c>
      <c r="C1370" s="8" t="s">
        <v>20</v>
      </c>
      <c r="D1370" s="8" t="s">
        <v>37</v>
      </c>
      <c r="E1370" s="8" t="s">
        <v>6530</v>
      </c>
      <c r="F1370" s="17">
        <v>41938</v>
      </c>
      <c r="G1370" s="8" t="s">
        <v>6531</v>
      </c>
      <c r="H1370" s="8" t="s">
        <v>690</v>
      </c>
      <c r="I1370" s="8" t="s">
        <v>367</v>
      </c>
      <c r="J1370" s="16" t="s">
        <v>6532</v>
      </c>
      <c r="K1370" s="2" t="s">
        <v>691</v>
      </c>
      <c r="L1370" s="8" t="s">
        <v>692</v>
      </c>
      <c r="M1370" s="8" t="s">
        <v>27</v>
      </c>
      <c r="N1370" s="8" t="s">
        <v>6533</v>
      </c>
      <c r="O1370" s="8" t="s">
        <v>404</v>
      </c>
      <c r="P1370" s="8" t="s">
        <v>405</v>
      </c>
      <c r="Q1370" s="12" t="s">
        <v>6534</v>
      </c>
      <c r="R1370" s="8" t="s">
        <v>559</v>
      </c>
      <c r="S1370" s="7" t="s">
        <v>28</v>
      </c>
      <c r="T1370" s="6"/>
      <c r="U1370" s="8"/>
      <c r="V1370" s="8"/>
      <c r="W1370" s="8"/>
      <c r="X1370" s="8"/>
    </row>
    <row r="1371" spans="1:34" ht="13.5" customHeight="1">
      <c r="A1371" s="8" t="s">
        <v>6524</v>
      </c>
      <c r="B1371" s="16">
        <v>29</v>
      </c>
      <c r="C1371" s="8" t="s">
        <v>20</v>
      </c>
      <c r="D1371" s="8" t="s">
        <v>85</v>
      </c>
      <c r="F1371" s="17">
        <v>41938</v>
      </c>
      <c r="G1371" s="8" t="s">
        <v>6525</v>
      </c>
      <c r="H1371" s="8" t="s">
        <v>762</v>
      </c>
      <c r="I1371" s="8" t="s">
        <v>427</v>
      </c>
      <c r="J1371" s="16" t="s">
        <v>6526</v>
      </c>
      <c r="K1371" s="2" t="s">
        <v>762</v>
      </c>
      <c r="L1371" s="8" t="s">
        <v>586</v>
      </c>
      <c r="M1371" s="8" t="s">
        <v>27</v>
      </c>
      <c r="N1371" s="8" t="s">
        <v>6527</v>
      </c>
      <c r="O1371" s="8" t="s">
        <v>1018</v>
      </c>
      <c r="P1371" s="8" t="s">
        <v>405</v>
      </c>
      <c r="Q1371" s="12" t="s">
        <v>6528</v>
      </c>
      <c r="R1371" s="8" t="s">
        <v>29</v>
      </c>
      <c r="S1371" s="7" t="s">
        <v>28</v>
      </c>
      <c r="T1371" s="6"/>
      <c r="U1371" s="8"/>
    </row>
    <row r="1372" spans="1:34" ht="13.5" customHeight="1">
      <c r="A1372" s="8" t="s">
        <v>6555</v>
      </c>
      <c r="B1372" s="16">
        <v>27</v>
      </c>
      <c r="C1372" s="8" t="s">
        <v>20</v>
      </c>
      <c r="D1372" s="8" t="s">
        <v>37</v>
      </c>
      <c r="E1372" s="8" t="s">
        <v>6556</v>
      </c>
      <c r="F1372" s="17">
        <v>41937</v>
      </c>
      <c r="G1372" s="8" t="s">
        <v>6557</v>
      </c>
      <c r="H1372" s="8" t="s">
        <v>6558</v>
      </c>
      <c r="I1372" s="8" t="s">
        <v>986</v>
      </c>
      <c r="J1372" s="16" t="s">
        <v>6559</v>
      </c>
      <c r="K1372" s="2" t="s">
        <v>6560</v>
      </c>
      <c r="L1372" s="8" t="s">
        <v>6561</v>
      </c>
      <c r="M1372" s="8" t="s">
        <v>27</v>
      </c>
      <c r="N1372" s="8" t="s">
        <v>6562</v>
      </c>
      <c r="O1372" s="8" t="s">
        <v>404</v>
      </c>
      <c r="P1372" s="8" t="s">
        <v>405</v>
      </c>
      <c r="Q1372" s="12" t="s">
        <v>6563</v>
      </c>
      <c r="R1372" s="8" t="s">
        <v>100</v>
      </c>
      <c r="S1372" s="7" t="s">
        <v>28</v>
      </c>
      <c r="T1372" s="6"/>
      <c r="U1372" s="8"/>
      <c r="Y1372" s="8"/>
      <c r="Z1372" s="8"/>
      <c r="AA1372" s="8"/>
      <c r="AB1372" s="8"/>
      <c r="AC1372" s="8"/>
      <c r="AD1372" s="8"/>
      <c r="AE1372" s="8"/>
      <c r="AF1372" s="8"/>
      <c r="AG1372" s="8"/>
      <c r="AH1372" s="8"/>
    </row>
    <row r="1373" spans="1:34" ht="13.5" customHeight="1">
      <c r="A1373" s="8" t="s">
        <v>6535</v>
      </c>
      <c r="B1373" s="16">
        <v>29</v>
      </c>
      <c r="C1373" s="8" t="s">
        <v>20</v>
      </c>
      <c r="D1373" s="8" t="s">
        <v>85</v>
      </c>
      <c r="F1373" s="17">
        <v>41937</v>
      </c>
      <c r="G1373" s="8" t="s">
        <v>6536</v>
      </c>
      <c r="H1373" s="8" t="s">
        <v>6537</v>
      </c>
      <c r="I1373" s="8" t="s">
        <v>44</v>
      </c>
      <c r="J1373" s="16" t="s">
        <v>6538</v>
      </c>
      <c r="K1373" s="2" t="s">
        <v>88</v>
      </c>
      <c r="L1373" s="8" t="s">
        <v>6539</v>
      </c>
      <c r="M1373" s="8" t="s">
        <v>27</v>
      </c>
      <c r="N1373" s="8" t="s">
        <v>6540</v>
      </c>
      <c r="O1373" s="8" t="s">
        <v>554</v>
      </c>
      <c r="P1373" s="8" t="s">
        <v>405</v>
      </c>
      <c r="Q1373" s="12" t="s">
        <v>6541</v>
      </c>
      <c r="R1373" s="8" t="s">
        <v>100</v>
      </c>
      <c r="S1373" s="7" t="s">
        <v>28</v>
      </c>
      <c r="T1373" s="6"/>
      <c r="U1373" s="8"/>
    </row>
    <row r="1374" spans="1:34" ht="13.5" customHeight="1">
      <c r="A1374" s="8" t="s">
        <v>6564</v>
      </c>
      <c r="B1374" s="16">
        <v>27</v>
      </c>
      <c r="C1374" s="8" t="s">
        <v>20</v>
      </c>
      <c r="D1374" s="8" t="s">
        <v>37</v>
      </c>
      <c r="F1374" s="17">
        <v>41937</v>
      </c>
      <c r="G1374" s="8" t="s">
        <v>6565</v>
      </c>
      <c r="H1374" s="8" t="s">
        <v>6566</v>
      </c>
      <c r="I1374" s="8" t="s">
        <v>45</v>
      </c>
      <c r="J1374" s="16" t="s">
        <v>6567</v>
      </c>
      <c r="K1374" s="2" t="s">
        <v>1070</v>
      </c>
      <c r="L1374" s="8" t="s">
        <v>6568</v>
      </c>
      <c r="M1374" s="8" t="s">
        <v>27</v>
      </c>
      <c r="N1374" s="8" t="s">
        <v>6569</v>
      </c>
      <c r="O1374" s="8" t="s">
        <v>404</v>
      </c>
      <c r="P1374" s="8" t="s">
        <v>405</v>
      </c>
      <c r="Q1374" s="12" t="s">
        <v>6570</v>
      </c>
      <c r="R1374" s="8" t="s">
        <v>100</v>
      </c>
      <c r="S1374" s="7" t="s">
        <v>28</v>
      </c>
      <c r="T1374" s="6"/>
      <c r="U1374" s="8"/>
    </row>
    <row r="1375" spans="1:34" ht="13.5" customHeight="1">
      <c r="A1375" s="8" t="s">
        <v>6542</v>
      </c>
      <c r="B1375" s="16">
        <v>51</v>
      </c>
      <c r="C1375" s="8" t="s">
        <v>115</v>
      </c>
      <c r="D1375" s="8" t="s">
        <v>85</v>
      </c>
      <c r="F1375" s="17">
        <v>41937</v>
      </c>
      <c r="G1375" s="8" t="s">
        <v>6543</v>
      </c>
      <c r="H1375" s="8" t="s">
        <v>6544</v>
      </c>
      <c r="I1375" s="8" t="s">
        <v>370</v>
      </c>
      <c r="J1375" s="16" t="s">
        <v>6545</v>
      </c>
      <c r="K1375" s="2" t="s">
        <v>653</v>
      </c>
      <c r="L1375" s="8" t="s">
        <v>6199</v>
      </c>
      <c r="M1375" s="8" t="s">
        <v>383</v>
      </c>
      <c r="N1375" s="8" t="s">
        <v>6546</v>
      </c>
      <c r="O1375" s="8" t="s">
        <v>404</v>
      </c>
      <c r="P1375" s="8" t="s">
        <v>405</v>
      </c>
      <c r="Q1375" s="12" t="s">
        <v>6547</v>
      </c>
      <c r="R1375" s="8" t="s">
        <v>100</v>
      </c>
      <c r="S1375" s="7" t="s">
        <v>18</v>
      </c>
      <c r="T1375" s="6"/>
      <c r="U1375" s="8"/>
    </row>
    <row r="1376" spans="1:34" ht="13.5" customHeight="1">
      <c r="A1376" s="8" t="s">
        <v>6548</v>
      </c>
      <c r="B1376" s="16">
        <v>39</v>
      </c>
      <c r="C1376" s="8" t="s">
        <v>20</v>
      </c>
      <c r="D1376" s="8" t="s">
        <v>48</v>
      </c>
      <c r="E1376" s="8" t="s">
        <v>6549</v>
      </c>
      <c r="F1376" s="17">
        <v>41937</v>
      </c>
      <c r="G1376" s="8" t="s">
        <v>6550</v>
      </c>
      <c r="H1376" s="8" t="s">
        <v>6551</v>
      </c>
      <c r="I1376" s="8" t="s">
        <v>243</v>
      </c>
      <c r="J1376" s="16" t="s">
        <v>6552</v>
      </c>
      <c r="K1376" s="2" t="s">
        <v>617</v>
      </c>
      <c r="L1376" s="8" t="s">
        <v>6553</v>
      </c>
      <c r="M1376" s="8" t="s">
        <v>27</v>
      </c>
      <c r="N1376" s="8" t="s">
        <v>6554</v>
      </c>
      <c r="O1376" s="8" t="s">
        <v>554</v>
      </c>
      <c r="P1376" s="8" t="s">
        <v>405</v>
      </c>
      <c r="Q1376" s="12" t="s">
        <v>5329</v>
      </c>
      <c r="R1376" s="8" t="s">
        <v>559</v>
      </c>
      <c r="S1376" s="7" t="s">
        <v>28</v>
      </c>
      <c r="T1376" s="6"/>
      <c r="U1376" s="8"/>
    </row>
    <row r="1377" spans="1:39" ht="13.5" customHeight="1">
      <c r="A1377" s="8" t="s">
        <v>6571</v>
      </c>
      <c r="B1377" s="16">
        <v>38</v>
      </c>
      <c r="C1377" s="8" t="s">
        <v>20</v>
      </c>
      <c r="D1377" s="8" t="s">
        <v>85</v>
      </c>
      <c r="F1377" s="17">
        <v>41936</v>
      </c>
      <c r="G1377" s="8" t="s">
        <v>6572</v>
      </c>
      <c r="H1377" s="8" t="s">
        <v>6022</v>
      </c>
      <c r="I1377" s="8" t="s">
        <v>370</v>
      </c>
      <c r="J1377" s="16">
        <v>28314</v>
      </c>
      <c r="K1377" s="2" t="s">
        <v>3187</v>
      </c>
      <c r="L1377" s="8" t="s">
        <v>6573</v>
      </c>
      <c r="M1377" s="8" t="s">
        <v>27</v>
      </c>
      <c r="N1377" s="8" t="s">
        <v>6574</v>
      </c>
      <c r="P1377" s="8" t="s">
        <v>405</v>
      </c>
      <c r="Q1377" s="12"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1377" s="8" t="s">
        <v>29</v>
      </c>
      <c r="S1377" s="7" t="s">
        <v>28</v>
      </c>
      <c r="T1377" s="6"/>
      <c r="U1377" s="8"/>
    </row>
    <row r="1378" spans="1:39" ht="13.5" customHeight="1">
      <c r="A1378" s="8" t="s">
        <v>6575</v>
      </c>
      <c r="B1378" s="16">
        <v>23</v>
      </c>
      <c r="C1378" s="8" t="s">
        <v>20</v>
      </c>
      <c r="D1378" s="8" t="s">
        <v>48</v>
      </c>
      <c r="F1378" s="17">
        <v>41936</v>
      </c>
      <c r="G1378" s="8" t="s">
        <v>6576</v>
      </c>
      <c r="H1378" s="8" t="s">
        <v>565</v>
      </c>
      <c r="I1378" s="8" t="s">
        <v>124</v>
      </c>
      <c r="J1378" s="16" t="s">
        <v>6577</v>
      </c>
      <c r="K1378" s="2" t="s">
        <v>566</v>
      </c>
      <c r="L1378" s="8" t="s">
        <v>4790</v>
      </c>
      <c r="M1378" s="8" t="s">
        <v>27</v>
      </c>
      <c r="N1378" s="8" t="s">
        <v>6578</v>
      </c>
      <c r="O1378" s="8" t="s">
        <v>1018</v>
      </c>
      <c r="P1378" s="8" t="s">
        <v>405</v>
      </c>
      <c r="Q1378" s="12"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1378" s="8" t="s">
        <v>100</v>
      </c>
      <c r="S1378" s="7" t="s">
        <v>28</v>
      </c>
      <c r="T1378" s="6"/>
      <c r="U1378" s="8"/>
    </row>
    <row r="1379" spans="1:39" ht="13.5" customHeight="1">
      <c r="A1379" s="8" t="s">
        <v>6587</v>
      </c>
      <c r="B1379" s="16">
        <v>39</v>
      </c>
      <c r="C1379" s="8" t="s">
        <v>20</v>
      </c>
      <c r="D1379" s="8" t="s">
        <v>37</v>
      </c>
      <c r="E1379" s="8" t="s">
        <v>6588</v>
      </c>
      <c r="F1379" s="17">
        <v>41936</v>
      </c>
      <c r="G1379" s="8" t="s">
        <v>6589</v>
      </c>
      <c r="H1379" s="8" t="s">
        <v>6590</v>
      </c>
      <c r="I1379" s="8" t="s">
        <v>408</v>
      </c>
      <c r="J1379" s="16" t="s">
        <v>6591</v>
      </c>
      <c r="K1379" s="2" t="s">
        <v>6592</v>
      </c>
      <c r="L1379" s="8" t="s">
        <v>6593</v>
      </c>
      <c r="M1379" s="8" t="s">
        <v>6594</v>
      </c>
      <c r="N1379" s="8" t="s">
        <v>6595</v>
      </c>
      <c r="O1379" s="8" t="s">
        <v>404</v>
      </c>
      <c r="P1379" s="8" t="s">
        <v>405</v>
      </c>
      <c r="Q1379" s="12" t="s">
        <v>6596</v>
      </c>
      <c r="R1379" s="8" t="s">
        <v>972</v>
      </c>
      <c r="S1379" s="7" t="s">
        <v>28</v>
      </c>
      <c r="T1379" s="6"/>
      <c r="U1379" s="8"/>
    </row>
    <row r="1380" spans="1:39" ht="13.5" customHeight="1">
      <c r="A1380" s="8" t="s">
        <v>6579</v>
      </c>
      <c r="B1380" s="16">
        <v>22</v>
      </c>
      <c r="C1380" s="8" t="s">
        <v>20</v>
      </c>
      <c r="D1380" s="8" t="s">
        <v>48</v>
      </c>
      <c r="E1380" s="8" t="s">
        <v>6580</v>
      </c>
      <c r="F1380" s="17">
        <v>41936</v>
      </c>
      <c r="G1380" s="8" t="s">
        <v>6581</v>
      </c>
      <c r="H1380" s="8" t="s">
        <v>6582</v>
      </c>
      <c r="I1380" s="8" t="s">
        <v>198</v>
      </c>
      <c r="J1380" s="16" t="s">
        <v>6583</v>
      </c>
      <c r="K1380" s="2" t="s">
        <v>6584</v>
      </c>
      <c r="L1380" s="8" t="s">
        <v>3118</v>
      </c>
      <c r="M1380" s="8" t="s">
        <v>27</v>
      </c>
      <c r="N1380" s="8" t="s">
        <v>6585</v>
      </c>
      <c r="O1380" s="8" t="s">
        <v>554</v>
      </c>
      <c r="P1380" s="8" t="s">
        <v>405</v>
      </c>
      <c r="Q1380" s="12" t="s">
        <v>6586</v>
      </c>
      <c r="R1380" s="8" t="s">
        <v>100</v>
      </c>
      <c r="S1380" s="7" t="s">
        <v>28</v>
      </c>
      <c r="T1380" s="6"/>
      <c r="U1380" s="8"/>
    </row>
    <row r="1381" spans="1:39" ht="13.5" customHeight="1">
      <c r="A1381" s="8" t="s">
        <v>6605</v>
      </c>
      <c r="B1381" s="16">
        <v>36</v>
      </c>
      <c r="C1381" s="8" t="s">
        <v>20</v>
      </c>
      <c r="D1381" s="8" t="s">
        <v>37</v>
      </c>
      <c r="E1381" s="8" t="s">
        <v>6606</v>
      </c>
      <c r="F1381" s="17">
        <v>41936</v>
      </c>
      <c r="G1381" s="8" t="s">
        <v>6607</v>
      </c>
      <c r="H1381" s="8" t="s">
        <v>6608</v>
      </c>
      <c r="I1381" s="8" t="s">
        <v>25</v>
      </c>
      <c r="J1381" s="16" t="s">
        <v>6609</v>
      </c>
      <c r="K1381" s="2" t="s">
        <v>6610</v>
      </c>
      <c r="L1381" s="8" t="s">
        <v>6611</v>
      </c>
      <c r="M1381" s="8" t="s">
        <v>27</v>
      </c>
      <c r="N1381" s="8" t="s">
        <v>6612</v>
      </c>
      <c r="O1381" s="8" t="s">
        <v>404</v>
      </c>
      <c r="P1381" s="8" t="s">
        <v>405</v>
      </c>
      <c r="Q1381" s="12" t="s">
        <v>6613</v>
      </c>
      <c r="R1381" s="8" t="s">
        <v>100</v>
      </c>
      <c r="S1381" s="7" t="s">
        <v>28</v>
      </c>
      <c r="T1381" s="6"/>
      <c r="U1381" s="8"/>
    </row>
    <row r="1382" spans="1:39" ht="13.5" customHeight="1">
      <c r="A1382" s="8" t="s">
        <v>6597</v>
      </c>
      <c r="B1382" s="16">
        <v>34</v>
      </c>
      <c r="C1382" s="8" t="s">
        <v>20</v>
      </c>
      <c r="D1382" s="8" t="s">
        <v>37</v>
      </c>
      <c r="E1382" s="8" t="s">
        <v>6598</v>
      </c>
      <c r="F1382" s="17">
        <v>41936</v>
      </c>
      <c r="G1382" s="8" t="s">
        <v>6599</v>
      </c>
      <c r="H1382" s="8" t="s">
        <v>6600</v>
      </c>
      <c r="I1382" s="8" t="s">
        <v>62</v>
      </c>
      <c r="J1382" s="16" t="s">
        <v>6601</v>
      </c>
      <c r="K1382" s="2" t="s">
        <v>3940</v>
      </c>
      <c r="L1382" s="8" t="s">
        <v>6602</v>
      </c>
      <c r="M1382" s="8" t="s">
        <v>27</v>
      </c>
      <c r="N1382" s="8" t="s">
        <v>6603</v>
      </c>
      <c r="O1382" s="8" t="s">
        <v>554</v>
      </c>
      <c r="P1382" s="8" t="s">
        <v>405</v>
      </c>
      <c r="Q1382" s="12" t="s">
        <v>6604</v>
      </c>
      <c r="R1382" s="8" t="s">
        <v>100</v>
      </c>
      <c r="S1382" s="7" t="s">
        <v>28</v>
      </c>
      <c r="T1382" s="6"/>
      <c r="U1382" s="8"/>
    </row>
    <row r="1383" spans="1:39" ht="13.5" customHeight="1">
      <c r="A1383" s="8" t="s">
        <v>6632</v>
      </c>
      <c r="B1383" s="16">
        <v>43</v>
      </c>
      <c r="C1383" s="8" t="s">
        <v>20</v>
      </c>
      <c r="D1383" s="8" t="s">
        <v>48</v>
      </c>
      <c r="E1383" s="8" t="s">
        <v>6633</v>
      </c>
      <c r="F1383" s="17">
        <v>41935</v>
      </c>
      <c r="G1383" s="8" t="s">
        <v>6634</v>
      </c>
      <c r="H1383" s="8" t="s">
        <v>6635</v>
      </c>
      <c r="I1383" s="8" t="s">
        <v>124</v>
      </c>
      <c r="J1383" s="16" t="s">
        <v>6636</v>
      </c>
      <c r="K1383" s="2" t="s">
        <v>639</v>
      </c>
      <c r="L1383" s="8" t="s">
        <v>6637</v>
      </c>
      <c r="M1383" s="8" t="s">
        <v>27</v>
      </c>
      <c r="N1383" s="8" t="s">
        <v>6638</v>
      </c>
      <c r="O1383" s="8" t="s">
        <v>1018</v>
      </c>
      <c r="P1383" s="8" t="s">
        <v>405</v>
      </c>
      <c r="Q1383" s="12" t="s">
        <v>6639</v>
      </c>
      <c r="R1383" s="8" t="s">
        <v>972</v>
      </c>
      <c r="S1383" s="7" t="s">
        <v>28</v>
      </c>
      <c r="T1383" s="6"/>
      <c r="U1383" s="8"/>
      <c r="Y1383" s="8"/>
      <c r="Z1383" s="8"/>
      <c r="AA1383" s="8"/>
      <c r="AB1383" s="8"/>
      <c r="AC1383" s="8"/>
      <c r="AD1383" s="8"/>
      <c r="AE1383" s="8"/>
      <c r="AF1383" s="8"/>
      <c r="AG1383" s="8"/>
      <c r="AH1383" s="8"/>
    </row>
    <row r="1384" spans="1:39" ht="13.5" customHeight="1">
      <c r="A1384" s="8" t="s">
        <v>6640</v>
      </c>
      <c r="B1384" s="16">
        <v>25</v>
      </c>
      <c r="C1384" s="8" t="s">
        <v>20</v>
      </c>
      <c r="D1384" s="8" t="s">
        <v>48</v>
      </c>
      <c r="E1384" s="8" t="s">
        <v>6641</v>
      </c>
      <c r="F1384" s="17">
        <v>41935</v>
      </c>
      <c r="G1384" s="8" t="s">
        <v>6642</v>
      </c>
      <c r="H1384" s="8" t="s">
        <v>6643</v>
      </c>
      <c r="I1384" s="8" t="s">
        <v>46</v>
      </c>
      <c r="J1384" s="16" t="s">
        <v>6644</v>
      </c>
      <c r="K1384" s="2" t="s">
        <v>6645</v>
      </c>
      <c r="L1384" s="8" t="s">
        <v>6646</v>
      </c>
      <c r="M1384" s="8" t="s">
        <v>27</v>
      </c>
      <c r="N1384" s="8" t="s">
        <v>6647</v>
      </c>
      <c r="O1384" s="8" t="s">
        <v>1018</v>
      </c>
      <c r="P1384" s="8" t="s">
        <v>405</v>
      </c>
      <c r="Q1384" s="12" t="s">
        <v>6648</v>
      </c>
      <c r="R1384" s="8" t="s">
        <v>100</v>
      </c>
      <c r="S1384" s="7" t="s">
        <v>28</v>
      </c>
      <c r="T1384" s="6"/>
      <c r="U1384" s="8"/>
    </row>
    <row r="1385" spans="1:39" ht="13.5" customHeight="1">
      <c r="A1385" s="8" t="s">
        <v>6620</v>
      </c>
      <c r="B1385" s="16">
        <v>38</v>
      </c>
      <c r="C1385" s="8" t="s">
        <v>20</v>
      </c>
      <c r="D1385" s="8" t="s">
        <v>85</v>
      </c>
      <c r="F1385" s="17">
        <v>41935</v>
      </c>
      <c r="G1385" s="8" t="s">
        <v>6621</v>
      </c>
      <c r="H1385" s="8" t="s">
        <v>6622</v>
      </c>
      <c r="I1385" s="8" t="s">
        <v>52</v>
      </c>
      <c r="J1385" s="16" t="s">
        <v>6623</v>
      </c>
      <c r="K1385" s="2" t="s">
        <v>6624</v>
      </c>
      <c r="L1385" s="8" t="s">
        <v>6625</v>
      </c>
      <c r="M1385" s="8" t="s">
        <v>27</v>
      </c>
      <c r="N1385" s="8" t="s">
        <v>6626</v>
      </c>
      <c r="O1385" s="8" t="s">
        <v>1018</v>
      </c>
      <c r="P1385" s="8" t="s">
        <v>405</v>
      </c>
      <c r="Q1385" s="12" t="s">
        <v>6627</v>
      </c>
      <c r="R1385" s="8" t="s">
        <v>972</v>
      </c>
      <c r="S1385" s="7" t="s">
        <v>18</v>
      </c>
      <c r="T1385" s="6"/>
      <c r="U1385" s="8"/>
    </row>
    <row r="1386" spans="1:39" ht="13.5" customHeight="1">
      <c r="A1386" s="8" t="s">
        <v>6614</v>
      </c>
      <c r="B1386" s="16">
        <v>25</v>
      </c>
      <c r="C1386" s="8" t="s">
        <v>20</v>
      </c>
      <c r="D1386" s="8" t="s">
        <v>21</v>
      </c>
      <c r="F1386" s="17">
        <v>41935</v>
      </c>
      <c r="G1386" s="8" t="s">
        <v>6615</v>
      </c>
      <c r="H1386" s="8" t="s">
        <v>6616</v>
      </c>
      <c r="I1386" s="8" t="s">
        <v>272</v>
      </c>
      <c r="J1386" s="16" t="s">
        <v>6617</v>
      </c>
      <c r="K1386" s="2" t="s">
        <v>574</v>
      </c>
      <c r="L1386" s="8" t="s">
        <v>965</v>
      </c>
      <c r="M1386" s="8" t="s">
        <v>27</v>
      </c>
      <c r="N1386" s="8" t="s">
        <v>6618</v>
      </c>
      <c r="O1386" s="8" t="s">
        <v>404</v>
      </c>
      <c r="P1386" s="8" t="s">
        <v>405</v>
      </c>
      <c r="Q1386" s="12" t="s">
        <v>6619</v>
      </c>
      <c r="R1386" s="8" t="s">
        <v>559</v>
      </c>
      <c r="S1386" s="7" t="s">
        <v>28</v>
      </c>
      <c r="T1386" s="6"/>
      <c r="U1386" s="8"/>
      <c r="AI1386" s="8"/>
      <c r="AJ1386" s="8"/>
      <c r="AK1386" s="8"/>
      <c r="AL1386" s="8"/>
      <c r="AM1386" s="8"/>
    </row>
    <row r="1387" spans="1:39" ht="13.5" customHeight="1">
      <c r="A1387" s="8" t="s">
        <v>6628</v>
      </c>
      <c r="B1387" s="16">
        <v>32</v>
      </c>
      <c r="C1387" s="8" t="s">
        <v>20</v>
      </c>
      <c r="D1387" s="8" t="s">
        <v>85</v>
      </c>
      <c r="E1387" s="8" t="s">
        <v>6629</v>
      </c>
      <c r="F1387" s="17">
        <v>41935</v>
      </c>
      <c r="G1387" s="8" t="s">
        <v>6630</v>
      </c>
      <c r="H1387" s="8" t="s">
        <v>762</v>
      </c>
      <c r="I1387" s="8" t="s">
        <v>427</v>
      </c>
      <c r="J1387" s="16" t="s">
        <v>2701</v>
      </c>
      <c r="K1387" s="2" t="s">
        <v>2702</v>
      </c>
      <c r="L1387" s="8" t="s">
        <v>586</v>
      </c>
      <c r="M1387" s="8" t="s">
        <v>27</v>
      </c>
      <c r="N1387" s="8" t="s">
        <v>6631</v>
      </c>
      <c r="O1387" s="8" t="s">
        <v>1018</v>
      </c>
      <c r="P1387" s="8" t="s">
        <v>405</v>
      </c>
      <c r="Q1387" s="12" t="str">
        <f>HYPERLINK("http://www.nydailynews.com/new-york/nyc-crime/police-shoots-kills-man-ax-queens-article-1.1984914","http://www.nydailynews.com/new-york/nyc-crime/police-shoots-kills-man-ax-queens-article-1.1984914")</f>
        <v>http://www.nydailynews.com/new-york/nyc-crime/police-shoots-kills-man-ax-queens-article-1.1984914</v>
      </c>
      <c r="R1387" s="8" t="s">
        <v>100</v>
      </c>
      <c r="S1387" s="7" t="s">
        <v>28</v>
      </c>
      <c r="T1387" s="6"/>
      <c r="U1387" s="8"/>
    </row>
    <row r="1388" spans="1:39" ht="13.5" customHeight="1">
      <c r="A1388" s="8" t="s">
        <v>6649</v>
      </c>
      <c r="B1388" s="16">
        <v>27</v>
      </c>
      <c r="C1388" s="8" t="s">
        <v>20</v>
      </c>
      <c r="D1388" s="8" t="s">
        <v>48</v>
      </c>
      <c r="E1388" s="8" t="s">
        <v>6650</v>
      </c>
      <c r="F1388" s="17">
        <v>41934</v>
      </c>
      <c r="G1388" s="8" t="s">
        <v>6651</v>
      </c>
      <c r="H1388" s="8" t="s">
        <v>1210</v>
      </c>
      <c r="I1388" s="8" t="s">
        <v>73</v>
      </c>
      <c r="J1388" s="16" t="s">
        <v>6652</v>
      </c>
      <c r="K1388" s="2" t="s">
        <v>1211</v>
      </c>
      <c r="L1388" s="8" t="s">
        <v>1212</v>
      </c>
      <c r="M1388" s="8" t="s">
        <v>27</v>
      </c>
      <c r="N1388" s="8" t="s">
        <v>6653</v>
      </c>
      <c r="O1388" s="8" t="s">
        <v>1018</v>
      </c>
      <c r="P1388" s="8" t="s">
        <v>405</v>
      </c>
      <c r="Q1388" s="12" t="s">
        <v>6654</v>
      </c>
      <c r="R1388" s="8" t="s">
        <v>100</v>
      </c>
      <c r="S1388" s="7" t="s">
        <v>28</v>
      </c>
      <c r="T1388" s="6"/>
      <c r="U1388" s="8"/>
    </row>
    <row r="1389" spans="1:39" ht="13.5" customHeight="1">
      <c r="A1389" s="8" t="s">
        <v>6655</v>
      </c>
      <c r="B1389" s="16">
        <v>30</v>
      </c>
      <c r="C1389" s="8" t="s">
        <v>20</v>
      </c>
      <c r="D1389" s="8" t="s">
        <v>37</v>
      </c>
      <c r="F1389" s="17">
        <v>41934</v>
      </c>
      <c r="G1389" s="8" t="s">
        <v>6656</v>
      </c>
      <c r="H1389" s="8" t="s">
        <v>6657</v>
      </c>
      <c r="I1389" s="8" t="s">
        <v>44</v>
      </c>
      <c r="J1389" s="16" t="s">
        <v>6658</v>
      </c>
      <c r="K1389" s="2" t="s">
        <v>6659</v>
      </c>
      <c r="L1389" s="8" t="s">
        <v>6660</v>
      </c>
      <c r="M1389" s="8" t="s">
        <v>383</v>
      </c>
      <c r="N1389" s="8" t="s">
        <v>6661</v>
      </c>
      <c r="O1389" s="8" t="s">
        <v>1018</v>
      </c>
      <c r="P1389" s="8" t="s">
        <v>405</v>
      </c>
      <c r="Q1389" s="12" t="s">
        <v>6662</v>
      </c>
      <c r="R1389" s="8" t="s">
        <v>100</v>
      </c>
      <c r="S1389" s="7" t="s">
        <v>18</v>
      </c>
      <c r="T1389" s="6"/>
      <c r="U1389" s="8"/>
    </row>
    <row r="1390" spans="1:39" ht="13.5" customHeight="1">
      <c r="A1390" s="8" t="s">
        <v>6663</v>
      </c>
      <c r="B1390" s="16">
        <v>35</v>
      </c>
      <c r="C1390" s="8" t="s">
        <v>20</v>
      </c>
      <c r="D1390" s="8" t="s">
        <v>48</v>
      </c>
      <c r="F1390" s="17">
        <v>41933</v>
      </c>
      <c r="G1390" s="8" t="s">
        <v>6664</v>
      </c>
      <c r="H1390" s="8" t="s">
        <v>6665</v>
      </c>
      <c r="I1390" s="8" t="s">
        <v>243</v>
      </c>
      <c r="J1390" s="16" t="s">
        <v>6666</v>
      </c>
      <c r="K1390" s="2" t="s">
        <v>1461</v>
      </c>
      <c r="L1390" s="8" t="s">
        <v>6667</v>
      </c>
      <c r="M1390" s="8" t="s">
        <v>27</v>
      </c>
      <c r="N1390" s="8" t="s">
        <v>6668</v>
      </c>
      <c r="P1390" s="8" t="s">
        <v>405</v>
      </c>
      <c r="Q1390" s="12" t="s">
        <v>6669</v>
      </c>
      <c r="R1390" s="8" t="s">
        <v>559</v>
      </c>
      <c r="S1390" s="7" t="s">
        <v>35</v>
      </c>
      <c r="T1390" s="6"/>
      <c r="U1390" s="8"/>
    </row>
    <row r="1391" spans="1:39" ht="13.5" customHeight="1">
      <c r="A1391" s="8" t="s">
        <v>6670</v>
      </c>
      <c r="B1391" s="16">
        <v>17</v>
      </c>
      <c r="C1391" s="8" t="s">
        <v>20</v>
      </c>
      <c r="D1391" s="8" t="s">
        <v>85</v>
      </c>
      <c r="F1391" s="17">
        <v>41932</v>
      </c>
      <c r="G1391" s="8" t="s">
        <v>6671</v>
      </c>
      <c r="H1391" s="8" t="s">
        <v>87</v>
      </c>
      <c r="I1391" s="8" t="s">
        <v>44</v>
      </c>
      <c r="J1391" s="16" t="s">
        <v>6672</v>
      </c>
      <c r="K1391" s="2" t="s">
        <v>88</v>
      </c>
      <c r="L1391" s="8" t="s">
        <v>89</v>
      </c>
      <c r="M1391" s="8" t="s">
        <v>27</v>
      </c>
      <c r="N1391" s="8" t="s">
        <v>6673</v>
      </c>
      <c r="O1391" s="8" t="s">
        <v>554</v>
      </c>
      <c r="P1391" s="8" t="s">
        <v>1171</v>
      </c>
      <c r="Q1391" s="12" t="s">
        <v>6674</v>
      </c>
      <c r="R1391" s="8" t="s">
        <v>100</v>
      </c>
      <c r="S1391" s="7" t="s">
        <v>28</v>
      </c>
      <c r="T1391" s="6"/>
      <c r="U1391" s="8"/>
    </row>
    <row r="1392" spans="1:39" ht="13.5" customHeight="1">
      <c r="A1392" s="8" t="s">
        <v>6692</v>
      </c>
      <c r="B1392" s="16">
        <v>54</v>
      </c>
      <c r="C1392" s="8" t="s">
        <v>20</v>
      </c>
      <c r="D1392" s="8" t="s">
        <v>30</v>
      </c>
      <c r="F1392" s="17">
        <v>41932</v>
      </c>
      <c r="G1392" s="8" t="s">
        <v>6693</v>
      </c>
      <c r="H1392" s="8" t="s">
        <v>6694</v>
      </c>
      <c r="I1392" s="8" t="s">
        <v>247</v>
      </c>
      <c r="J1392" s="16" t="s">
        <v>6695</v>
      </c>
      <c r="K1392" s="2" t="s">
        <v>6694</v>
      </c>
      <c r="L1392" s="8" t="s">
        <v>6696</v>
      </c>
      <c r="M1392" s="8" t="s">
        <v>27</v>
      </c>
      <c r="N1392" s="8" t="s">
        <v>6697</v>
      </c>
      <c r="O1392" s="8" t="s">
        <v>1018</v>
      </c>
      <c r="P1392" s="8" t="s">
        <v>405</v>
      </c>
      <c r="Q1392" s="12" t="s">
        <v>6698</v>
      </c>
      <c r="R1392" s="8" t="s">
        <v>29</v>
      </c>
      <c r="S1392" s="7" t="s">
        <v>18</v>
      </c>
      <c r="T1392" s="6"/>
      <c r="U1392" s="8"/>
    </row>
    <row r="1393" spans="1:21" ht="13.5" customHeight="1">
      <c r="A1393" s="8" t="s">
        <v>6675</v>
      </c>
      <c r="B1393" s="16">
        <v>29</v>
      </c>
      <c r="C1393" s="8" t="s">
        <v>20</v>
      </c>
      <c r="D1393" s="8" t="s">
        <v>48</v>
      </c>
      <c r="E1393" s="8" t="s">
        <v>6676</v>
      </c>
      <c r="F1393" s="17">
        <v>41932</v>
      </c>
      <c r="G1393" s="8" t="s">
        <v>6677</v>
      </c>
      <c r="H1393" s="8" t="s">
        <v>807</v>
      </c>
      <c r="I1393" s="8" t="s">
        <v>73</v>
      </c>
      <c r="J1393" s="16" t="s">
        <v>6678</v>
      </c>
      <c r="K1393" s="2" t="s">
        <v>808</v>
      </c>
      <c r="L1393" s="8" t="s">
        <v>6679</v>
      </c>
      <c r="M1393" s="8" t="s">
        <v>27</v>
      </c>
      <c r="N1393" s="8" t="s">
        <v>6680</v>
      </c>
      <c r="O1393" s="8" t="s">
        <v>554</v>
      </c>
      <c r="P1393" s="8" t="s">
        <v>405</v>
      </c>
      <c r="Q1393" s="12" t="s">
        <v>6681</v>
      </c>
      <c r="R1393" s="8" t="s">
        <v>100</v>
      </c>
      <c r="S1393" s="7" t="s">
        <v>28</v>
      </c>
      <c r="T1393" s="6"/>
      <c r="U1393" s="8"/>
    </row>
    <row r="1394" spans="1:21" ht="13.5" customHeight="1">
      <c r="A1394" s="8" t="s">
        <v>6682</v>
      </c>
      <c r="B1394" s="16">
        <v>22</v>
      </c>
      <c r="C1394" s="8" t="s">
        <v>20</v>
      </c>
      <c r="D1394" s="8" t="s">
        <v>48</v>
      </c>
      <c r="F1394" s="17">
        <v>41932</v>
      </c>
      <c r="G1394" s="8" t="s">
        <v>6683</v>
      </c>
      <c r="H1394" s="8" t="s">
        <v>865</v>
      </c>
      <c r="I1394" s="8" t="s">
        <v>73</v>
      </c>
      <c r="J1394" s="16" t="s">
        <v>6684</v>
      </c>
      <c r="K1394" s="2" t="s">
        <v>865</v>
      </c>
      <c r="L1394" s="8" t="s">
        <v>866</v>
      </c>
      <c r="M1394" s="8" t="s">
        <v>27</v>
      </c>
      <c r="N1394" s="8" t="s">
        <v>6685</v>
      </c>
      <c r="O1394" s="8" t="s">
        <v>1018</v>
      </c>
      <c r="P1394" s="8" t="s">
        <v>405</v>
      </c>
      <c r="Q1394" s="12" t="s">
        <v>6686</v>
      </c>
      <c r="R1394" s="8" t="s">
        <v>100</v>
      </c>
      <c r="S1394" s="7" t="s">
        <v>28</v>
      </c>
      <c r="T1394" s="6"/>
      <c r="U1394" s="8"/>
    </row>
    <row r="1395" spans="1:21" ht="13.5" customHeight="1">
      <c r="A1395" s="8" t="s">
        <v>6687</v>
      </c>
      <c r="B1395" s="16">
        <v>54</v>
      </c>
      <c r="C1395" s="8" t="s">
        <v>20</v>
      </c>
      <c r="D1395" s="8" t="s">
        <v>48</v>
      </c>
      <c r="F1395" s="17">
        <v>41932</v>
      </c>
      <c r="G1395" s="8" t="s">
        <v>6688</v>
      </c>
      <c r="H1395" s="8" t="s">
        <v>3084</v>
      </c>
      <c r="I1395" s="8" t="s">
        <v>62</v>
      </c>
      <c r="J1395" s="16" t="s">
        <v>6689</v>
      </c>
      <c r="K1395" s="2" t="s">
        <v>424</v>
      </c>
      <c r="L1395" s="8" t="s">
        <v>3086</v>
      </c>
      <c r="M1395" s="8" t="s">
        <v>27</v>
      </c>
      <c r="N1395" s="8" t="s">
        <v>6690</v>
      </c>
      <c r="O1395" s="8" t="s">
        <v>554</v>
      </c>
      <c r="P1395" s="8" t="s">
        <v>405</v>
      </c>
      <c r="Q1395" s="12" t="s">
        <v>6691</v>
      </c>
      <c r="R1395" s="8" t="s">
        <v>100</v>
      </c>
      <c r="S1395" s="7" t="s">
        <v>28</v>
      </c>
      <c r="T1395" s="6"/>
      <c r="U1395" s="8"/>
    </row>
    <row r="1396" spans="1:21" ht="13.5" customHeight="1">
      <c r="A1396" s="8" t="s">
        <v>6711</v>
      </c>
      <c r="B1396" s="16">
        <v>63</v>
      </c>
      <c r="C1396" s="8" t="s">
        <v>20</v>
      </c>
      <c r="D1396" s="8" t="s">
        <v>37</v>
      </c>
      <c r="E1396" s="8" t="s">
        <v>6712</v>
      </c>
      <c r="F1396" s="17">
        <v>41930</v>
      </c>
      <c r="G1396" s="8" t="s">
        <v>6713</v>
      </c>
      <c r="H1396" s="8" t="s">
        <v>6714</v>
      </c>
      <c r="I1396" s="8" t="s">
        <v>73</v>
      </c>
      <c r="J1396" s="16">
        <v>79404</v>
      </c>
      <c r="K1396" s="2" t="s">
        <v>6714</v>
      </c>
      <c r="L1396" s="8" t="s">
        <v>6715</v>
      </c>
      <c r="M1396" s="8" t="s">
        <v>2312</v>
      </c>
      <c r="N1396" s="8" t="s">
        <v>6716</v>
      </c>
      <c r="P1396" s="8" t="s">
        <v>405</v>
      </c>
      <c r="Q1396" s="12" t="s">
        <v>6717</v>
      </c>
      <c r="S1396" s="7" t="s">
        <v>18</v>
      </c>
      <c r="T1396" s="6"/>
      <c r="U1396" s="8"/>
    </row>
    <row r="1397" spans="1:21" ht="13.5" customHeight="1">
      <c r="A1397" s="8" t="s">
        <v>6699</v>
      </c>
      <c r="B1397" s="16">
        <v>44</v>
      </c>
      <c r="C1397" s="8" t="s">
        <v>20</v>
      </c>
      <c r="D1397" s="8" t="s">
        <v>85</v>
      </c>
      <c r="F1397" s="17">
        <v>41930</v>
      </c>
      <c r="G1397" s="8" t="s">
        <v>6700</v>
      </c>
      <c r="H1397" s="8" t="s">
        <v>6701</v>
      </c>
      <c r="I1397" s="8" t="s">
        <v>69</v>
      </c>
      <c r="J1397" s="16" t="s">
        <v>6702</v>
      </c>
      <c r="K1397" s="2" t="s">
        <v>105</v>
      </c>
      <c r="L1397" s="8" t="s">
        <v>6703</v>
      </c>
      <c r="M1397" s="8" t="s">
        <v>27</v>
      </c>
      <c r="N1397" s="8" t="s">
        <v>6704</v>
      </c>
      <c r="P1397" s="8" t="s">
        <v>405</v>
      </c>
      <c r="Q1397" s="12" t="s">
        <v>6705</v>
      </c>
      <c r="R1397" s="8" t="s">
        <v>100</v>
      </c>
      <c r="S1397" s="7" t="s">
        <v>28</v>
      </c>
      <c r="T1397" s="6"/>
      <c r="U1397" s="8"/>
    </row>
    <row r="1398" spans="1:21" ht="13.5" customHeight="1">
      <c r="A1398" s="8" t="s">
        <v>6706</v>
      </c>
      <c r="B1398" s="16">
        <v>22</v>
      </c>
      <c r="C1398" s="8" t="s">
        <v>20</v>
      </c>
      <c r="D1398" s="8" t="s">
        <v>85</v>
      </c>
      <c r="F1398" s="17">
        <v>41930</v>
      </c>
      <c r="G1398" s="8" t="s">
        <v>6707</v>
      </c>
      <c r="H1398" s="8" t="s">
        <v>219</v>
      </c>
      <c r="I1398" s="8" t="s">
        <v>220</v>
      </c>
      <c r="J1398" s="16" t="s">
        <v>6708</v>
      </c>
      <c r="K1398" s="2" t="s">
        <v>424</v>
      </c>
      <c r="L1398" s="8" t="s">
        <v>221</v>
      </c>
      <c r="M1398" s="8" t="s">
        <v>27</v>
      </c>
      <c r="N1398" s="8" t="s">
        <v>6709</v>
      </c>
      <c r="O1398" s="8" t="s">
        <v>1018</v>
      </c>
      <c r="P1398" s="8" t="s">
        <v>405</v>
      </c>
      <c r="Q1398" s="12" t="s">
        <v>6710</v>
      </c>
      <c r="R1398" s="8" t="s">
        <v>100</v>
      </c>
      <c r="S1398" s="7" t="s">
        <v>28</v>
      </c>
      <c r="T1398" s="6"/>
      <c r="U1398" s="8"/>
    </row>
    <row r="1399" spans="1:21" ht="13.5" customHeight="1">
      <c r="A1399" s="8" t="s">
        <v>6718</v>
      </c>
      <c r="B1399" s="16">
        <v>38</v>
      </c>
      <c r="C1399" s="8" t="s">
        <v>20</v>
      </c>
      <c r="D1399" s="8" t="s">
        <v>37</v>
      </c>
      <c r="E1399" s="8" t="s">
        <v>6719</v>
      </c>
      <c r="F1399" s="17">
        <v>41930</v>
      </c>
      <c r="G1399" s="8" t="s">
        <v>6720</v>
      </c>
      <c r="H1399" s="8" t="s">
        <v>6721</v>
      </c>
      <c r="I1399" s="8" t="s">
        <v>675</v>
      </c>
      <c r="J1399" s="16" t="s">
        <v>6722</v>
      </c>
      <c r="K1399" s="2" t="s">
        <v>1195</v>
      </c>
      <c r="L1399" s="8" t="s">
        <v>1196</v>
      </c>
      <c r="M1399" s="8" t="s">
        <v>27</v>
      </c>
      <c r="N1399" s="8" t="s">
        <v>6723</v>
      </c>
      <c r="O1399" s="8" t="s">
        <v>1018</v>
      </c>
      <c r="P1399" s="8" t="s">
        <v>405</v>
      </c>
      <c r="Q1399" s="12" t="s">
        <v>6724</v>
      </c>
      <c r="R1399" s="8" t="s">
        <v>100</v>
      </c>
      <c r="S1399" s="7" t="s">
        <v>28</v>
      </c>
      <c r="T1399" s="6"/>
      <c r="U1399" s="8"/>
    </row>
    <row r="1400" spans="1:21" ht="13.5" customHeight="1">
      <c r="A1400" s="8" t="s">
        <v>6725</v>
      </c>
      <c r="B1400" s="16">
        <v>28</v>
      </c>
      <c r="C1400" s="8" t="s">
        <v>20</v>
      </c>
      <c r="D1400" s="8" t="s">
        <v>85</v>
      </c>
      <c r="E1400" s="8" t="s">
        <v>6726</v>
      </c>
      <c r="F1400" s="17">
        <v>41929</v>
      </c>
      <c r="G1400" s="8" t="s">
        <v>6727</v>
      </c>
      <c r="H1400" s="8" t="s">
        <v>6728</v>
      </c>
      <c r="I1400" s="8" t="s">
        <v>94</v>
      </c>
      <c r="J1400" s="16" t="s">
        <v>6729</v>
      </c>
      <c r="K1400" s="2" t="s">
        <v>1795</v>
      </c>
      <c r="L1400" s="8" t="s">
        <v>6730</v>
      </c>
      <c r="M1400" s="8" t="s">
        <v>27</v>
      </c>
      <c r="N1400" s="8" t="s">
        <v>6731</v>
      </c>
      <c r="O1400" s="8" t="s">
        <v>1018</v>
      </c>
      <c r="P1400" s="8" t="s">
        <v>405</v>
      </c>
      <c r="Q1400" s="12" t="s">
        <v>6732</v>
      </c>
      <c r="R1400" s="8" t="s">
        <v>100</v>
      </c>
      <c r="S1400" s="7" t="s">
        <v>18</v>
      </c>
      <c r="T1400" s="6"/>
      <c r="U1400" s="8"/>
    </row>
    <row r="1401" spans="1:21" ht="13.5" customHeight="1">
      <c r="A1401" s="8" t="s">
        <v>6742</v>
      </c>
      <c r="B1401" s="16">
        <v>31</v>
      </c>
      <c r="C1401" s="8" t="s">
        <v>20</v>
      </c>
      <c r="D1401" s="8" t="s">
        <v>37</v>
      </c>
      <c r="E1401" s="8" t="s">
        <v>6743</v>
      </c>
      <c r="F1401" s="17">
        <v>41929</v>
      </c>
      <c r="G1401" s="8" t="s">
        <v>6744</v>
      </c>
      <c r="H1401" s="8" t="s">
        <v>5316</v>
      </c>
      <c r="I1401" s="8" t="s">
        <v>124</v>
      </c>
      <c r="J1401" s="16" t="s">
        <v>5317</v>
      </c>
      <c r="K1401" s="2" t="s">
        <v>639</v>
      </c>
      <c r="L1401" s="8" t="s">
        <v>6745</v>
      </c>
      <c r="M1401" s="8" t="s">
        <v>27</v>
      </c>
      <c r="N1401" s="8" t="s">
        <v>6746</v>
      </c>
      <c r="O1401" s="8" t="s">
        <v>404</v>
      </c>
      <c r="P1401" s="8" t="s">
        <v>405</v>
      </c>
      <c r="Q1401" s="12" t="s">
        <v>6747</v>
      </c>
      <c r="R1401" s="8" t="s">
        <v>29</v>
      </c>
      <c r="S1401" s="7" t="s">
        <v>35</v>
      </c>
      <c r="T1401" s="6"/>
      <c r="U1401" s="8"/>
    </row>
    <row r="1402" spans="1:21" ht="13.5" customHeight="1">
      <c r="A1402" s="8" t="s">
        <v>6733</v>
      </c>
      <c r="B1402" s="16">
        <v>75</v>
      </c>
      <c r="C1402" s="8" t="s">
        <v>20</v>
      </c>
      <c r="D1402" s="8" t="s">
        <v>37</v>
      </c>
      <c r="E1402" s="8" t="s">
        <v>6734</v>
      </c>
      <c r="F1402" s="17">
        <v>41929</v>
      </c>
      <c r="G1402" s="8" t="s">
        <v>6735</v>
      </c>
      <c r="H1402" s="8" t="s">
        <v>6736</v>
      </c>
      <c r="I1402" s="8" t="s">
        <v>986</v>
      </c>
      <c r="J1402" s="16" t="s">
        <v>6737</v>
      </c>
      <c r="K1402" s="2" t="s">
        <v>6738</v>
      </c>
      <c r="L1402" s="8" t="s">
        <v>6739</v>
      </c>
      <c r="M1402" s="8" t="s">
        <v>27</v>
      </c>
      <c r="N1402" s="8" t="s">
        <v>6740</v>
      </c>
      <c r="O1402" s="8" t="s">
        <v>404</v>
      </c>
      <c r="P1402" s="8" t="s">
        <v>405</v>
      </c>
      <c r="Q1402" s="12" t="s">
        <v>6741</v>
      </c>
      <c r="R1402" s="8" t="s">
        <v>29</v>
      </c>
      <c r="S1402" s="7" t="s">
        <v>28</v>
      </c>
      <c r="T1402" s="6"/>
      <c r="U1402" s="8"/>
    </row>
    <row r="1403" spans="1:21" ht="13.5" customHeight="1">
      <c r="A1403" s="8" t="s">
        <v>6748</v>
      </c>
      <c r="B1403" s="16">
        <v>59</v>
      </c>
      <c r="C1403" s="8" t="s">
        <v>20</v>
      </c>
      <c r="D1403" s="8" t="s">
        <v>37</v>
      </c>
      <c r="E1403" s="8" t="s">
        <v>6749</v>
      </c>
      <c r="F1403" s="17">
        <v>41928</v>
      </c>
      <c r="G1403" s="8" t="s">
        <v>6750</v>
      </c>
      <c r="H1403" s="8" t="s">
        <v>6751</v>
      </c>
      <c r="I1403" s="8" t="s">
        <v>374</v>
      </c>
      <c r="J1403" s="16" t="s">
        <v>6752</v>
      </c>
      <c r="K1403" s="2" t="s">
        <v>6753</v>
      </c>
      <c r="L1403" s="8" t="s">
        <v>6754</v>
      </c>
      <c r="M1403" s="8" t="s">
        <v>27</v>
      </c>
      <c r="N1403" s="8" t="s">
        <v>6755</v>
      </c>
      <c r="O1403" s="8" t="s">
        <v>554</v>
      </c>
      <c r="P1403" s="8" t="s">
        <v>405</v>
      </c>
      <c r="Q1403" s="12" t="s">
        <v>6756</v>
      </c>
      <c r="R1403" s="8" t="s">
        <v>29</v>
      </c>
      <c r="S1403" s="7" t="s">
        <v>28</v>
      </c>
      <c r="T1403" s="6"/>
      <c r="U1403" s="8"/>
    </row>
    <row r="1404" spans="1:21" ht="13.5" customHeight="1">
      <c r="A1404" s="8" t="s">
        <v>6765</v>
      </c>
      <c r="B1404" s="16">
        <v>36</v>
      </c>
      <c r="C1404" s="8" t="s">
        <v>20</v>
      </c>
      <c r="D1404" s="8" t="s">
        <v>37</v>
      </c>
      <c r="F1404" s="17">
        <v>41925</v>
      </c>
      <c r="G1404" s="8" t="s">
        <v>6766</v>
      </c>
      <c r="H1404" s="8" t="s">
        <v>6767</v>
      </c>
      <c r="I1404" s="8" t="s">
        <v>399</v>
      </c>
      <c r="J1404" s="16" t="s">
        <v>6768</v>
      </c>
      <c r="K1404" s="2" t="s">
        <v>6769</v>
      </c>
      <c r="L1404" s="8" t="s">
        <v>6770</v>
      </c>
      <c r="M1404" s="8" t="s">
        <v>27</v>
      </c>
      <c r="N1404" s="8" t="s">
        <v>6771</v>
      </c>
      <c r="O1404" s="8" t="s">
        <v>554</v>
      </c>
      <c r="P1404" s="8" t="s">
        <v>405</v>
      </c>
      <c r="Q1404" s="12" t="s">
        <v>6772</v>
      </c>
      <c r="R1404" s="8" t="s">
        <v>100</v>
      </c>
      <c r="S1404" s="7" t="s">
        <v>28</v>
      </c>
      <c r="T1404" s="6"/>
      <c r="U1404" s="8"/>
    </row>
    <row r="1405" spans="1:21" ht="13.5" customHeight="1">
      <c r="A1405" s="8" t="s">
        <v>6773</v>
      </c>
      <c r="B1405" s="16">
        <v>35</v>
      </c>
      <c r="C1405" s="8" t="s">
        <v>20</v>
      </c>
      <c r="D1405" s="8" t="s">
        <v>37</v>
      </c>
      <c r="E1405" s="8" t="s">
        <v>6774</v>
      </c>
      <c r="F1405" s="17">
        <v>41925</v>
      </c>
      <c r="G1405" s="8" t="s">
        <v>6775</v>
      </c>
      <c r="H1405" s="8" t="s">
        <v>424</v>
      </c>
      <c r="I1405" s="8" t="s">
        <v>73</v>
      </c>
      <c r="J1405" s="16" t="s">
        <v>6776</v>
      </c>
      <c r="K1405" s="2" t="s">
        <v>6777</v>
      </c>
      <c r="L1405" s="8" t="s">
        <v>5704</v>
      </c>
      <c r="M1405" s="8" t="s">
        <v>27</v>
      </c>
      <c r="N1405" s="8" t="s">
        <v>6778</v>
      </c>
      <c r="O1405" s="8" t="s">
        <v>1018</v>
      </c>
      <c r="P1405" s="8" t="s">
        <v>405</v>
      </c>
      <c r="Q1405" s="12" t="s">
        <v>6779</v>
      </c>
      <c r="R1405" s="8" t="s">
        <v>100</v>
      </c>
      <c r="S1405" s="7" t="s">
        <v>28</v>
      </c>
      <c r="T1405" s="6"/>
      <c r="U1405" s="8"/>
    </row>
    <row r="1406" spans="1:21" ht="13.5" customHeight="1">
      <c r="A1406" s="8" t="s">
        <v>6757</v>
      </c>
      <c r="B1406" s="16">
        <v>36</v>
      </c>
      <c r="C1406" s="8" t="s">
        <v>20</v>
      </c>
      <c r="D1406" s="8" t="s">
        <v>48</v>
      </c>
      <c r="F1406" s="17">
        <v>41925</v>
      </c>
      <c r="G1406" s="8" t="s">
        <v>6758</v>
      </c>
      <c r="H1406" s="8" t="s">
        <v>6759</v>
      </c>
      <c r="I1406" s="8" t="s">
        <v>73</v>
      </c>
      <c r="J1406" s="16" t="s">
        <v>6760</v>
      </c>
      <c r="K1406" s="2" t="s">
        <v>6761</v>
      </c>
      <c r="L1406" s="8" t="s">
        <v>6762</v>
      </c>
      <c r="M1406" s="8" t="s">
        <v>27</v>
      </c>
      <c r="N1406" s="8" t="s">
        <v>6763</v>
      </c>
      <c r="O1406" s="8" t="s">
        <v>1018</v>
      </c>
      <c r="P1406" s="8" t="s">
        <v>405</v>
      </c>
      <c r="Q1406" s="12" t="s">
        <v>6764</v>
      </c>
      <c r="R1406" s="8" t="s">
        <v>100</v>
      </c>
      <c r="S1406" s="7" t="s">
        <v>28</v>
      </c>
      <c r="T1406" s="6"/>
      <c r="U1406" s="8"/>
    </row>
    <row r="1407" spans="1:21" ht="13.5" customHeight="1">
      <c r="A1407" s="8" t="s">
        <v>6791</v>
      </c>
      <c r="B1407" s="16">
        <v>27</v>
      </c>
      <c r="C1407" s="8" t="s">
        <v>20</v>
      </c>
      <c r="D1407" s="8" t="s">
        <v>48</v>
      </c>
      <c r="E1407" s="8" t="s">
        <v>6792</v>
      </c>
      <c r="F1407" s="17">
        <v>41924</v>
      </c>
      <c r="G1407" s="8" t="s">
        <v>6793</v>
      </c>
      <c r="H1407" s="8" t="s">
        <v>6794</v>
      </c>
      <c r="I1407" s="8" t="s">
        <v>212</v>
      </c>
      <c r="J1407" s="16" t="s">
        <v>6795</v>
      </c>
      <c r="K1407" s="2" t="s">
        <v>6796</v>
      </c>
      <c r="L1407" s="8" t="s">
        <v>6797</v>
      </c>
      <c r="M1407" s="8" t="s">
        <v>27</v>
      </c>
      <c r="N1407" s="8" t="s">
        <v>6798</v>
      </c>
      <c r="O1407" s="8" t="s">
        <v>1170</v>
      </c>
      <c r="P1407" s="8" t="s">
        <v>1171</v>
      </c>
      <c r="Q1407" s="12" t="s">
        <v>6799</v>
      </c>
      <c r="R1407" s="8" t="s">
        <v>100</v>
      </c>
      <c r="S1407" s="7" t="s">
        <v>18</v>
      </c>
      <c r="T1407" s="6"/>
      <c r="U1407" s="8"/>
    </row>
    <row r="1408" spans="1:21" ht="13.5" customHeight="1">
      <c r="A1408" s="8" t="s">
        <v>6800</v>
      </c>
      <c r="B1408" s="16">
        <v>52</v>
      </c>
      <c r="C1408" s="8" t="s">
        <v>20</v>
      </c>
      <c r="D1408" s="8" t="s">
        <v>37</v>
      </c>
      <c r="F1408" s="17">
        <v>41924</v>
      </c>
      <c r="G1408" s="8" t="s">
        <v>6801</v>
      </c>
      <c r="H1408" s="8" t="s">
        <v>6802</v>
      </c>
      <c r="I1408" s="8" t="s">
        <v>4424</v>
      </c>
      <c r="J1408" s="16" t="s">
        <v>6803</v>
      </c>
      <c r="K1408" s="2" t="s">
        <v>4426</v>
      </c>
      <c r="L1408" s="8" t="s">
        <v>4427</v>
      </c>
      <c r="M1408" s="8" t="s">
        <v>27</v>
      </c>
      <c r="N1408" s="8" t="s">
        <v>6804</v>
      </c>
      <c r="O1408" s="8" t="s">
        <v>1018</v>
      </c>
      <c r="P1408" s="8" t="s">
        <v>405</v>
      </c>
      <c r="Q1408" s="12" t="s">
        <v>6805</v>
      </c>
      <c r="R1408" s="8" t="s">
        <v>100</v>
      </c>
      <c r="S1408" s="7" t="s">
        <v>28</v>
      </c>
      <c r="T1408" s="6"/>
      <c r="U1408" s="8"/>
    </row>
    <row r="1409" spans="1:21" ht="13.5" customHeight="1">
      <c r="A1409" s="8" t="s">
        <v>6814</v>
      </c>
      <c r="B1409" s="16">
        <v>63</v>
      </c>
      <c r="C1409" s="8" t="s">
        <v>20</v>
      </c>
      <c r="D1409" s="8" t="s">
        <v>37</v>
      </c>
      <c r="E1409" s="8" t="s">
        <v>6807</v>
      </c>
      <c r="F1409" s="17">
        <v>41924</v>
      </c>
      <c r="G1409" s="8" t="s">
        <v>6808</v>
      </c>
      <c r="H1409" s="8" t="s">
        <v>6809</v>
      </c>
      <c r="I1409" s="8" t="s">
        <v>323</v>
      </c>
      <c r="J1409" s="16" t="s">
        <v>6810</v>
      </c>
      <c r="K1409" s="2" t="s">
        <v>1205</v>
      </c>
      <c r="L1409" s="8" t="s">
        <v>6811</v>
      </c>
      <c r="M1409" s="8" t="s">
        <v>383</v>
      </c>
      <c r="N1409" s="8" t="s">
        <v>6815</v>
      </c>
      <c r="O1409" s="8" t="s">
        <v>1018</v>
      </c>
      <c r="P1409" s="8" t="s">
        <v>405</v>
      </c>
      <c r="Q1409" s="12" t="s">
        <v>6813</v>
      </c>
      <c r="R1409" s="8" t="s">
        <v>100</v>
      </c>
      <c r="S1409" s="7" t="s">
        <v>18</v>
      </c>
      <c r="T1409" s="6"/>
      <c r="U1409" s="8"/>
    </row>
    <row r="1410" spans="1:21" ht="13.5" customHeight="1">
      <c r="A1410" s="8" t="s">
        <v>6785</v>
      </c>
      <c r="B1410" s="16">
        <v>20</v>
      </c>
      <c r="C1410" s="8" t="s">
        <v>20</v>
      </c>
      <c r="D1410" s="8" t="s">
        <v>85</v>
      </c>
      <c r="E1410" s="8" t="s">
        <v>6786</v>
      </c>
      <c r="F1410" s="17">
        <v>41924</v>
      </c>
      <c r="G1410" s="8" t="s">
        <v>6787</v>
      </c>
      <c r="H1410" s="8" t="s">
        <v>1583</v>
      </c>
      <c r="I1410" s="8" t="s">
        <v>62</v>
      </c>
      <c r="J1410" s="16" t="s">
        <v>6788</v>
      </c>
      <c r="K1410" s="2" t="s">
        <v>644</v>
      </c>
      <c r="L1410" s="8" t="s">
        <v>1585</v>
      </c>
      <c r="M1410" s="8" t="s">
        <v>27</v>
      </c>
      <c r="N1410" s="8" t="s">
        <v>6789</v>
      </c>
      <c r="O1410" s="8" t="s">
        <v>1018</v>
      </c>
      <c r="P1410" s="8" t="s">
        <v>405</v>
      </c>
      <c r="Q1410" s="12" t="s">
        <v>6790</v>
      </c>
      <c r="R1410" s="8" t="s">
        <v>100</v>
      </c>
      <c r="S1410" s="7" t="s">
        <v>28</v>
      </c>
      <c r="T1410" s="6"/>
      <c r="U1410" s="8"/>
    </row>
    <row r="1411" spans="1:21" ht="13.5" customHeight="1">
      <c r="A1411" s="8" t="s">
        <v>6806</v>
      </c>
      <c r="B1411" s="16">
        <v>49</v>
      </c>
      <c r="C1411" s="8" t="s">
        <v>115</v>
      </c>
      <c r="D1411" s="8" t="s">
        <v>37</v>
      </c>
      <c r="E1411" s="8" t="s">
        <v>6807</v>
      </c>
      <c r="F1411" s="17">
        <v>41924</v>
      </c>
      <c r="G1411" s="8" t="s">
        <v>6808</v>
      </c>
      <c r="H1411" s="8" t="s">
        <v>6809</v>
      </c>
      <c r="I1411" s="8" t="s">
        <v>323</v>
      </c>
      <c r="J1411" s="16" t="s">
        <v>6810</v>
      </c>
      <c r="K1411" s="2" t="s">
        <v>1205</v>
      </c>
      <c r="L1411" s="8" t="s">
        <v>6811</v>
      </c>
      <c r="M1411" s="8" t="s">
        <v>383</v>
      </c>
      <c r="N1411" s="8" t="s">
        <v>6812</v>
      </c>
      <c r="O1411" s="8" t="s">
        <v>1018</v>
      </c>
      <c r="P1411" s="8" t="s">
        <v>405</v>
      </c>
      <c r="Q1411" s="12" t="s">
        <v>6813</v>
      </c>
      <c r="R1411" s="8" t="s">
        <v>100</v>
      </c>
      <c r="S1411" s="7" t="s">
        <v>18</v>
      </c>
      <c r="T1411" s="6"/>
      <c r="U1411" s="8"/>
    </row>
    <row r="1412" spans="1:21" ht="13.5" customHeight="1">
      <c r="A1412" s="8" t="s">
        <v>6780</v>
      </c>
      <c r="B1412" s="16">
        <v>25</v>
      </c>
      <c r="C1412" s="8" t="s">
        <v>20</v>
      </c>
      <c r="D1412" s="8" t="s">
        <v>85</v>
      </c>
      <c r="F1412" s="17">
        <v>41924</v>
      </c>
      <c r="G1412" s="8" t="s">
        <v>6781</v>
      </c>
      <c r="H1412" s="8" t="s">
        <v>87</v>
      </c>
      <c r="I1412" s="8" t="s">
        <v>44</v>
      </c>
      <c r="J1412" s="16" t="s">
        <v>6782</v>
      </c>
      <c r="K1412" s="2" t="s">
        <v>88</v>
      </c>
      <c r="L1412" s="8" t="s">
        <v>89</v>
      </c>
      <c r="M1412" s="8" t="s">
        <v>27</v>
      </c>
      <c r="N1412" s="8" t="s">
        <v>6783</v>
      </c>
      <c r="O1412" s="8" t="s">
        <v>1018</v>
      </c>
      <c r="P1412" s="8" t="s">
        <v>405</v>
      </c>
      <c r="Q1412" s="12" t="s">
        <v>6784</v>
      </c>
      <c r="R1412" s="8" t="s">
        <v>100</v>
      </c>
      <c r="S1412" s="7" t="s">
        <v>35</v>
      </c>
      <c r="T1412" s="6"/>
      <c r="U1412" s="8"/>
    </row>
    <row r="1413" spans="1:21" ht="13.5" customHeight="1">
      <c r="A1413" s="8" t="s">
        <v>6816</v>
      </c>
      <c r="B1413" s="16">
        <v>51</v>
      </c>
      <c r="C1413" s="8" t="s">
        <v>20</v>
      </c>
      <c r="D1413" s="8" t="s">
        <v>85</v>
      </c>
      <c r="E1413" s="8" t="s">
        <v>6817</v>
      </c>
      <c r="F1413" s="17">
        <v>41923</v>
      </c>
      <c r="G1413" s="8" t="s">
        <v>6818</v>
      </c>
      <c r="H1413" s="8" t="s">
        <v>6819</v>
      </c>
      <c r="I1413" s="8" t="s">
        <v>32</v>
      </c>
      <c r="J1413" s="16" t="s">
        <v>6820</v>
      </c>
      <c r="K1413" s="2" t="s">
        <v>2236</v>
      </c>
      <c r="L1413" s="8" t="s">
        <v>6821</v>
      </c>
      <c r="M1413" s="8" t="s">
        <v>27</v>
      </c>
      <c r="N1413" s="8" t="s">
        <v>6822</v>
      </c>
      <c r="O1413" s="8" t="s">
        <v>1018</v>
      </c>
      <c r="P1413" s="8" t="s">
        <v>405</v>
      </c>
      <c r="Q1413" s="12" t="s">
        <v>6823</v>
      </c>
      <c r="R1413" s="8" t="s">
        <v>559</v>
      </c>
      <c r="S1413" s="7" t="s">
        <v>28</v>
      </c>
      <c r="T1413" s="6"/>
      <c r="U1413" s="8"/>
    </row>
    <row r="1414" spans="1:21" ht="13.5" customHeight="1">
      <c r="A1414" s="8" t="s">
        <v>6829</v>
      </c>
      <c r="B1414" s="16">
        <v>33</v>
      </c>
      <c r="C1414" s="8" t="s">
        <v>20</v>
      </c>
      <c r="D1414" s="8" t="s">
        <v>37</v>
      </c>
      <c r="F1414" s="17">
        <v>41923</v>
      </c>
      <c r="G1414" s="8" t="s">
        <v>6830</v>
      </c>
      <c r="H1414" s="8" t="s">
        <v>934</v>
      </c>
      <c r="I1414" s="8" t="s">
        <v>73</v>
      </c>
      <c r="J1414" s="16" t="s">
        <v>6831</v>
      </c>
      <c r="K1414" s="2" t="s">
        <v>74</v>
      </c>
      <c r="L1414" s="8" t="s">
        <v>935</v>
      </c>
      <c r="M1414" s="8" t="s">
        <v>27</v>
      </c>
      <c r="N1414" s="8" t="s">
        <v>6832</v>
      </c>
      <c r="O1414" s="8" t="s">
        <v>1018</v>
      </c>
      <c r="P1414" s="8" t="s">
        <v>405</v>
      </c>
      <c r="Q1414" s="12" t="s">
        <v>6833</v>
      </c>
      <c r="R1414" s="8" t="s">
        <v>100</v>
      </c>
      <c r="S1414" s="7" t="s">
        <v>28</v>
      </c>
      <c r="T1414" s="6"/>
      <c r="U1414" s="8"/>
    </row>
    <row r="1415" spans="1:21" ht="13.5" customHeight="1">
      <c r="A1415" s="8" t="s">
        <v>6824</v>
      </c>
      <c r="B1415" s="16">
        <v>40</v>
      </c>
      <c r="C1415" s="8" t="s">
        <v>20</v>
      </c>
      <c r="D1415" s="8" t="s">
        <v>30</v>
      </c>
      <c r="F1415" s="17">
        <v>41923</v>
      </c>
      <c r="G1415" s="8" t="s">
        <v>6825</v>
      </c>
      <c r="H1415" s="8" t="s">
        <v>434</v>
      </c>
      <c r="I1415" s="8" t="s">
        <v>435</v>
      </c>
      <c r="J1415" s="16" t="s">
        <v>6826</v>
      </c>
      <c r="K1415" s="2" t="s">
        <v>3435</v>
      </c>
      <c r="L1415" s="8" t="s">
        <v>438</v>
      </c>
      <c r="M1415" s="8" t="s">
        <v>27</v>
      </c>
      <c r="N1415" s="8" t="s">
        <v>6827</v>
      </c>
      <c r="O1415" s="8" t="s">
        <v>404</v>
      </c>
      <c r="P1415" s="8" t="s">
        <v>405</v>
      </c>
      <c r="Q1415" s="12" t="s">
        <v>6828</v>
      </c>
      <c r="R1415" s="8" t="s">
        <v>559</v>
      </c>
      <c r="S1415" s="7" t="s">
        <v>28</v>
      </c>
      <c r="T1415" s="6"/>
      <c r="U1415" s="8"/>
    </row>
    <row r="1416" spans="1:21" ht="13.5" customHeight="1">
      <c r="A1416" s="8" t="s">
        <v>6839</v>
      </c>
      <c r="B1416" s="16">
        <v>20</v>
      </c>
      <c r="C1416" s="8" t="s">
        <v>20</v>
      </c>
      <c r="D1416" s="8" t="s">
        <v>85</v>
      </c>
      <c r="E1416" s="8" t="s">
        <v>6840</v>
      </c>
      <c r="F1416" s="17">
        <v>41922</v>
      </c>
      <c r="G1416" s="8" t="s">
        <v>6836</v>
      </c>
      <c r="H1416" s="8" t="s">
        <v>1300</v>
      </c>
      <c r="I1416" s="8" t="s">
        <v>69</v>
      </c>
      <c r="J1416" s="16" t="s">
        <v>4665</v>
      </c>
      <c r="K1416" s="2" t="s">
        <v>1301</v>
      </c>
      <c r="L1416" s="8" t="s">
        <v>12726</v>
      </c>
      <c r="M1416" s="8" t="s">
        <v>27</v>
      </c>
      <c r="N1416" s="8" t="s">
        <v>6841</v>
      </c>
      <c r="O1416" s="8" t="s">
        <v>1018</v>
      </c>
      <c r="P1416" s="8" t="s">
        <v>405</v>
      </c>
      <c r="Q1416" s="12" t="s">
        <v>6838</v>
      </c>
      <c r="R1416" s="8" t="s">
        <v>100</v>
      </c>
      <c r="S1416" s="7" t="s">
        <v>28</v>
      </c>
      <c r="T1416" s="6"/>
      <c r="U1416" s="8"/>
    </row>
    <row r="1417" spans="1:21" ht="13.5" customHeight="1">
      <c r="A1417" s="8" t="s">
        <v>6842</v>
      </c>
      <c r="B1417" s="16">
        <v>40</v>
      </c>
      <c r="C1417" s="8" t="s">
        <v>20</v>
      </c>
      <c r="D1417" s="8" t="s">
        <v>37</v>
      </c>
      <c r="E1417" s="8" t="s">
        <v>6843</v>
      </c>
      <c r="F1417" s="17">
        <v>41922</v>
      </c>
      <c r="G1417" s="8" t="s">
        <v>6844</v>
      </c>
      <c r="H1417" s="8" t="s">
        <v>565</v>
      </c>
      <c r="I1417" s="8" t="s">
        <v>124</v>
      </c>
      <c r="J1417" s="16" t="s">
        <v>6845</v>
      </c>
      <c r="K1417" s="2" t="s">
        <v>566</v>
      </c>
      <c r="L1417" s="8" t="s">
        <v>6846</v>
      </c>
      <c r="M1417" s="8" t="s">
        <v>27</v>
      </c>
      <c r="N1417" s="8" t="s">
        <v>6847</v>
      </c>
      <c r="O1417" s="8" t="s">
        <v>1018</v>
      </c>
      <c r="P1417" s="8" t="s">
        <v>405</v>
      </c>
      <c r="Q1417" s="12" t="s">
        <v>6848</v>
      </c>
      <c r="R1417" s="8" t="s">
        <v>100</v>
      </c>
      <c r="S1417" s="7" t="s">
        <v>28</v>
      </c>
      <c r="T1417" s="6"/>
      <c r="U1417" s="8"/>
    </row>
    <row r="1418" spans="1:21" ht="13.5" customHeight="1">
      <c r="A1418" s="8" t="s">
        <v>6834</v>
      </c>
      <c r="B1418" s="16">
        <v>18</v>
      </c>
      <c r="C1418" s="8" t="s">
        <v>20</v>
      </c>
      <c r="D1418" s="8" t="s">
        <v>85</v>
      </c>
      <c r="E1418" s="8" t="s">
        <v>6835</v>
      </c>
      <c r="F1418" s="17">
        <v>41922</v>
      </c>
      <c r="G1418" s="8" t="s">
        <v>6836</v>
      </c>
      <c r="H1418" s="8" t="s">
        <v>1300</v>
      </c>
      <c r="I1418" s="8" t="s">
        <v>69</v>
      </c>
      <c r="J1418" s="16" t="s">
        <v>4665</v>
      </c>
      <c r="K1418" s="2" t="s">
        <v>1301</v>
      </c>
      <c r="L1418" s="8" t="s">
        <v>12726</v>
      </c>
      <c r="M1418" s="8" t="s">
        <v>27</v>
      </c>
      <c r="N1418" s="8" t="s">
        <v>6837</v>
      </c>
      <c r="O1418" s="8" t="s">
        <v>1018</v>
      </c>
      <c r="P1418" s="8" t="s">
        <v>405</v>
      </c>
      <c r="Q1418" s="12" t="s">
        <v>6838</v>
      </c>
      <c r="R1418" s="8" t="s">
        <v>100</v>
      </c>
      <c r="S1418" s="7" t="s">
        <v>28</v>
      </c>
      <c r="T1418" s="6"/>
      <c r="U1418" s="8"/>
    </row>
    <row r="1419" spans="1:21" ht="13.5" customHeight="1">
      <c r="A1419" s="8" t="s">
        <v>6849</v>
      </c>
      <c r="B1419" s="16">
        <v>39</v>
      </c>
      <c r="C1419" s="8" t="s">
        <v>20</v>
      </c>
      <c r="D1419" s="8" t="s">
        <v>85</v>
      </c>
      <c r="E1419" s="8" t="s">
        <v>6850</v>
      </c>
      <c r="F1419" s="17">
        <v>41921</v>
      </c>
      <c r="G1419" s="8" t="s">
        <v>6851</v>
      </c>
      <c r="H1419" s="8" t="s">
        <v>1043</v>
      </c>
      <c r="I1419" s="8" t="s">
        <v>175</v>
      </c>
      <c r="J1419" s="16" t="s">
        <v>6852</v>
      </c>
      <c r="K1419" s="2" t="s">
        <v>1317</v>
      </c>
      <c r="L1419" s="8" t="s">
        <v>870</v>
      </c>
      <c r="M1419" s="8" t="s">
        <v>27</v>
      </c>
      <c r="N1419" s="8" t="s">
        <v>6853</v>
      </c>
      <c r="O1419" s="8" t="s">
        <v>1018</v>
      </c>
      <c r="P1419" s="8" t="s">
        <v>405</v>
      </c>
      <c r="Q1419" s="12" t="s">
        <v>6854</v>
      </c>
      <c r="R1419" s="8" t="s">
        <v>100</v>
      </c>
      <c r="S1419" s="7" t="s">
        <v>28</v>
      </c>
      <c r="T1419" s="6"/>
      <c r="U1419" s="8"/>
    </row>
    <row r="1420" spans="1:21" ht="13.5" customHeight="1">
      <c r="A1420" s="8" t="s">
        <v>6855</v>
      </c>
      <c r="B1420" s="16">
        <v>51</v>
      </c>
      <c r="C1420" s="8" t="s">
        <v>20</v>
      </c>
      <c r="D1420" s="8" t="s">
        <v>37</v>
      </c>
      <c r="E1420" s="8" t="s">
        <v>6856</v>
      </c>
      <c r="F1420" s="17">
        <v>41921</v>
      </c>
      <c r="G1420" s="8" t="s">
        <v>6857</v>
      </c>
      <c r="H1420" s="8" t="s">
        <v>6858</v>
      </c>
      <c r="I1420" s="8" t="s">
        <v>135</v>
      </c>
      <c r="J1420" s="16" t="s">
        <v>6859</v>
      </c>
      <c r="K1420" s="2" t="s">
        <v>1081</v>
      </c>
      <c r="L1420" s="8" t="s">
        <v>6860</v>
      </c>
      <c r="M1420" s="8" t="s">
        <v>27</v>
      </c>
      <c r="N1420" s="8" t="s">
        <v>6861</v>
      </c>
      <c r="O1420" s="8" t="s">
        <v>404</v>
      </c>
      <c r="P1420" s="8" t="s">
        <v>405</v>
      </c>
      <c r="Q1420" s="12" t="s">
        <v>6862</v>
      </c>
      <c r="R1420" s="8" t="s">
        <v>100</v>
      </c>
      <c r="S1420" s="7" t="s">
        <v>28</v>
      </c>
      <c r="T1420" s="6"/>
      <c r="U1420" s="8"/>
    </row>
    <row r="1421" spans="1:21" ht="13.5" customHeight="1">
      <c r="A1421" s="8" t="s">
        <v>6881</v>
      </c>
      <c r="B1421" s="16">
        <v>35</v>
      </c>
      <c r="C1421" s="8" t="s">
        <v>20</v>
      </c>
      <c r="D1421" s="8" t="s">
        <v>37</v>
      </c>
      <c r="E1421" s="8" t="s">
        <v>6882</v>
      </c>
      <c r="F1421" s="17">
        <v>41920</v>
      </c>
      <c r="G1421" s="8" t="s">
        <v>6883</v>
      </c>
      <c r="H1421" s="8" t="s">
        <v>2513</v>
      </c>
      <c r="I1421" s="8" t="s">
        <v>399</v>
      </c>
      <c r="J1421" s="16" t="s">
        <v>6884</v>
      </c>
      <c r="K1421" s="2" t="s">
        <v>2513</v>
      </c>
      <c r="L1421" s="8" t="s">
        <v>3419</v>
      </c>
      <c r="M1421" s="8" t="s">
        <v>27</v>
      </c>
      <c r="N1421" s="8" t="s">
        <v>6885</v>
      </c>
      <c r="O1421" s="8" t="s">
        <v>1018</v>
      </c>
      <c r="P1421" s="8" t="s">
        <v>405</v>
      </c>
      <c r="Q1421" s="12" t="s">
        <v>6886</v>
      </c>
      <c r="R1421" s="8" t="s">
        <v>100</v>
      </c>
      <c r="S1421" s="7" t="s">
        <v>28</v>
      </c>
      <c r="T1421" s="6"/>
      <c r="U1421" s="8"/>
    </row>
    <row r="1422" spans="1:21" ht="13.5" customHeight="1">
      <c r="A1422" s="8" t="s">
        <v>6869</v>
      </c>
      <c r="B1422" s="16">
        <v>20</v>
      </c>
      <c r="C1422" s="8" t="s">
        <v>20</v>
      </c>
      <c r="D1422" s="8" t="s">
        <v>48</v>
      </c>
      <c r="F1422" s="17">
        <v>41920</v>
      </c>
      <c r="G1422" s="8" t="s">
        <v>6870</v>
      </c>
      <c r="H1422" s="8" t="s">
        <v>1850</v>
      </c>
      <c r="I1422" s="8" t="s">
        <v>81</v>
      </c>
      <c r="J1422" s="16" t="s">
        <v>6871</v>
      </c>
      <c r="K1422" s="2" t="s">
        <v>1850</v>
      </c>
      <c r="L1422" s="8" t="s">
        <v>6872</v>
      </c>
      <c r="M1422" s="8" t="s">
        <v>27</v>
      </c>
      <c r="N1422" s="8" t="s">
        <v>6873</v>
      </c>
      <c r="O1422" s="8" t="s">
        <v>554</v>
      </c>
      <c r="P1422" s="8" t="s">
        <v>405</v>
      </c>
      <c r="Q1422" s="12" t="s">
        <v>6874</v>
      </c>
      <c r="R1422" s="8" t="s">
        <v>100</v>
      </c>
      <c r="S1422" s="7" t="s">
        <v>383</v>
      </c>
      <c r="T1422" s="6"/>
      <c r="U1422" s="8"/>
    </row>
    <row r="1423" spans="1:21" ht="13.5" customHeight="1">
      <c r="A1423" s="8" t="s">
        <v>6863</v>
      </c>
      <c r="B1423" s="16">
        <v>18</v>
      </c>
      <c r="C1423" s="8" t="s">
        <v>20</v>
      </c>
      <c r="D1423" s="8" t="s">
        <v>85</v>
      </c>
      <c r="E1423" s="8" t="s">
        <v>6864</v>
      </c>
      <c r="F1423" s="17">
        <v>41920</v>
      </c>
      <c r="G1423" s="8" t="s">
        <v>6865</v>
      </c>
      <c r="H1423" s="8" t="s">
        <v>717</v>
      </c>
      <c r="I1423" s="8" t="s">
        <v>435</v>
      </c>
      <c r="J1423" s="16" t="s">
        <v>6866</v>
      </c>
      <c r="K1423" s="2" t="s">
        <v>717</v>
      </c>
      <c r="L1423" s="8" t="s">
        <v>4572</v>
      </c>
      <c r="M1423" s="8" t="s">
        <v>27</v>
      </c>
      <c r="N1423" s="8" t="s">
        <v>6867</v>
      </c>
      <c r="O1423" s="8" t="s">
        <v>554</v>
      </c>
      <c r="P1423" s="8" t="s">
        <v>405</v>
      </c>
      <c r="Q1423" s="12" t="s">
        <v>6868</v>
      </c>
      <c r="R1423" s="8" t="s">
        <v>100</v>
      </c>
      <c r="S1423" s="7" t="s">
        <v>35</v>
      </c>
      <c r="T1423" s="6"/>
      <c r="U1423" s="8"/>
    </row>
    <row r="1424" spans="1:21" ht="13.5" customHeight="1">
      <c r="A1424" s="8" t="s">
        <v>6875</v>
      </c>
      <c r="B1424" s="16">
        <v>41</v>
      </c>
      <c r="C1424" s="8" t="s">
        <v>20</v>
      </c>
      <c r="D1424" s="8" t="s">
        <v>950</v>
      </c>
      <c r="F1424" s="17">
        <v>41920</v>
      </c>
      <c r="G1424" s="8" t="s">
        <v>6876</v>
      </c>
      <c r="H1424" s="8" t="s">
        <v>434</v>
      </c>
      <c r="I1424" s="8" t="s">
        <v>435</v>
      </c>
      <c r="J1424" s="16" t="s">
        <v>6877</v>
      </c>
      <c r="K1424" s="2" t="s">
        <v>6878</v>
      </c>
      <c r="L1424" s="8" t="s">
        <v>438</v>
      </c>
      <c r="M1424" s="8" t="s">
        <v>27</v>
      </c>
      <c r="N1424" s="8" t="s">
        <v>6879</v>
      </c>
      <c r="O1424" s="8" t="s">
        <v>404</v>
      </c>
      <c r="P1424" s="8" t="s">
        <v>405</v>
      </c>
      <c r="Q1424" s="12" t="s">
        <v>6880</v>
      </c>
      <c r="R1424" s="8" t="s">
        <v>29</v>
      </c>
      <c r="S1424" s="7" t="s">
        <v>28</v>
      </c>
      <c r="T1424" s="6"/>
      <c r="U1424" s="8"/>
    </row>
    <row r="1425" spans="1:24" ht="13.5" customHeight="1">
      <c r="A1425" s="8" t="s">
        <v>6900</v>
      </c>
      <c r="B1425" s="16">
        <v>29</v>
      </c>
      <c r="C1425" s="8" t="s">
        <v>20</v>
      </c>
      <c r="D1425" s="8" t="s">
        <v>85</v>
      </c>
      <c r="E1425" s="8" t="s">
        <v>6901</v>
      </c>
      <c r="F1425" s="17">
        <v>41919</v>
      </c>
      <c r="G1425" s="8" t="s">
        <v>6902</v>
      </c>
      <c r="H1425" s="8" t="s">
        <v>271</v>
      </c>
      <c r="I1425" s="8" t="s">
        <v>272</v>
      </c>
      <c r="J1425" s="16" t="s">
        <v>6903</v>
      </c>
      <c r="K1425" s="2" t="s">
        <v>574</v>
      </c>
      <c r="L1425" s="8" t="s">
        <v>273</v>
      </c>
      <c r="M1425" s="8" t="s">
        <v>27</v>
      </c>
      <c r="N1425" s="8" t="s">
        <v>6904</v>
      </c>
      <c r="O1425" s="8" t="s">
        <v>1018</v>
      </c>
      <c r="P1425" s="8" t="s">
        <v>405</v>
      </c>
      <c r="Q1425" s="12" t="str">
        <f>HYPERLINK("http://www.jrn.com/ktnv/news/Family-speaks-out-after-man-killed-by-police-in-shootout-278597311.html","http://www.jrn.com/ktnv/news/Family-speaks-out-after-man-killed-by-police-in-shootout-278597311.html")</f>
        <v>http://www.jrn.com/ktnv/news/Family-speaks-out-after-man-killed-by-police-in-shootout-278597311.html</v>
      </c>
      <c r="R1425" s="8" t="s">
        <v>100</v>
      </c>
      <c r="S1425" s="7" t="s">
        <v>28</v>
      </c>
      <c r="T1425" s="6"/>
      <c r="U1425" s="8"/>
    </row>
    <row r="1426" spans="1:24" ht="13.5" customHeight="1">
      <c r="A1426" s="8" t="s">
        <v>6911</v>
      </c>
      <c r="B1426" s="16">
        <v>36</v>
      </c>
      <c r="C1426" s="8" t="s">
        <v>20</v>
      </c>
      <c r="D1426" s="8" t="s">
        <v>48</v>
      </c>
      <c r="F1426" s="17">
        <v>41919</v>
      </c>
      <c r="G1426" s="8" t="s">
        <v>6912</v>
      </c>
      <c r="H1426" s="8" t="s">
        <v>731</v>
      </c>
      <c r="I1426" s="8" t="s">
        <v>73</v>
      </c>
      <c r="J1426" s="16" t="s">
        <v>6913</v>
      </c>
      <c r="K1426" s="2" t="s">
        <v>562</v>
      </c>
      <c r="L1426" s="8" t="s">
        <v>732</v>
      </c>
      <c r="M1426" s="8" t="s">
        <v>27</v>
      </c>
      <c r="N1426" s="8" t="s">
        <v>6914</v>
      </c>
      <c r="O1426" s="8" t="s">
        <v>1018</v>
      </c>
      <c r="P1426" s="8" t="s">
        <v>405</v>
      </c>
      <c r="Q1426" s="12" t="s">
        <v>6915</v>
      </c>
      <c r="R1426" s="8" t="s">
        <v>100</v>
      </c>
      <c r="S1426" s="7" t="s">
        <v>28</v>
      </c>
      <c r="T1426" s="6"/>
      <c r="U1426" s="8"/>
    </row>
    <row r="1427" spans="1:24" ht="13.5" customHeight="1">
      <c r="A1427" s="8" t="s">
        <v>6892</v>
      </c>
      <c r="B1427" s="16">
        <v>37</v>
      </c>
      <c r="C1427" s="8" t="s">
        <v>115</v>
      </c>
      <c r="D1427" s="8" t="s">
        <v>85</v>
      </c>
      <c r="E1427" s="8"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1427" s="17">
        <v>41919</v>
      </c>
      <c r="G1427" s="8" t="s">
        <v>6893</v>
      </c>
      <c r="H1427" s="8" t="s">
        <v>807</v>
      </c>
      <c r="I1427" s="8" t="s">
        <v>73</v>
      </c>
      <c r="J1427" s="16">
        <v>76705</v>
      </c>
      <c r="K1427" s="2" t="s">
        <v>808</v>
      </c>
      <c r="L1427" s="8" t="s">
        <v>6894</v>
      </c>
      <c r="M1427" s="8" t="s">
        <v>395</v>
      </c>
      <c r="N1427" s="8" t="s">
        <v>6895</v>
      </c>
      <c r="O1427" s="8" t="s">
        <v>554</v>
      </c>
      <c r="P1427" s="8" t="s">
        <v>405</v>
      </c>
      <c r="Q1427" s="12"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1427" s="8" t="s">
        <v>972</v>
      </c>
      <c r="S1427" s="7" t="s">
        <v>18</v>
      </c>
      <c r="T1427" s="6"/>
      <c r="U1427" s="8"/>
    </row>
    <row r="1428" spans="1:24" ht="13.5" customHeight="1">
      <c r="A1428" s="8" t="s">
        <v>6896</v>
      </c>
      <c r="B1428" s="16">
        <v>36</v>
      </c>
      <c r="C1428" s="8" t="s">
        <v>115</v>
      </c>
      <c r="D1428" s="8" t="s">
        <v>85</v>
      </c>
      <c r="E1428" s="8"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1428" s="17">
        <v>41919</v>
      </c>
      <c r="G1428" s="8" t="s">
        <v>6897</v>
      </c>
      <c r="H1428" s="8" t="s">
        <v>3084</v>
      </c>
      <c r="I1428" s="8" t="s">
        <v>62</v>
      </c>
      <c r="J1428" s="16">
        <v>34482</v>
      </c>
      <c r="K1428" s="2" t="s">
        <v>424</v>
      </c>
      <c r="L1428" s="8" t="s">
        <v>6898</v>
      </c>
      <c r="M1428" s="8" t="s">
        <v>29</v>
      </c>
      <c r="N1428" s="8" t="s">
        <v>6899</v>
      </c>
      <c r="O1428" s="8" t="s">
        <v>1018</v>
      </c>
      <c r="P1428" s="8" t="s">
        <v>405</v>
      </c>
      <c r="Q1428" s="12" t="str">
        <f>HYPERLINK("http://www.miamiherald.com/news/state/florida/article2564576.html","http://www.miamiherald.com/news/state/florida/article2564576.html")</f>
        <v>http://www.miamiherald.com/news/state/florida/article2564576.html</v>
      </c>
      <c r="R1428" s="8" t="s">
        <v>100</v>
      </c>
      <c r="S1428" s="7" t="s">
        <v>18</v>
      </c>
      <c r="T1428" s="6"/>
      <c r="U1428" s="8"/>
    </row>
    <row r="1429" spans="1:24" ht="13.5" customHeight="1">
      <c r="A1429" s="8" t="s">
        <v>6905</v>
      </c>
      <c r="B1429" s="16">
        <v>26</v>
      </c>
      <c r="C1429" s="8" t="s">
        <v>20</v>
      </c>
      <c r="D1429" s="8" t="s">
        <v>85</v>
      </c>
      <c r="E1429" s="8" t="s">
        <v>6906</v>
      </c>
      <c r="F1429" s="17">
        <v>41919</v>
      </c>
      <c r="G1429" s="8" t="s">
        <v>6907</v>
      </c>
      <c r="H1429" s="8" t="s">
        <v>953</v>
      </c>
      <c r="I1429" s="8" t="s">
        <v>45</v>
      </c>
      <c r="J1429" s="16" t="s">
        <v>6908</v>
      </c>
      <c r="K1429" s="2" t="s">
        <v>953</v>
      </c>
      <c r="L1429" s="8" t="s">
        <v>954</v>
      </c>
      <c r="M1429" s="8" t="s">
        <v>27</v>
      </c>
      <c r="N1429" s="8" t="s">
        <v>6909</v>
      </c>
      <c r="O1429" s="8" t="s">
        <v>1018</v>
      </c>
      <c r="P1429" s="8" t="s">
        <v>405</v>
      </c>
      <c r="Q1429" s="12" t="s">
        <v>6910</v>
      </c>
      <c r="R1429" s="8" t="s">
        <v>100</v>
      </c>
      <c r="S1429" s="7" t="s">
        <v>28</v>
      </c>
      <c r="T1429" s="6"/>
      <c r="U1429" s="8"/>
    </row>
    <row r="1430" spans="1:24" ht="13.5" customHeight="1">
      <c r="A1430" s="8" t="s">
        <v>6887</v>
      </c>
      <c r="B1430" s="16">
        <v>34</v>
      </c>
      <c r="C1430" s="8" t="s">
        <v>20</v>
      </c>
      <c r="D1430" s="8" t="s">
        <v>85</v>
      </c>
      <c r="E1430" s="8" t="s">
        <v>6888</v>
      </c>
      <c r="F1430" s="17">
        <v>41919</v>
      </c>
      <c r="G1430" s="8" t="s">
        <v>6889</v>
      </c>
      <c r="H1430" s="8" t="s">
        <v>2177</v>
      </c>
      <c r="I1430" s="8" t="s">
        <v>94</v>
      </c>
      <c r="J1430" s="16" t="s">
        <v>6890</v>
      </c>
      <c r="K1430" s="2" t="s">
        <v>2179</v>
      </c>
      <c r="L1430" s="8" t="s">
        <v>2180</v>
      </c>
      <c r="M1430" s="8" t="s">
        <v>27</v>
      </c>
      <c r="N1430" s="8" t="s">
        <v>6891</v>
      </c>
      <c r="O1430" s="8" t="s">
        <v>404</v>
      </c>
      <c r="P1430" s="8" t="s">
        <v>405</v>
      </c>
      <c r="Q1430" s="12" t="str">
        <f>HYPERLINK("http://www.al.com/news/huntsville/index.ssf/2014/10/officer-involved_shooting_at_m.html#incart_2box","http://www.al.com/news/huntsville/index.ssf/2014/10/officer-involved_shooting_at_m.html#incart_2box")</f>
        <v>http://www.al.com/news/huntsville/index.ssf/2014/10/officer-involved_shooting_at_m.html#incart_2box</v>
      </c>
      <c r="R1430" s="8" t="s">
        <v>29</v>
      </c>
      <c r="S1430" s="7" t="s">
        <v>28</v>
      </c>
      <c r="T1430" s="6"/>
      <c r="U1430" s="8"/>
    </row>
    <row r="1431" spans="1:24" ht="13.5" customHeight="1">
      <c r="A1431" s="8" t="s">
        <v>6916</v>
      </c>
      <c r="B1431" s="16">
        <v>65</v>
      </c>
      <c r="C1431" s="8" t="s">
        <v>20</v>
      </c>
      <c r="D1431" s="8" t="s">
        <v>85</v>
      </c>
      <c r="E1431" s="8" t="s">
        <v>6917</v>
      </c>
      <c r="F1431" s="17">
        <v>41918</v>
      </c>
      <c r="G1431" s="8" t="s">
        <v>6918</v>
      </c>
      <c r="H1431" s="8" t="s">
        <v>638</v>
      </c>
      <c r="I1431" s="8" t="s">
        <v>124</v>
      </c>
      <c r="J1431" s="16" t="s">
        <v>6244</v>
      </c>
      <c r="K1431" s="2" t="s">
        <v>639</v>
      </c>
      <c r="L1431" s="8" t="s">
        <v>640</v>
      </c>
      <c r="M1431" s="8" t="s">
        <v>395</v>
      </c>
      <c r="N1431" s="8" t="s">
        <v>6919</v>
      </c>
      <c r="O1431" s="8" t="s">
        <v>1018</v>
      </c>
      <c r="P1431" s="8" t="s">
        <v>405</v>
      </c>
      <c r="Q1431" s="12" t="s">
        <v>6920</v>
      </c>
      <c r="R1431" s="8" t="s">
        <v>100</v>
      </c>
      <c r="S1431" s="7" t="s">
        <v>18</v>
      </c>
      <c r="T1431" s="6"/>
      <c r="U1431" s="8"/>
      <c r="V1431" s="8"/>
      <c r="W1431" s="8"/>
      <c r="X1431" s="8"/>
    </row>
    <row r="1432" spans="1:24" ht="13.5" customHeight="1">
      <c r="A1432" s="8" t="s">
        <v>6921</v>
      </c>
      <c r="B1432" s="16">
        <v>27</v>
      </c>
      <c r="C1432" s="8" t="s">
        <v>20</v>
      </c>
      <c r="D1432" s="8" t="s">
        <v>48</v>
      </c>
      <c r="E1432" s="8" t="s">
        <v>6922</v>
      </c>
      <c r="F1432" s="17">
        <v>41917</v>
      </c>
      <c r="G1432" s="8" t="s">
        <v>6923</v>
      </c>
      <c r="H1432" s="8" t="s">
        <v>1183</v>
      </c>
      <c r="I1432" s="8" t="s">
        <v>212</v>
      </c>
      <c r="J1432" s="16" t="s">
        <v>6924</v>
      </c>
      <c r="K1432" s="2" t="s">
        <v>557</v>
      </c>
      <c r="L1432" s="8" t="s">
        <v>1184</v>
      </c>
      <c r="M1432" s="8" t="s">
        <v>27</v>
      </c>
      <c r="N1432" s="8" t="s">
        <v>6925</v>
      </c>
      <c r="O1432" s="8" t="s">
        <v>554</v>
      </c>
      <c r="P1432" s="8" t="s">
        <v>405</v>
      </c>
      <c r="Q1432" s="12" t="s">
        <v>6926</v>
      </c>
      <c r="R1432" s="8" t="s">
        <v>100</v>
      </c>
      <c r="S1432" s="7" t="s">
        <v>28</v>
      </c>
      <c r="T1432" s="6"/>
      <c r="U1432" s="8"/>
    </row>
    <row r="1433" spans="1:24" ht="13.5" customHeight="1">
      <c r="A1433" s="8" t="s">
        <v>6939</v>
      </c>
      <c r="B1433" s="16">
        <v>22</v>
      </c>
      <c r="C1433" s="8" t="s">
        <v>20</v>
      </c>
      <c r="D1433" s="8" t="s">
        <v>85</v>
      </c>
      <c r="F1433" s="17">
        <v>41916</v>
      </c>
      <c r="G1433" s="8" t="s">
        <v>6940</v>
      </c>
      <c r="H1433" s="8" t="s">
        <v>4243</v>
      </c>
      <c r="I1433" s="8" t="s">
        <v>370</v>
      </c>
      <c r="J1433" s="16" t="s">
        <v>6941</v>
      </c>
      <c r="K1433" s="2" t="s">
        <v>4245</v>
      </c>
      <c r="L1433" s="8" t="s">
        <v>6942</v>
      </c>
      <c r="M1433" s="8" t="s">
        <v>383</v>
      </c>
      <c r="N1433" s="8" t="s">
        <v>6943</v>
      </c>
      <c r="O1433" s="8" t="s">
        <v>1018</v>
      </c>
      <c r="P1433" s="8" t="s">
        <v>405</v>
      </c>
      <c r="Q1433" s="12" t="s">
        <v>6944</v>
      </c>
      <c r="R1433" s="8" t="s">
        <v>100</v>
      </c>
      <c r="S1433" s="7" t="s">
        <v>383</v>
      </c>
      <c r="T1433" s="6"/>
      <c r="U1433" s="8"/>
    </row>
    <row r="1434" spans="1:24" ht="13.5" customHeight="1">
      <c r="A1434" s="8" t="s">
        <v>6945</v>
      </c>
      <c r="B1434" s="16">
        <v>29</v>
      </c>
      <c r="C1434" s="8" t="s">
        <v>20</v>
      </c>
      <c r="D1434" s="8" t="s">
        <v>48</v>
      </c>
      <c r="E1434" s="8" t="s">
        <v>6946</v>
      </c>
      <c r="F1434" s="17">
        <v>41916</v>
      </c>
      <c r="G1434" s="8" t="s">
        <v>6947</v>
      </c>
      <c r="H1434" s="8" t="s">
        <v>98</v>
      </c>
      <c r="I1434" s="8" t="s">
        <v>45</v>
      </c>
      <c r="J1434" s="16" t="s">
        <v>3338</v>
      </c>
      <c r="K1434" s="2" t="s">
        <v>98</v>
      </c>
      <c r="L1434" s="8" t="s">
        <v>99</v>
      </c>
      <c r="M1434" s="8" t="s">
        <v>6948</v>
      </c>
      <c r="N1434" s="8" t="s">
        <v>6949</v>
      </c>
      <c r="O1434" s="8" t="s">
        <v>29</v>
      </c>
      <c r="P1434" s="8" t="s">
        <v>405</v>
      </c>
      <c r="Q1434" s="12" t="s">
        <v>6950</v>
      </c>
      <c r="R1434" s="8" t="s">
        <v>29</v>
      </c>
      <c r="S1434" s="7" t="s">
        <v>28</v>
      </c>
      <c r="T1434" s="6"/>
      <c r="U1434" s="8"/>
    </row>
    <row r="1435" spans="1:24" ht="13.5" customHeight="1">
      <c r="A1435" s="8" t="s">
        <v>6927</v>
      </c>
      <c r="B1435" s="16">
        <v>31</v>
      </c>
      <c r="C1435" s="8" t="s">
        <v>20</v>
      </c>
      <c r="D1435" s="8" t="s">
        <v>85</v>
      </c>
      <c r="E1435" s="8" t="s">
        <v>6928</v>
      </c>
      <c r="F1435" s="17">
        <v>41916</v>
      </c>
      <c r="G1435" s="8" t="s">
        <v>6929</v>
      </c>
      <c r="H1435" s="8" t="s">
        <v>6930</v>
      </c>
      <c r="I1435" s="8" t="s">
        <v>41</v>
      </c>
      <c r="J1435" s="16" t="s">
        <v>6931</v>
      </c>
      <c r="K1435" s="2" t="s">
        <v>6930</v>
      </c>
      <c r="L1435" s="8" t="s">
        <v>6932</v>
      </c>
      <c r="M1435" s="8" t="s">
        <v>395</v>
      </c>
      <c r="N1435" s="8" t="s">
        <v>6933</v>
      </c>
      <c r="O1435" s="8" t="s">
        <v>554</v>
      </c>
      <c r="P1435" s="8" t="s">
        <v>405</v>
      </c>
      <c r="Q1435" s="12" t="s">
        <v>6934</v>
      </c>
      <c r="R1435" s="8" t="s">
        <v>29</v>
      </c>
      <c r="S1435" s="7" t="s">
        <v>18</v>
      </c>
      <c r="T1435" s="6"/>
      <c r="U1435" s="8"/>
    </row>
    <row r="1436" spans="1:24" ht="13.5" customHeight="1">
      <c r="A1436" s="8" t="s">
        <v>6935</v>
      </c>
      <c r="B1436" s="16">
        <v>36</v>
      </c>
      <c r="C1436" s="8" t="s">
        <v>20</v>
      </c>
      <c r="D1436" s="8" t="s">
        <v>85</v>
      </c>
      <c r="F1436" s="17">
        <v>41916</v>
      </c>
      <c r="G1436" s="8" t="s">
        <v>6936</v>
      </c>
      <c r="H1436" s="8" t="s">
        <v>119</v>
      </c>
      <c r="I1436" s="8" t="s">
        <v>3709</v>
      </c>
      <c r="J1436" s="16" t="s">
        <v>6937</v>
      </c>
      <c r="K1436" s="2" t="s">
        <v>3711</v>
      </c>
      <c r="L1436" s="8" t="s">
        <v>19944</v>
      </c>
      <c r="M1436" s="8" t="s">
        <v>27</v>
      </c>
      <c r="N1436" s="8" t="s">
        <v>6938</v>
      </c>
      <c r="O1436" s="8" t="s">
        <v>1018</v>
      </c>
      <c r="P1436" s="8" t="s">
        <v>405</v>
      </c>
      <c r="Q1436" s="12"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1436" s="8" t="s">
        <v>100</v>
      </c>
      <c r="S1436" s="7" t="s">
        <v>28</v>
      </c>
      <c r="T1436" s="6"/>
      <c r="U1436" s="8"/>
    </row>
    <row r="1437" spans="1:24" ht="13.5" customHeight="1">
      <c r="A1437" s="8" t="s">
        <v>6951</v>
      </c>
      <c r="B1437" s="16">
        <v>48</v>
      </c>
      <c r="C1437" s="8" t="s">
        <v>20</v>
      </c>
      <c r="D1437" s="8" t="s">
        <v>30</v>
      </c>
      <c r="F1437" s="17">
        <v>41915</v>
      </c>
      <c r="G1437" s="8" t="s">
        <v>6952</v>
      </c>
      <c r="H1437" s="8" t="s">
        <v>313</v>
      </c>
      <c r="I1437" s="8" t="s">
        <v>45</v>
      </c>
      <c r="J1437" s="16" t="s">
        <v>6953</v>
      </c>
      <c r="K1437" s="2" t="s">
        <v>313</v>
      </c>
      <c r="L1437" s="8" t="s">
        <v>4373</v>
      </c>
      <c r="M1437" s="8" t="s">
        <v>27</v>
      </c>
      <c r="N1437" s="8" t="s">
        <v>6954</v>
      </c>
      <c r="O1437" s="8" t="s">
        <v>1018</v>
      </c>
      <c r="P1437" s="8" t="s">
        <v>405</v>
      </c>
      <c r="Q1437" s="12" t="s">
        <v>6955</v>
      </c>
      <c r="R1437" s="8" t="s">
        <v>100</v>
      </c>
      <c r="S1437" s="7" t="s">
        <v>28</v>
      </c>
      <c r="T1437" s="6"/>
      <c r="U1437" s="8"/>
    </row>
    <row r="1438" spans="1:24" ht="13.5" customHeight="1">
      <c r="A1438" s="8" t="s">
        <v>6956</v>
      </c>
      <c r="B1438" s="16">
        <v>28</v>
      </c>
      <c r="C1438" s="8" t="s">
        <v>20</v>
      </c>
      <c r="D1438" s="8" t="s">
        <v>37</v>
      </c>
      <c r="F1438" s="17">
        <v>41915</v>
      </c>
      <c r="G1438" s="8" t="s">
        <v>6957</v>
      </c>
      <c r="H1438" s="8" t="s">
        <v>762</v>
      </c>
      <c r="I1438" s="8" t="s">
        <v>427</v>
      </c>
      <c r="J1438" s="16" t="s">
        <v>1728</v>
      </c>
      <c r="K1438" s="2" t="s">
        <v>1729</v>
      </c>
      <c r="L1438" s="8" t="s">
        <v>586</v>
      </c>
      <c r="M1438" s="8" t="s">
        <v>27</v>
      </c>
      <c r="N1438" s="8" t="s">
        <v>6958</v>
      </c>
      <c r="O1438" s="8" t="s">
        <v>1018</v>
      </c>
      <c r="P1438" s="8" t="s">
        <v>405</v>
      </c>
      <c r="Q1438" s="12" t="s">
        <v>6959</v>
      </c>
      <c r="R1438" s="8" t="s">
        <v>559</v>
      </c>
      <c r="S1438" s="7" t="s">
        <v>28</v>
      </c>
      <c r="T1438" s="6"/>
      <c r="U1438" s="8"/>
    </row>
    <row r="1439" spans="1:24" ht="13.5" customHeight="1">
      <c r="A1439" s="8" t="s">
        <v>6960</v>
      </c>
      <c r="B1439" s="16">
        <v>49</v>
      </c>
      <c r="C1439" s="8" t="s">
        <v>20</v>
      </c>
      <c r="D1439" s="8" t="s">
        <v>37</v>
      </c>
      <c r="F1439" s="17">
        <v>41915</v>
      </c>
      <c r="G1439" s="8" t="s">
        <v>6961</v>
      </c>
      <c r="H1439" s="8" t="s">
        <v>6962</v>
      </c>
      <c r="I1439" s="8" t="s">
        <v>124</v>
      </c>
      <c r="J1439" s="16">
        <v>86001</v>
      </c>
      <c r="K1439" s="2" t="s">
        <v>6963</v>
      </c>
      <c r="L1439" s="8" t="s">
        <v>6964</v>
      </c>
      <c r="M1439" s="8" t="s">
        <v>2312</v>
      </c>
      <c r="N1439" s="8" t="s">
        <v>6965</v>
      </c>
      <c r="P1439" s="8" t="s">
        <v>405</v>
      </c>
      <c r="Q1439" s="12" t="s">
        <v>6966</v>
      </c>
      <c r="R1439" s="8" t="s">
        <v>559</v>
      </c>
      <c r="S1439" s="7" t="s">
        <v>18</v>
      </c>
      <c r="T1439" s="6"/>
      <c r="U1439" s="8"/>
    </row>
    <row r="1440" spans="1:24" ht="13.5" customHeight="1">
      <c r="A1440" s="8" t="s">
        <v>6971</v>
      </c>
      <c r="B1440" s="16">
        <v>69</v>
      </c>
      <c r="C1440" s="8" t="s">
        <v>20</v>
      </c>
      <c r="D1440" s="8" t="s">
        <v>30</v>
      </c>
      <c r="F1440" s="17">
        <v>41914</v>
      </c>
      <c r="G1440" s="8" t="s">
        <v>6972</v>
      </c>
      <c r="H1440" s="8" t="s">
        <v>6973</v>
      </c>
      <c r="I1440" s="8" t="s">
        <v>247</v>
      </c>
      <c r="J1440" s="16" t="s">
        <v>6974</v>
      </c>
      <c r="K1440" s="2" t="s">
        <v>1065</v>
      </c>
      <c r="L1440" s="8" t="s">
        <v>3354</v>
      </c>
      <c r="M1440" s="8" t="s">
        <v>27</v>
      </c>
      <c r="N1440" s="8" t="s">
        <v>6975</v>
      </c>
      <c r="O1440" s="8" t="s">
        <v>4742</v>
      </c>
      <c r="P1440" s="8" t="s">
        <v>405</v>
      </c>
      <c r="Q1440" s="12" t="s">
        <v>6976</v>
      </c>
      <c r="R1440" s="8" t="s">
        <v>100</v>
      </c>
      <c r="S1440" s="7" t="s">
        <v>28</v>
      </c>
      <c r="T1440" s="6"/>
      <c r="U1440" s="8"/>
    </row>
    <row r="1441" spans="1:21" ht="13.5" customHeight="1">
      <c r="A1441" s="8" t="s">
        <v>6967</v>
      </c>
      <c r="B1441" s="16">
        <v>19</v>
      </c>
      <c r="C1441" s="8" t="s">
        <v>20</v>
      </c>
      <c r="D1441" s="8" t="s">
        <v>85</v>
      </c>
      <c r="E1441" s="8"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1441" s="17">
        <v>41914</v>
      </c>
      <c r="G1441" s="8" t="s">
        <v>6968</v>
      </c>
      <c r="H1441" s="8" t="s">
        <v>1043</v>
      </c>
      <c r="I1441" s="8" t="s">
        <v>175</v>
      </c>
      <c r="J1441" s="16">
        <v>30032</v>
      </c>
      <c r="K1441" s="2" t="s">
        <v>869</v>
      </c>
      <c r="L1441" s="8" t="s">
        <v>870</v>
      </c>
      <c r="M1441" s="8" t="s">
        <v>27</v>
      </c>
      <c r="N1441" s="8" t="s">
        <v>6969</v>
      </c>
      <c r="P1441" s="8" t="s">
        <v>405</v>
      </c>
      <c r="Q1441" s="12" t="s">
        <v>6970</v>
      </c>
      <c r="R1441" s="8" t="s">
        <v>100</v>
      </c>
      <c r="S1441" s="7" t="s">
        <v>28</v>
      </c>
      <c r="T1441" s="6"/>
      <c r="U1441" s="8"/>
    </row>
    <row r="1442" spans="1:21" ht="13.5" customHeight="1">
      <c r="A1442" s="8" t="s">
        <v>6982</v>
      </c>
      <c r="B1442" s="16">
        <v>33</v>
      </c>
      <c r="C1442" s="8" t="s">
        <v>20</v>
      </c>
      <c r="D1442" s="8" t="s">
        <v>48</v>
      </c>
      <c r="F1442" s="17">
        <v>41913</v>
      </c>
      <c r="G1442" s="8" t="s">
        <v>6983</v>
      </c>
      <c r="H1442" s="8" t="s">
        <v>2918</v>
      </c>
      <c r="I1442" s="8" t="s">
        <v>45</v>
      </c>
      <c r="J1442" s="16" t="s">
        <v>6984</v>
      </c>
      <c r="K1442" s="2" t="s">
        <v>313</v>
      </c>
      <c r="L1442" s="8" t="s">
        <v>314</v>
      </c>
      <c r="M1442" s="8" t="s">
        <v>27</v>
      </c>
      <c r="N1442" s="8" t="s">
        <v>6985</v>
      </c>
      <c r="O1442" s="8" t="s">
        <v>4742</v>
      </c>
      <c r="P1442" s="8" t="s">
        <v>405</v>
      </c>
      <c r="Q1442" s="12" t="s">
        <v>6986</v>
      </c>
      <c r="R1442" s="8" t="s">
        <v>100</v>
      </c>
      <c r="S1442" s="7" t="s">
        <v>28</v>
      </c>
      <c r="T1442" s="6"/>
      <c r="U1442" s="8"/>
    </row>
    <row r="1443" spans="1:21" ht="13.5" customHeight="1">
      <c r="A1443" s="8" t="s">
        <v>6987</v>
      </c>
      <c r="B1443" s="16">
        <v>34</v>
      </c>
      <c r="C1443" s="8" t="s">
        <v>20</v>
      </c>
      <c r="D1443" s="8" t="s">
        <v>37</v>
      </c>
      <c r="F1443" s="17">
        <v>41913</v>
      </c>
      <c r="G1443" s="8" t="s">
        <v>6988</v>
      </c>
      <c r="H1443" s="8" t="s">
        <v>731</v>
      </c>
      <c r="I1443" s="8" t="s">
        <v>73</v>
      </c>
      <c r="J1443" s="16" t="s">
        <v>6989</v>
      </c>
      <c r="K1443" s="2" t="s">
        <v>562</v>
      </c>
      <c r="L1443" s="8" t="s">
        <v>732</v>
      </c>
      <c r="M1443" s="8" t="s">
        <v>27</v>
      </c>
      <c r="N1443" s="8" t="s">
        <v>6990</v>
      </c>
      <c r="O1443" s="8" t="s">
        <v>4742</v>
      </c>
      <c r="P1443" s="8" t="s">
        <v>405</v>
      </c>
      <c r="Q1443" s="12" t="s">
        <v>6991</v>
      </c>
      <c r="R1443" s="8" t="s">
        <v>100</v>
      </c>
      <c r="S1443" s="7" t="s">
        <v>28</v>
      </c>
      <c r="T1443" s="6"/>
      <c r="U1443" s="8"/>
    </row>
    <row r="1444" spans="1:21" ht="13.5" customHeight="1">
      <c r="A1444" s="8" t="s">
        <v>6977</v>
      </c>
      <c r="B1444" s="16">
        <v>39</v>
      </c>
      <c r="C1444" s="8" t="s">
        <v>115</v>
      </c>
      <c r="D1444" s="8" t="s">
        <v>85</v>
      </c>
      <c r="E1444" s="8" t="s">
        <v>6978</v>
      </c>
      <c r="F1444" s="17">
        <v>41913</v>
      </c>
      <c r="G1444" s="8" t="s">
        <v>6979</v>
      </c>
      <c r="H1444" s="8" t="s">
        <v>898</v>
      </c>
      <c r="I1444" s="8" t="s">
        <v>319</v>
      </c>
      <c r="J1444" s="16" t="s">
        <v>6980</v>
      </c>
      <c r="K1444" s="2" t="s">
        <v>1795</v>
      </c>
      <c r="L1444" s="8" t="s">
        <v>899</v>
      </c>
      <c r="M1444" s="8" t="s">
        <v>27</v>
      </c>
      <c r="N1444" s="8" t="s">
        <v>6981</v>
      </c>
      <c r="O1444" s="8" t="s">
        <v>4742</v>
      </c>
      <c r="P1444" s="8" t="s">
        <v>405</v>
      </c>
      <c r="Q1444" s="12" t="str">
        <f>HYPERLINK("http://www.wlky.com/news/woman-shot-by-lmpd-officers-in-swat-situation-dies/28371462","http://www.wlky.com/news/woman-shot-by-lmpd-officers-in-swat-situation-dies/28371462")</f>
        <v>http://www.wlky.com/news/woman-shot-by-lmpd-officers-in-swat-situation-dies/28371462</v>
      </c>
      <c r="R1444" s="8" t="s">
        <v>100</v>
      </c>
      <c r="S1444" s="7" t="s">
        <v>28</v>
      </c>
      <c r="T1444" s="6"/>
      <c r="U1444" s="8"/>
    </row>
    <row r="1445" spans="1:21" ht="13.5" customHeight="1">
      <c r="A1445" s="8" t="s">
        <v>7020</v>
      </c>
      <c r="B1445" s="16">
        <v>26</v>
      </c>
      <c r="C1445" s="8" t="s">
        <v>20</v>
      </c>
      <c r="D1445" s="8" t="s">
        <v>37</v>
      </c>
      <c r="E1445" s="8" t="s">
        <v>7021</v>
      </c>
      <c r="F1445" s="17">
        <v>41912</v>
      </c>
      <c r="G1445" s="8" t="s">
        <v>7022</v>
      </c>
      <c r="H1445" s="8" t="s">
        <v>7023</v>
      </c>
      <c r="I1445" s="8" t="s">
        <v>408</v>
      </c>
      <c r="J1445" s="16" t="s">
        <v>7024</v>
      </c>
      <c r="K1445" s="2" t="s">
        <v>1065</v>
      </c>
      <c r="L1445" s="8" t="s">
        <v>9453</v>
      </c>
      <c r="M1445" s="8" t="s">
        <v>27</v>
      </c>
      <c r="N1445" s="8" t="s">
        <v>7025</v>
      </c>
      <c r="O1445" s="8" t="s">
        <v>3421</v>
      </c>
      <c r="P1445" s="8" t="s">
        <v>405</v>
      </c>
      <c r="Q1445" s="12" t="s">
        <v>7026</v>
      </c>
      <c r="R1445" s="8" t="s">
        <v>100</v>
      </c>
      <c r="S1445" s="7" t="s">
        <v>28</v>
      </c>
      <c r="T1445" s="6"/>
      <c r="U1445" s="8"/>
    </row>
    <row r="1446" spans="1:21" ht="13.5" customHeight="1">
      <c r="A1446" s="8" t="s">
        <v>7000</v>
      </c>
      <c r="B1446" s="16">
        <v>20</v>
      </c>
      <c r="C1446" s="8" t="s">
        <v>20</v>
      </c>
      <c r="D1446" s="8" t="s">
        <v>85</v>
      </c>
      <c r="E1446" s="8" t="s">
        <v>7001</v>
      </c>
      <c r="F1446" s="17">
        <v>41912</v>
      </c>
      <c r="G1446" s="8" t="s">
        <v>7002</v>
      </c>
      <c r="H1446" s="8" t="s">
        <v>7003</v>
      </c>
      <c r="I1446" s="8" t="s">
        <v>175</v>
      </c>
      <c r="J1446" s="16" t="s">
        <v>7004</v>
      </c>
      <c r="K1446" s="2" t="s">
        <v>1384</v>
      </c>
      <c r="L1446" s="8" t="s">
        <v>7005</v>
      </c>
      <c r="M1446" s="8" t="s">
        <v>27</v>
      </c>
      <c r="N1446" s="8" t="s">
        <v>7006</v>
      </c>
      <c r="O1446" s="8" t="s">
        <v>4742</v>
      </c>
      <c r="P1446" s="8" t="s">
        <v>405</v>
      </c>
      <c r="Q1446" s="12" t="s">
        <v>7007</v>
      </c>
      <c r="R1446" s="8" t="s">
        <v>100</v>
      </c>
      <c r="S1446" s="7" t="s">
        <v>28</v>
      </c>
      <c r="T1446" s="6"/>
      <c r="U1446" s="8"/>
    </row>
    <row r="1447" spans="1:21" ht="13.5" customHeight="1">
      <c r="A1447" s="8" t="s">
        <v>6992</v>
      </c>
      <c r="B1447" s="16">
        <v>38</v>
      </c>
      <c r="C1447" s="8" t="s">
        <v>20</v>
      </c>
      <c r="D1447" s="8" t="s">
        <v>85</v>
      </c>
      <c r="E1447" s="8" t="s">
        <v>6993</v>
      </c>
      <c r="F1447" s="17">
        <v>41912</v>
      </c>
      <c r="G1447" s="8" t="s">
        <v>6994</v>
      </c>
      <c r="H1447" s="8" t="s">
        <v>6995</v>
      </c>
      <c r="I1447" s="8" t="s">
        <v>62</v>
      </c>
      <c r="J1447" s="16" t="s">
        <v>6996</v>
      </c>
      <c r="K1447" s="2" t="s">
        <v>1134</v>
      </c>
      <c r="L1447" s="8" t="s">
        <v>6997</v>
      </c>
      <c r="M1447" s="8" t="s">
        <v>27</v>
      </c>
      <c r="N1447" s="8" t="s">
        <v>6998</v>
      </c>
      <c r="O1447" s="8" t="s">
        <v>4742</v>
      </c>
      <c r="P1447" s="8" t="s">
        <v>405</v>
      </c>
      <c r="Q1447" s="12" t="s">
        <v>6999</v>
      </c>
      <c r="R1447" s="8" t="s">
        <v>559</v>
      </c>
      <c r="S1447" s="7" t="s">
        <v>28</v>
      </c>
      <c r="T1447" s="6"/>
      <c r="U1447" s="8"/>
    </row>
    <row r="1448" spans="1:21" ht="13.5" customHeight="1">
      <c r="A1448" s="8" t="s">
        <v>7014</v>
      </c>
      <c r="B1448" s="16">
        <v>40</v>
      </c>
      <c r="C1448" s="8" t="s">
        <v>20</v>
      </c>
      <c r="D1448" s="8" t="s">
        <v>37</v>
      </c>
      <c r="E1448" s="8" t="s">
        <v>7015</v>
      </c>
      <c r="F1448" s="17">
        <v>41912</v>
      </c>
      <c r="G1448" s="8" t="s">
        <v>7016</v>
      </c>
      <c r="H1448" s="8" t="s">
        <v>1332</v>
      </c>
      <c r="I1448" s="8" t="s">
        <v>1092</v>
      </c>
      <c r="J1448" s="16" t="s">
        <v>7017</v>
      </c>
      <c r="K1448" s="2" t="s">
        <v>1333</v>
      </c>
      <c r="L1448" s="8" t="s">
        <v>1334</v>
      </c>
      <c r="M1448" s="8" t="s">
        <v>27</v>
      </c>
      <c r="N1448" s="8" t="s">
        <v>7018</v>
      </c>
      <c r="O1448" s="8" t="s">
        <v>4742</v>
      </c>
      <c r="P1448" s="8" t="s">
        <v>405</v>
      </c>
      <c r="Q1448" s="12" t="s">
        <v>7019</v>
      </c>
      <c r="R1448" s="8" t="s">
        <v>100</v>
      </c>
      <c r="S1448" s="7" t="s">
        <v>28</v>
      </c>
      <c r="T1448" s="6"/>
      <c r="U1448" s="8"/>
    </row>
    <row r="1449" spans="1:21" ht="13.5" customHeight="1">
      <c r="A1449" s="8" t="s">
        <v>7008</v>
      </c>
      <c r="B1449" s="16">
        <v>32</v>
      </c>
      <c r="C1449" s="8" t="s">
        <v>20</v>
      </c>
      <c r="D1449" s="8" t="s">
        <v>37</v>
      </c>
      <c r="E1449" s="8" t="s">
        <v>7009</v>
      </c>
      <c r="F1449" s="17">
        <v>41912</v>
      </c>
      <c r="G1449" s="8" t="s">
        <v>7010</v>
      </c>
      <c r="H1449" s="8" t="s">
        <v>7011</v>
      </c>
      <c r="I1449" s="8" t="s">
        <v>73</v>
      </c>
      <c r="J1449" s="16" t="s">
        <v>7012</v>
      </c>
      <c r="K1449" s="2" t="s">
        <v>5351</v>
      </c>
      <c r="L1449" s="8" t="s">
        <v>732</v>
      </c>
      <c r="M1449" s="8" t="s">
        <v>27</v>
      </c>
      <c r="N1449" s="8" t="s">
        <v>7013</v>
      </c>
      <c r="O1449" s="8" t="s">
        <v>4742</v>
      </c>
      <c r="P1449" s="8" t="s">
        <v>405</v>
      </c>
      <c r="Q1449" s="12" t="str">
        <f>HYPERLINK("http://www.houstontx.gov/police/nr/2014/oct/nr141001-3.htm","http://www.houstontx.gov/police/nr/2014/oct/nr141001-3.htm")</f>
        <v>http://www.houstontx.gov/police/nr/2014/oct/nr141001-3.htm</v>
      </c>
      <c r="R1449" s="8" t="s">
        <v>100</v>
      </c>
      <c r="S1449" s="7" t="s">
        <v>28</v>
      </c>
      <c r="T1449" s="6"/>
      <c r="U1449" s="8"/>
    </row>
    <row r="1450" spans="1:21" ht="13.5" customHeight="1">
      <c r="A1450" s="8" t="s">
        <v>7033</v>
      </c>
      <c r="B1450" s="16">
        <v>47</v>
      </c>
      <c r="C1450" s="8" t="s">
        <v>20</v>
      </c>
      <c r="D1450" s="8" t="s">
        <v>48</v>
      </c>
      <c r="F1450" s="17">
        <v>41911</v>
      </c>
      <c r="G1450" s="8" t="s">
        <v>7029</v>
      </c>
      <c r="H1450" s="8" t="s">
        <v>762</v>
      </c>
      <c r="I1450" s="8" t="s">
        <v>427</v>
      </c>
      <c r="J1450" s="16" t="s">
        <v>7030</v>
      </c>
      <c r="K1450" s="2" t="s">
        <v>762</v>
      </c>
      <c r="L1450" s="8" t="s">
        <v>586</v>
      </c>
      <c r="M1450" s="8" t="s">
        <v>27</v>
      </c>
      <c r="N1450" s="8" t="s">
        <v>7034</v>
      </c>
      <c r="O1450" s="8" t="s">
        <v>4742</v>
      </c>
      <c r="P1450" s="8" t="s">
        <v>405</v>
      </c>
      <c r="Q1450" s="12" t="s">
        <v>7032</v>
      </c>
      <c r="R1450" s="8" t="s">
        <v>100</v>
      </c>
      <c r="S1450" s="7" t="s">
        <v>28</v>
      </c>
      <c r="T1450" s="6"/>
      <c r="U1450" s="8"/>
    </row>
    <row r="1451" spans="1:21" ht="13.5" customHeight="1">
      <c r="A1451" s="8" t="s">
        <v>7027</v>
      </c>
      <c r="B1451" s="16">
        <v>51</v>
      </c>
      <c r="C1451" s="8" t="s">
        <v>20</v>
      </c>
      <c r="D1451" s="8" t="s">
        <v>48</v>
      </c>
      <c r="E1451" s="8" t="s">
        <v>7028</v>
      </c>
      <c r="F1451" s="17">
        <v>41911</v>
      </c>
      <c r="G1451" s="8" t="s">
        <v>7029</v>
      </c>
      <c r="H1451" s="8" t="s">
        <v>762</v>
      </c>
      <c r="I1451" s="8" t="s">
        <v>427</v>
      </c>
      <c r="J1451" s="16" t="s">
        <v>7030</v>
      </c>
      <c r="K1451" s="2" t="s">
        <v>762</v>
      </c>
      <c r="L1451" s="8" t="s">
        <v>586</v>
      </c>
      <c r="M1451" s="8" t="s">
        <v>27</v>
      </c>
      <c r="N1451" s="8" t="s">
        <v>7031</v>
      </c>
      <c r="O1451" s="8" t="s">
        <v>4742</v>
      </c>
      <c r="P1451" s="8" t="s">
        <v>405</v>
      </c>
      <c r="Q1451" s="12" t="s">
        <v>7032</v>
      </c>
      <c r="R1451" s="8" t="s">
        <v>100</v>
      </c>
      <c r="S1451" s="7" t="s">
        <v>18</v>
      </c>
      <c r="T1451" s="6"/>
      <c r="U1451" s="8"/>
    </row>
    <row r="1452" spans="1:21" ht="13.5" customHeight="1">
      <c r="A1452" s="8" t="s">
        <v>7049</v>
      </c>
      <c r="B1452" s="16">
        <v>72</v>
      </c>
      <c r="C1452" s="8" t="s">
        <v>115</v>
      </c>
      <c r="D1452" s="8" t="s">
        <v>37</v>
      </c>
      <c r="E1452" s="8" t="s">
        <v>7050</v>
      </c>
      <c r="F1452" s="17">
        <v>41910</v>
      </c>
      <c r="G1452" s="8" t="s">
        <v>7051</v>
      </c>
      <c r="H1452" s="8" t="s">
        <v>686</v>
      </c>
      <c r="I1452" s="8" t="s">
        <v>45</v>
      </c>
      <c r="J1452" s="16" t="s">
        <v>3522</v>
      </c>
      <c r="K1452" s="2" t="s">
        <v>687</v>
      </c>
      <c r="L1452" s="8" t="s">
        <v>755</v>
      </c>
      <c r="M1452" s="8" t="s">
        <v>383</v>
      </c>
      <c r="N1452" s="8" t="s">
        <v>7052</v>
      </c>
      <c r="O1452" s="8" t="s">
        <v>4742</v>
      </c>
      <c r="P1452" s="8" t="s">
        <v>405</v>
      </c>
      <c r="Q1452" s="12" t="s">
        <v>7053</v>
      </c>
      <c r="R1452" s="8" t="s">
        <v>100</v>
      </c>
      <c r="S1452" s="7" t="s">
        <v>18</v>
      </c>
      <c r="T1452" s="6"/>
      <c r="U1452" s="8"/>
    </row>
    <row r="1453" spans="1:21" ht="13.5" customHeight="1">
      <c r="A1453" s="8" t="s">
        <v>7035</v>
      </c>
      <c r="B1453" s="16">
        <v>26</v>
      </c>
      <c r="C1453" s="8" t="s">
        <v>20</v>
      </c>
      <c r="D1453" s="8" t="s">
        <v>85</v>
      </c>
      <c r="E1453" s="8" t="s">
        <v>7036</v>
      </c>
      <c r="F1453" s="17">
        <v>41910</v>
      </c>
      <c r="G1453" s="8" t="s">
        <v>7037</v>
      </c>
      <c r="H1453" s="8" t="s">
        <v>3195</v>
      </c>
      <c r="I1453" s="8" t="s">
        <v>73</v>
      </c>
      <c r="J1453" s="16" t="s">
        <v>7038</v>
      </c>
      <c r="K1453" s="2" t="s">
        <v>1162</v>
      </c>
      <c r="L1453" s="8" t="s">
        <v>7039</v>
      </c>
      <c r="M1453" s="8" t="s">
        <v>395</v>
      </c>
      <c r="N1453" s="8" t="s">
        <v>7040</v>
      </c>
      <c r="O1453" s="8" t="s">
        <v>554</v>
      </c>
      <c r="P1453" s="8" t="s">
        <v>405</v>
      </c>
      <c r="Q1453" s="12" t="s">
        <v>7041</v>
      </c>
      <c r="R1453" s="8" t="s">
        <v>100</v>
      </c>
      <c r="S1453" s="7" t="s">
        <v>18</v>
      </c>
      <c r="T1453" s="6"/>
      <c r="U1453" s="8"/>
    </row>
    <row r="1454" spans="1:21" ht="13.5" customHeight="1">
      <c r="A1454" s="8" t="s">
        <v>7042</v>
      </c>
      <c r="B1454" s="16">
        <v>26</v>
      </c>
      <c r="C1454" s="8" t="s">
        <v>20</v>
      </c>
      <c r="D1454" s="8" t="s">
        <v>30</v>
      </c>
      <c r="F1454" s="17">
        <v>41910</v>
      </c>
      <c r="G1454" s="8" t="s">
        <v>7043</v>
      </c>
      <c r="H1454" s="8" t="s">
        <v>7044</v>
      </c>
      <c r="I1454" s="8" t="s">
        <v>374</v>
      </c>
      <c r="J1454" s="16" t="s">
        <v>7045</v>
      </c>
      <c r="K1454" s="2" t="s">
        <v>5165</v>
      </c>
      <c r="L1454" s="8" t="s">
        <v>7046</v>
      </c>
      <c r="M1454" s="8" t="s">
        <v>383</v>
      </c>
      <c r="N1454" s="8" t="s">
        <v>7047</v>
      </c>
      <c r="O1454" s="8" t="s">
        <v>4742</v>
      </c>
      <c r="P1454" s="8" t="s">
        <v>405</v>
      </c>
      <c r="Q1454" s="12" t="s">
        <v>7048</v>
      </c>
      <c r="R1454" s="8" t="s">
        <v>100</v>
      </c>
      <c r="S1454" s="7" t="s">
        <v>383</v>
      </c>
      <c r="T1454" s="6"/>
      <c r="U1454" s="8"/>
    </row>
    <row r="1455" spans="1:21" ht="13.5" customHeight="1">
      <c r="A1455" s="8" t="s">
        <v>7071</v>
      </c>
      <c r="B1455" s="16">
        <v>18</v>
      </c>
      <c r="C1455" s="8" t="s">
        <v>20</v>
      </c>
      <c r="D1455" s="8" t="s">
        <v>37</v>
      </c>
      <c r="E1455" s="8" t="s">
        <v>7072</v>
      </c>
      <c r="F1455" s="17">
        <v>41909</v>
      </c>
      <c r="G1455" s="8" t="s">
        <v>7073</v>
      </c>
      <c r="H1455" s="8" t="s">
        <v>7074</v>
      </c>
      <c r="I1455" s="8" t="s">
        <v>323</v>
      </c>
      <c r="J1455" s="16" t="s">
        <v>7075</v>
      </c>
      <c r="K1455" s="2" t="s">
        <v>2179</v>
      </c>
      <c r="L1455" s="8" t="s">
        <v>7076</v>
      </c>
      <c r="M1455" s="8" t="s">
        <v>27</v>
      </c>
      <c r="N1455" s="8" t="s">
        <v>7077</v>
      </c>
      <c r="O1455" s="8" t="s">
        <v>404</v>
      </c>
      <c r="P1455" s="8" t="s">
        <v>405</v>
      </c>
      <c r="Q1455" s="12" t="s">
        <v>7078</v>
      </c>
      <c r="R1455" s="8" t="s">
        <v>100</v>
      </c>
      <c r="S1455" s="7" t="s">
        <v>383</v>
      </c>
      <c r="T1455" s="6"/>
      <c r="U1455" s="8"/>
    </row>
    <row r="1456" spans="1:21" ht="13.5" customHeight="1">
      <c r="A1456" s="8" t="s">
        <v>7054</v>
      </c>
      <c r="B1456" s="16">
        <v>38</v>
      </c>
      <c r="C1456" s="8" t="s">
        <v>20</v>
      </c>
      <c r="D1456" s="8" t="s">
        <v>85</v>
      </c>
      <c r="E1456" s="8" t="s">
        <v>7055</v>
      </c>
      <c r="F1456" s="17">
        <v>41909</v>
      </c>
      <c r="G1456" s="8" t="s">
        <v>7056</v>
      </c>
      <c r="H1456" s="8" t="s">
        <v>434</v>
      </c>
      <c r="I1456" s="8" t="s">
        <v>435</v>
      </c>
      <c r="J1456" s="16" t="s">
        <v>7057</v>
      </c>
      <c r="K1456" s="2" t="s">
        <v>437</v>
      </c>
      <c r="L1456" s="8" t="s">
        <v>438</v>
      </c>
      <c r="M1456" s="8" t="s">
        <v>395</v>
      </c>
      <c r="N1456" s="8" t="s">
        <v>7058</v>
      </c>
      <c r="O1456" s="8" t="s">
        <v>1018</v>
      </c>
      <c r="P1456" s="8" t="s">
        <v>405</v>
      </c>
      <c r="Q1456" s="12" t="s">
        <v>7059</v>
      </c>
      <c r="R1456" s="8" t="s">
        <v>972</v>
      </c>
      <c r="S1456" s="7" t="s">
        <v>18</v>
      </c>
      <c r="T1456" s="6"/>
      <c r="U1456" s="8"/>
    </row>
    <row r="1457" spans="1:21" ht="13.5" customHeight="1">
      <c r="A1457" s="8" t="s">
        <v>3288</v>
      </c>
      <c r="B1457" s="16" t="s">
        <v>29</v>
      </c>
      <c r="C1457" s="8" t="s">
        <v>20</v>
      </c>
      <c r="D1457" s="8" t="s">
        <v>30</v>
      </c>
      <c r="F1457" s="17">
        <v>41909</v>
      </c>
      <c r="G1457" s="8" t="s">
        <v>7060</v>
      </c>
      <c r="H1457" s="8" t="s">
        <v>1236</v>
      </c>
      <c r="I1457" s="8" t="s">
        <v>62</v>
      </c>
      <c r="J1457" s="16" t="s">
        <v>7061</v>
      </c>
      <c r="K1457" s="2" t="s">
        <v>163</v>
      </c>
      <c r="L1457" s="8" t="s">
        <v>7062</v>
      </c>
      <c r="M1457" s="8" t="s">
        <v>27</v>
      </c>
      <c r="N1457" s="8" t="s">
        <v>7063</v>
      </c>
      <c r="O1457" s="8" t="s">
        <v>4742</v>
      </c>
      <c r="P1457" s="8" t="s">
        <v>405</v>
      </c>
      <c r="Q1457" s="12" t="s">
        <v>7064</v>
      </c>
      <c r="R1457" s="8" t="s">
        <v>100</v>
      </c>
      <c r="S1457" s="7" t="s">
        <v>28</v>
      </c>
      <c r="T1457" s="6"/>
      <c r="U1457" s="8"/>
    </row>
    <row r="1458" spans="1:21" ht="13.5" customHeight="1">
      <c r="A1458" s="8" t="s">
        <v>7065</v>
      </c>
      <c r="B1458" s="16">
        <v>34</v>
      </c>
      <c r="C1458" s="8" t="s">
        <v>20</v>
      </c>
      <c r="D1458" s="8" t="s">
        <v>37</v>
      </c>
      <c r="F1458" s="17">
        <v>41909</v>
      </c>
      <c r="G1458" s="8" t="s">
        <v>7066</v>
      </c>
      <c r="H1458" s="8" t="s">
        <v>407</v>
      </c>
      <c r="I1458" s="8" t="s">
        <v>4424</v>
      </c>
      <c r="J1458" s="16" t="s">
        <v>7067</v>
      </c>
      <c r="K1458" s="2" t="s">
        <v>7068</v>
      </c>
      <c r="L1458" s="8" t="s">
        <v>4427</v>
      </c>
      <c r="M1458" s="8" t="s">
        <v>27</v>
      </c>
      <c r="N1458" s="8" t="s">
        <v>7069</v>
      </c>
      <c r="O1458" s="8" t="s">
        <v>1018</v>
      </c>
      <c r="P1458" s="8" t="s">
        <v>405</v>
      </c>
      <c r="Q1458" s="12" t="s">
        <v>7070</v>
      </c>
      <c r="R1458" s="8" t="s">
        <v>100</v>
      </c>
      <c r="S1458" s="7" t="s">
        <v>28</v>
      </c>
      <c r="T1458" s="6"/>
      <c r="U1458" s="8"/>
    </row>
    <row r="1459" spans="1:21" ht="13.5" customHeight="1">
      <c r="A1459" s="8" t="s">
        <v>7079</v>
      </c>
      <c r="B1459" s="16">
        <v>25</v>
      </c>
      <c r="C1459" s="8" t="s">
        <v>20</v>
      </c>
      <c r="D1459" s="8" t="s">
        <v>37</v>
      </c>
      <c r="E1459" s="8" t="s">
        <v>7080</v>
      </c>
      <c r="F1459" s="17">
        <v>41908</v>
      </c>
      <c r="G1459" s="8" t="s">
        <v>7081</v>
      </c>
      <c r="H1459" s="8" t="s">
        <v>7082</v>
      </c>
      <c r="I1459" s="8" t="s">
        <v>69</v>
      </c>
      <c r="J1459" s="16" t="s">
        <v>7083</v>
      </c>
      <c r="K1459" s="2" t="s">
        <v>1275</v>
      </c>
      <c r="L1459" s="8" t="s">
        <v>7084</v>
      </c>
      <c r="M1459" s="8" t="s">
        <v>27</v>
      </c>
      <c r="N1459" s="8" t="s">
        <v>7085</v>
      </c>
      <c r="O1459" s="8" t="s">
        <v>404</v>
      </c>
      <c r="P1459" s="8" t="s">
        <v>405</v>
      </c>
      <c r="Q1459" s="12" t="s">
        <v>7086</v>
      </c>
      <c r="R1459" s="8" t="s">
        <v>100</v>
      </c>
      <c r="S1459" s="7" t="s">
        <v>28</v>
      </c>
      <c r="T1459" s="6"/>
      <c r="U1459" s="8"/>
    </row>
    <row r="1460" spans="1:21" ht="13.5" customHeight="1">
      <c r="A1460" s="8" t="s">
        <v>7087</v>
      </c>
      <c r="B1460" s="16">
        <v>34</v>
      </c>
      <c r="C1460" s="8" t="s">
        <v>20</v>
      </c>
      <c r="D1460" s="8" t="s">
        <v>37</v>
      </c>
      <c r="F1460" s="17">
        <v>41908</v>
      </c>
      <c r="G1460" s="8" t="s">
        <v>7088</v>
      </c>
      <c r="H1460" s="8" t="s">
        <v>7089</v>
      </c>
      <c r="I1460" s="8" t="s">
        <v>73</v>
      </c>
      <c r="J1460" s="16" t="s">
        <v>7090</v>
      </c>
      <c r="K1460" s="2" t="s">
        <v>7091</v>
      </c>
      <c r="L1460" s="8" t="s">
        <v>7092</v>
      </c>
      <c r="M1460" s="8" t="s">
        <v>27</v>
      </c>
      <c r="N1460" s="8" t="s">
        <v>7093</v>
      </c>
      <c r="O1460" s="8" t="s">
        <v>1018</v>
      </c>
      <c r="P1460" s="8" t="s">
        <v>405</v>
      </c>
      <c r="Q1460" s="12" t="s">
        <v>7094</v>
      </c>
      <c r="R1460" s="8" t="s">
        <v>100</v>
      </c>
      <c r="S1460" s="7" t="s">
        <v>28</v>
      </c>
      <c r="T1460" s="6"/>
      <c r="U1460" s="8"/>
    </row>
    <row r="1461" spans="1:21" ht="13.5" customHeight="1">
      <c r="A1461" s="8" t="s">
        <v>7100</v>
      </c>
      <c r="B1461" s="16">
        <v>59</v>
      </c>
      <c r="C1461" s="8" t="s">
        <v>20</v>
      </c>
      <c r="D1461" s="8" t="s">
        <v>37</v>
      </c>
      <c r="E1461" s="8" t="s">
        <v>7101</v>
      </c>
      <c r="F1461" s="17">
        <v>41907</v>
      </c>
      <c r="G1461" s="8" t="s">
        <v>7102</v>
      </c>
      <c r="H1461" s="8" t="s">
        <v>3589</v>
      </c>
      <c r="I1461" s="8" t="s">
        <v>175</v>
      </c>
      <c r="J1461" s="16" t="s">
        <v>7103</v>
      </c>
      <c r="K1461" s="2" t="s">
        <v>7104</v>
      </c>
      <c r="L1461" s="8" t="s">
        <v>7105</v>
      </c>
      <c r="M1461" s="8" t="s">
        <v>27</v>
      </c>
      <c r="N1461" s="8" t="s">
        <v>7106</v>
      </c>
      <c r="O1461" s="8" t="s">
        <v>4742</v>
      </c>
      <c r="P1461" s="8" t="s">
        <v>405</v>
      </c>
      <c r="Q1461" s="12" t="s">
        <v>7107</v>
      </c>
      <c r="R1461" s="8" t="s">
        <v>100</v>
      </c>
      <c r="S1461" s="7" t="s">
        <v>28</v>
      </c>
      <c r="T1461" s="6"/>
      <c r="U1461" s="8"/>
    </row>
    <row r="1462" spans="1:21" ht="13.5" customHeight="1">
      <c r="A1462" s="8" t="s">
        <v>7095</v>
      </c>
      <c r="B1462" s="16">
        <v>34</v>
      </c>
      <c r="C1462" s="8" t="s">
        <v>20</v>
      </c>
      <c r="D1462" s="8" t="s">
        <v>48</v>
      </c>
      <c r="F1462" s="17">
        <v>41907</v>
      </c>
      <c r="G1462" s="8" t="s">
        <v>7096</v>
      </c>
      <c r="H1462" s="8" t="s">
        <v>953</v>
      </c>
      <c r="I1462" s="8" t="s">
        <v>45</v>
      </c>
      <c r="J1462" s="16" t="s">
        <v>7097</v>
      </c>
      <c r="K1462" s="2" t="s">
        <v>953</v>
      </c>
      <c r="L1462" s="8" t="s">
        <v>954</v>
      </c>
      <c r="M1462" s="8" t="s">
        <v>27</v>
      </c>
      <c r="N1462" s="8" t="s">
        <v>7098</v>
      </c>
      <c r="O1462" s="8" t="s">
        <v>404</v>
      </c>
      <c r="P1462" s="8" t="s">
        <v>405</v>
      </c>
      <c r="Q1462" s="12" t="s">
        <v>7099</v>
      </c>
      <c r="R1462" s="8" t="s">
        <v>100</v>
      </c>
      <c r="S1462" s="7" t="s">
        <v>28</v>
      </c>
      <c r="T1462" s="6"/>
      <c r="U1462" s="8"/>
    </row>
    <row r="1463" spans="1:21" ht="13.5" customHeight="1">
      <c r="A1463" s="8" t="s">
        <v>7117</v>
      </c>
      <c r="B1463" s="16">
        <v>25</v>
      </c>
      <c r="C1463" s="8" t="s">
        <v>20</v>
      </c>
      <c r="D1463" s="8" t="s">
        <v>37</v>
      </c>
      <c r="E1463" s="8" t="s">
        <v>7118</v>
      </c>
      <c r="F1463" s="17">
        <v>41906</v>
      </c>
      <c r="G1463" s="8" t="s">
        <v>7119</v>
      </c>
      <c r="H1463" s="8" t="s">
        <v>4406</v>
      </c>
      <c r="I1463" s="8" t="s">
        <v>306</v>
      </c>
      <c r="J1463" s="16" t="s">
        <v>4407</v>
      </c>
      <c r="K1463" s="2" t="s">
        <v>846</v>
      </c>
      <c r="L1463" s="8" t="s">
        <v>4408</v>
      </c>
      <c r="M1463" s="8" t="s">
        <v>27</v>
      </c>
      <c r="N1463" s="8" t="s">
        <v>7120</v>
      </c>
      <c r="O1463" s="8" t="s">
        <v>1018</v>
      </c>
      <c r="P1463" s="8" t="s">
        <v>405</v>
      </c>
      <c r="Q1463" s="12" t="s">
        <v>7121</v>
      </c>
      <c r="R1463" s="8" t="s">
        <v>100</v>
      </c>
      <c r="S1463" s="7" t="s">
        <v>28</v>
      </c>
      <c r="T1463" s="6"/>
      <c r="U1463" s="8"/>
    </row>
    <row r="1464" spans="1:21" ht="13.5" customHeight="1">
      <c r="A1464" s="8" t="s">
        <v>7108</v>
      </c>
      <c r="B1464" s="16">
        <v>50</v>
      </c>
      <c r="C1464" s="8" t="s">
        <v>20</v>
      </c>
      <c r="D1464" s="8" t="s">
        <v>85</v>
      </c>
      <c r="E1464" s="8" t="s">
        <v>7109</v>
      </c>
      <c r="F1464" s="17">
        <v>41906</v>
      </c>
      <c r="G1464" s="8" t="s">
        <v>7110</v>
      </c>
      <c r="H1464" s="8" t="s">
        <v>7111</v>
      </c>
      <c r="I1464" s="8" t="s">
        <v>25</v>
      </c>
      <c r="J1464" s="16" t="s">
        <v>7112</v>
      </c>
      <c r="K1464" s="2" t="s">
        <v>7113</v>
      </c>
      <c r="L1464" s="8" t="s">
        <v>7114</v>
      </c>
      <c r="M1464" s="8" t="s">
        <v>27</v>
      </c>
      <c r="N1464" s="8" t="s">
        <v>7115</v>
      </c>
      <c r="O1464" s="8" t="s">
        <v>4742</v>
      </c>
      <c r="P1464" s="8" t="s">
        <v>405</v>
      </c>
      <c r="Q1464" s="12" t="s">
        <v>7116</v>
      </c>
      <c r="R1464" s="8" t="s">
        <v>100</v>
      </c>
      <c r="S1464" s="7" t="s">
        <v>28</v>
      </c>
      <c r="T1464" s="6"/>
      <c r="U1464" s="8"/>
    </row>
    <row r="1465" spans="1:21" ht="13.5" customHeight="1">
      <c r="A1465" s="8" t="s">
        <v>7154</v>
      </c>
      <c r="B1465" s="16">
        <v>57</v>
      </c>
      <c r="C1465" s="8" t="s">
        <v>20</v>
      </c>
      <c r="D1465" s="8" t="s">
        <v>37</v>
      </c>
      <c r="E1465" s="8" t="s">
        <v>7155</v>
      </c>
      <c r="F1465" s="17">
        <v>41905</v>
      </c>
      <c r="G1465" s="8" t="s">
        <v>7156</v>
      </c>
      <c r="H1465" s="8" t="s">
        <v>7157</v>
      </c>
      <c r="I1465" s="8" t="s">
        <v>32</v>
      </c>
      <c r="J1465" s="16" t="s">
        <v>7158</v>
      </c>
      <c r="K1465" s="2" t="s">
        <v>5398</v>
      </c>
      <c r="L1465" s="8" t="s">
        <v>7159</v>
      </c>
      <c r="M1465" s="8" t="s">
        <v>27</v>
      </c>
      <c r="N1465" s="8" t="s">
        <v>7160</v>
      </c>
      <c r="O1465" s="8" t="s">
        <v>4742</v>
      </c>
      <c r="P1465" s="8" t="s">
        <v>405</v>
      </c>
      <c r="Q1465" s="12" t="s">
        <v>7161</v>
      </c>
      <c r="R1465" s="8" t="s">
        <v>559</v>
      </c>
      <c r="S1465" s="7" t="s">
        <v>28</v>
      </c>
      <c r="T1465" s="6"/>
      <c r="U1465" s="8"/>
    </row>
    <row r="1466" spans="1:21" ht="13.5" customHeight="1">
      <c r="A1466" s="8" t="s">
        <v>7126</v>
      </c>
      <c r="B1466" s="16">
        <v>14</v>
      </c>
      <c r="C1466" s="8" t="s">
        <v>20</v>
      </c>
      <c r="D1466" s="8" t="s">
        <v>85</v>
      </c>
      <c r="E1466" s="8" t="s">
        <v>7127</v>
      </c>
      <c r="F1466" s="17">
        <v>41905</v>
      </c>
      <c r="G1466" s="8" t="s">
        <v>7128</v>
      </c>
      <c r="H1466" s="8" t="s">
        <v>1009</v>
      </c>
      <c r="I1466" s="8" t="s">
        <v>25</v>
      </c>
      <c r="J1466" s="16" t="s">
        <v>7129</v>
      </c>
      <c r="K1466" s="2" t="s">
        <v>1010</v>
      </c>
      <c r="L1466" s="8" t="s">
        <v>7130</v>
      </c>
      <c r="M1466" s="8" t="s">
        <v>27</v>
      </c>
      <c r="N1466" s="8" t="s">
        <v>7131</v>
      </c>
      <c r="O1466" s="8" t="s">
        <v>554</v>
      </c>
      <c r="P1466" s="8" t="s">
        <v>405</v>
      </c>
      <c r="Q1466" s="12" t="s">
        <v>7132</v>
      </c>
      <c r="R1466" s="8" t="s">
        <v>100</v>
      </c>
      <c r="S1466" s="7" t="s">
        <v>18</v>
      </c>
      <c r="T1466" s="6"/>
      <c r="U1466" s="8"/>
    </row>
    <row r="1467" spans="1:21" ht="13.5" customHeight="1">
      <c r="A1467" s="8" t="s">
        <v>7133</v>
      </c>
      <c r="B1467" s="16">
        <v>54</v>
      </c>
      <c r="C1467" s="8" t="s">
        <v>20</v>
      </c>
      <c r="D1467" s="8" t="s">
        <v>37</v>
      </c>
      <c r="E1467" s="8" t="s">
        <v>7134</v>
      </c>
      <c r="F1467" s="17">
        <v>41905</v>
      </c>
      <c r="G1467" s="8" t="s">
        <v>7135</v>
      </c>
      <c r="H1467" s="8" t="s">
        <v>7136</v>
      </c>
      <c r="I1467" s="8" t="s">
        <v>374</v>
      </c>
      <c r="J1467" s="16" t="s">
        <v>7137</v>
      </c>
      <c r="K1467" s="2" t="s">
        <v>7138</v>
      </c>
      <c r="L1467" s="8" t="s">
        <v>7139</v>
      </c>
      <c r="M1467" s="8" t="s">
        <v>27</v>
      </c>
      <c r="N1467" s="8" t="s">
        <v>7140</v>
      </c>
      <c r="O1467" s="8" t="s">
        <v>404</v>
      </c>
      <c r="P1467" s="8" t="s">
        <v>405</v>
      </c>
      <c r="Q1467" s="12" t="s">
        <v>7141</v>
      </c>
      <c r="R1467" s="8" t="s">
        <v>972</v>
      </c>
      <c r="S1467" s="7" t="s">
        <v>28</v>
      </c>
      <c r="T1467" s="6"/>
      <c r="U1467" s="8"/>
    </row>
    <row r="1468" spans="1:21" ht="13.5" customHeight="1">
      <c r="A1468" s="8" t="s">
        <v>7122</v>
      </c>
      <c r="B1468" s="16">
        <v>28</v>
      </c>
      <c r="C1468" s="8" t="s">
        <v>20</v>
      </c>
      <c r="D1468" s="8" t="s">
        <v>85</v>
      </c>
      <c r="F1468" s="17">
        <v>41905</v>
      </c>
      <c r="G1468" s="8" t="s">
        <v>7123</v>
      </c>
      <c r="H1468" s="8" t="s">
        <v>898</v>
      </c>
      <c r="I1468" s="8" t="s">
        <v>319</v>
      </c>
      <c r="J1468" s="16" t="s">
        <v>1794</v>
      </c>
      <c r="K1468" s="2" t="s">
        <v>1795</v>
      </c>
      <c r="L1468" s="8" t="s">
        <v>899</v>
      </c>
      <c r="M1468" s="8" t="s">
        <v>27</v>
      </c>
      <c r="N1468" s="8" t="s">
        <v>7124</v>
      </c>
      <c r="O1468" s="8" t="s">
        <v>404</v>
      </c>
      <c r="P1468" s="8" t="s">
        <v>405</v>
      </c>
      <c r="Q1468" s="12" t="s">
        <v>7125</v>
      </c>
      <c r="R1468" s="8" t="s">
        <v>100</v>
      </c>
      <c r="S1468" s="7" t="s">
        <v>28</v>
      </c>
      <c r="T1468" s="6"/>
      <c r="U1468" s="8"/>
    </row>
    <row r="1469" spans="1:21" ht="13.5" customHeight="1">
      <c r="A1469" s="8" t="s">
        <v>7142</v>
      </c>
      <c r="B1469" s="16">
        <v>39</v>
      </c>
      <c r="C1469" s="8" t="s">
        <v>20</v>
      </c>
      <c r="D1469" s="8" t="s">
        <v>37</v>
      </c>
      <c r="E1469" s="8" t="s">
        <v>7143</v>
      </c>
      <c r="F1469" s="17">
        <v>41905</v>
      </c>
      <c r="G1469" s="8" t="s">
        <v>7144</v>
      </c>
      <c r="H1469" s="8" t="s">
        <v>7145</v>
      </c>
      <c r="I1469" s="8" t="s">
        <v>675</v>
      </c>
      <c r="J1469" s="16">
        <v>39652</v>
      </c>
      <c r="K1469" s="2" t="s">
        <v>3259</v>
      </c>
      <c r="L1469" s="8" t="s">
        <v>3260</v>
      </c>
      <c r="M1469" s="8" t="s">
        <v>29</v>
      </c>
      <c r="N1469" s="8" t="s">
        <v>7146</v>
      </c>
      <c r="P1469" s="8" t="s">
        <v>405</v>
      </c>
      <c r="Q1469" s="12" t="s">
        <v>7147</v>
      </c>
      <c r="S1469" s="7" t="s">
        <v>28</v>
      </c>
      <c r="T1469" s="6"/>
      <c r="U1469" s="8"/>
    </row>
    <row r="1470" spans="1:21" ht="13.5" customHeight="1">
      <c r="A1470" s="8" t="s">
        <v>7162</v>
      </c>
      <c r="B1470" s="16">
        <v>32</v>
      </c>
      <c r="C1470" s="8" t="s">
        <v>20</v>
      </c>
      <c r="D1470" s="8" t="s">
        <v>37</v>
      </c>
      <c r="E1470" s="8" t="s">
        <v>7163</v>
      </c>
      <c r="F1470" s="17">
        <v>41905</v>
      </c>
      <c r="G1470" s="8" t="s">
        <v>7164</v>
      </c>
      <c r="H1470" s="8" t="s">
        <v>7165</v>
      </c>
      <c r="I1470" s="8" t="s">
        <v>220</v>
      </c>
      <c r="J1470" s="16" t="s">
        <v>7166</v>
      </c>
      <c r="K1470" s="2" t="s">
        <v>7165</v>
      </c>
      <c r="L1470" s="8" t="s">
        <v>7167</v>
      </c>
      <c r="M1470" s="8" t="s">
        <v>27</v>
      </c>
      <c r="N1470" s="8" t="s">
        <v>7168</v>
      </c>
      <c r="O1470" s="8" t="s">
        <v>404</v>
      </c>
      <c r="P1470" s="8" t="s">
        <v>405</v>
      </c>
      <c r="Q1470" s="12"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1470" s="8" t="s">
        <v>100</v>
      </c>
      <c r="S1470" s="7" t="s">
        <v>28</v>
      </c>
      <c r="T1470" s="6"/>
      <c r="U1470" s="8"/>
    </row>
    <row r="1471" spans="1:21" ht="13.5" customHeight="1">
      <c r="A1471" s="8" t="s">
        <v>7148</v>
      </c>
      <c r="B1471" s="16">
        <v>23</v>
      </c>
      <c r="C1471" s="8" t="s">
        <v>20</v>
      </c>
      <c r="D1471" s="8" t="s">
        <v>37</v>
      </c>
      <c r="E1471" s="8" t="s">
        <v>7149</v>
      </c>
      <c r="F1471" s="17">
        <v>41905</v>
      </c>
      <c r="G1471" s="8" t="s">
        <v>7150</v>
      </c>
      <c r="H1471" s="8" t="s">
        <v>288</v>
      </c>
      <c r="I1471" s="8" t="s">
        <v>73</v>
      </c>
      <c r="J1471" s="16" t="s">
        <v>7151</v>
      </c>
      <c r="K1471" s="2" t="s">
        <v>288</v>
      </c>
      <c r="L1471" s="8" t="s">
        <v>7152</v>
      </c>
      <c r="M1471" s="8" t="s">
        <v>5698</v>
      </c>
      <c r="N1471" s="8" t="s">
        <v>7153</v>
      </c>
      <c r="O1471" s="8" t="s">
        <v>1018</v>
      </c>
      <c r="P1471" s="8" t="s">
        <v>405</v>
      </c>
      <c r="Q1471" s="12"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1471" s="8" t="s">
        <v>100</v>
      </c>
      <c r="S1471" s="7" t="s">
        <v>18</v>
      </c>
      <c r="T1471" s="6"/>
      <c r="U1471" s="8"/>
    </row>
    <row r="1472" spans="1:21" ht="13.5" customHeight="1">
      <c r="A1472" s="8" t="s">
        <v>7169</v>
      </c>
      <c r="B1472" s="16">
        <v>36</v>
      </c>
      <c r="C1472" s="8" t="s">
        <v>20</v>
      </c>
      <c r="D1472" s="8" t="s">
        <v>48</v>
      </c>
      <c r="E1472" s="8" t="s">
        <v>7170</v>
      </c>
      <c r="F1472" s="17">
        <v>41904</v>
      </c>
      <c r="G1472" s="8" t="s">
        <v>7171</v>
      </c>
      <c r="H1472" s="8" t="s">
        <v>203</v>
      </c>
      <c r="I1472" s="8" t="s">
        <v>45</v>
      </c>
      <c r="J1472" s="16" t="s">
        <v>7172</v>
      </c>
      <c r="K1472" s="2" t="s">
        <v>203</v>
      </c>
      <c r="L1472" s="8" t="s">
        <v>204</v>
      </c>
      <c r="M1472" s="8" t="s">
        <v>27</v>
      </c>
      <c r="N1472" s="8" t="s">
        <v>7173</v>
      </c>
      <c r="O1472" s="8" t="s">
        <v>554</v>
      </c>
      <c r="P1472" s="8" t="s">
        <v>405</v>
      </c>
      <c r="Q1472" s="12" t="s">
        <v>7174</v>
      </c>
      <c r="R1472" s="8" t="s">
        <v>559</v>
      </c>
      <c r="S1472" s="7" t="s">
        <v>28</v>
      </c>
      <c r="T1472" s="6"/>
      <c r="U1472" s="8"/>
    </row>
    <row r="1473" spans="1:39" ht="13" customHeight="1">
      <c r="A1473" s="8" t="s">
        <v>7175</v>
      </c>
      <c r="B1473" s="16">
        <v>39</v>
      </c>
      <c r="C1473" s="8" t="s">
        <v>20</v>
      </c>
      <c r="D1473" s="8" t="s">
        <v>37</v>
      </c>
      <c r="E1473" s="8" t="s">
        <v>7176</v>
      </c>
      <c r="F1473" s="17">
        <v>41904</v>
      </c>
      <c r="G1473" s="8" t="s">
        <v>7177</v>
      </c>
      <c r="H1473" s="8" t="s">
        <v>2614</v>
      </c>
      <c r="I1473" s="8" t="s">
        <v>69</v>
      </c>
      <c r="J1473" s="16" t="s">
        <v>7178</v>
      </c>
      <c r="K1473" s="2" t="s">
        <v>2615</v>
      </c>
      <c r="L1473" s="8" t="s">
        <v>2616</v>
      </c>
      <c r="M1473" s="8" t="s">
        <v>27</v>
      </c>
      <c r="N1473" s="8" t="s">
        <v>7179</v>
      </c>
      <c r="O1473" s="8" t="s">
        <v>554</v>
      </c>
      <c r="P1473" s="8" t="s">
        <v>405</v>
      </c>
      <c r="Q1473" s="12" t="s">
        <v>7180</v>
      </c>
      <c r="R1473" s="8" t="s">
        <v>100</v>
      </c>
      <c r="S1473" s="7" t="s">
        <v>35</v>
      </c>
      <c r="T1473" s="6"/>
      <c r="U1473" s="8"/>
    </row>
    <row r="1474" spans="1:39" ht="13.5" customHeight="1">
      <c r="A1474" s="8" t="s">
        <v>7181</v>
      </c>
      <c r="B1474" s="16">
        <v>29</v>
      </c>
      <c r="C1474" s="8" t="s">
        <v>20</v>
      </c>
      <c r="D1474" s="8" t="s">
        <v>48</v>
      </c>
      <c r="F1474" s="17">
        <v>41903</v>
      </c>
      <c r="G1474" s="8" t="s">
        <v>7182</v>
      </c>
      <c r="H1474" s="8" t="s">
        <v>2067</v>
      </c>
      <c r="I1474" s="8" t="s">
        <v>118</v>
      </c>
      <c r="J1474" s="16" t="s">
        <v>7183</v>
      </c>
      <c r="K1474" s="2" t="s">
        <v>1553</v>
      </c>
      <c r="L1474" s="8" t="s">
        <v>7184</v>
      </c>
      <c r="M1474" s="8" t="s">
        <v>27</v>
      </c>
      <c r="N1474" s="8" t="s">
        <v>7185</v>
      </c>
      <c r="O1474" s="8" t="s">
        <v>1018</v>
      </c>
      <c r="P1474" s="8" t="s">
        <v>405</v>
      </c>
      <c r="Q1474" s="12" t="s">
        <v>7186</v>
      </c>
      <c r="R1474" s="8" t="s">
        <v>100</v>
      </c>
      <c r="S1474" s="7" t="s">
        <v>28</v>
      </c>
      <c r="T1474" s="6"/>
      <c r="U1474" s="8"/>
    </row>
    <row r="1475" spans="1:39" ht="13.5" customHeight="1">
      <c r="A1475" s="8" t="s">
        <v>7187</v>
      </c>
      <c r="B1475" s="16">
        <v>43</v>
      </c>
      <c r="C1475" s="8" t="s">
        <v>20</v>
      </c>
      <c r="D1475" s="8" t="s">
        <v>37</v>
      </c>
      <c r="F1475" s="17">
        <v>41903</v>
      </c>
      <c r="G1475" s="8" t="s">
        <v>7188</v>
      </c>
      <c r="H1475" s="8" t="s">
        <v>1896</v>
      </c>
      <c r="I1475" s="8" t="s">
        <v>45</v>
      </c>
      <c r="J1475" s="16" t="s">
        <v>7189</v>
      </c>
      <c r="K1475" s="2" t="s">
        <v>1070</v>
      </c>
      <c r="L1475" s="8" t="s">
        <v>1898</v>
      </c>
      <c r="M1475" s="8" t="s">
        <v>27</v>
      </c>
      <c r="N1475" s="8" t="s">
        <v>7190</v>
      </c>
      <c r="O1475" s="8" t="s">
        <v>1018</v>
      </c>
      <c r="P1475" s="8" t="s">
        <v>405</v>
      </c>
      <c r="Q1475" s="12" t="s">
        <v>7191</v>
      </c>
      <c r="R1475" s="8" t="s">
        <v>100</v>
      </c>
      <c r="S1475" s="7" t="s">
        <v>28</v>
      </c>
      <c r="T1475" s="6"/>
      <c r="U1475" s="8"/>
      <c r="Y1475" s="8"/>
      <c r="Z1475" s="8"/>
      <c r="AA1475" s="8"/>
      <c r="AB1475" s="8"/>
      <c r="AC1475" s="8"/>
      <c r="AD1475" s="8"/>
      <c r="AE1475" s="8"/>
      <c r="AF1475" s="8"/>
      <c r="AG1475" s="8"/>
      <c r="AH1475" s="8"/>
    </row>
    <row r="1476" spans="1:39" ht="13.5" customHeight="1">
      <c r="A1476" s="8" t="s">
        <v>7192</v>
      </c>
      <c r="B1476" s="16">
        <v>43</v>
      </c>
      <c r="C1476" s="8" t="s">
        <v>20</v>
      </c>
      <c r="D1476" s="8" t="s">
        <v>37</v>
      </c>
      <c r="F1476" s="17">
        <v>41902</v>
      </c>
      <c r="G1476" s="8" t="s">
        <v>7193</v>
      </c>
      <c r="H1476" s="8" t="s">
        <v>7194</v>
      </c>
      <c r="I1476" s="8" t="s">
        <v>427</v>
      </c>
      <c r="J1476" s="16" t="s">
        <v>7195</v>
      </c>
      <c r="K1476" s="2" t="s">
        <v>7196</v>
      </c>
      <c r="L1476" s="8" t="s">
        <v>7197</v>
      </c>
      <c r="M1476" s="8" t="s">
        <v>395</v>
      </c>
      <c r="N1476" s="8" t="s">
        <v>7198</v>
      </c>
      <c r="O1476" s="8" t="s">
        <v>1018</v>
      </c>
      <c r="P1476" s="8" t="s">
        <v>405</v>
      </c>
      <c r="Q1476" s="12" t="s">
        <v>7199</v>
      </c>
      <c r="R1476" s="8" t="s">
        <v>29</v>
      </c>
      <c r="S1476" s="7" t="s">
        <v>18</v>
      </c>
      <c r="T1476" s="6"/>
      <c r="U1476" s="8"/>
    </row>
    <row r="1477" spans="1:39" ht="13.5" customHeight="1">
      <c r="A1477" s="8" t="s">
        <v>7207</v>
      </c>
      <c r="B1477" s="16">
        <v>52</v>
      </c>
      <c r="C1477" s="8" t="s">
        <v>20</v>
      </c>
      <c r="D1477" s="8" t="s">
        <v>37</v>
      </c>
      <c r="E1477" s="8" t="s">
        <v>7208</v>
      </c>
      <c r="F1477" s="17">
        <v>41902</v>
      </c>
      <c r="G1477" s="8" t="s">
        <v>7209</v>
      </c>
      <c r="H1477" s="8" t="s">
        <v>7210</v>
      </c>
      <c r="I1477" s="8" t="s">
        <v>62</v>
      </c>
      <c r="J1477" s="16" t="s">
        <v>7211</v>
      </c>
      <c r="K1477" s="2" t="s">
        <v>3940</v>
      </c>
      <c r="L1477" s="8" t="s">
        <v>264</v>
      </c>
      <c r="M1477" s="8" t="s">
        <v>27</v>
      </c>
      <c r="N1477" s="8" t="s">
        <v>7212</v>
      </c>
      <c r="O1477" s="8" t="s">
        <v>1018</v>
      </c>
      <c r="P1477" s="8" t="s">
        <v>405</v>
      </c>
      <c r="Q1477" s="12" t="s">
        <v>7213</v>
      </c>
      <c r="R1477" s="8" t="s">
        <v>100</v>
      </c>
      <c r="S1477" s="7" t="s">
        <v>28</v>
      </c>
      <c r="T1477" s="6"/>
      <c r="U1477" s="8"/>
    </row>
    <row r="1478" spans="1:39" ht="13.5" customHeight="1">
      <c r="A1478" s="8" t="s">
        <v>7200</v>
      </c>
      <c r="B1478" s="16">
        <v>49</v>
      </c>
      <c r="C1478" s="8" t="s">
        <v>115</v>
      </c>
      <c r="D1478" s="8" t="s">
        <v>37</v>
      </c>
      <c r="E1478" s="8" t="s">
        <v>7201</v>
      </c>
      <c r="F1478" s="17">
        <v>41902</v>
      </c>
      <c r="G1478" s="8" t="s">
        <v>7202</v>
      </c>
      <c r="H1478" s="8" t="s">
        <v>7203</v>
      </c>
      <c r="I1478" s="8" t="s">
        <v>62</v>
      </c>
      <c r="J1478" s="16" t="s">
        <v>7204</v>
      </c>
      <c r="K1478" s="2" t="s">
        <v>6063</v>
      </c>
      <c r="L1478" s="8" t="s">
        <v>6064</v>
      </c>
      <c r="M1478" s="8" t="s">
        <v>27</v>
      </c>
      <c r="N1478" s="8" t="s">
        <v>7205</v>
      </c>
      <c r="O1478" s="8" t="s">
        <v>4742</v>
      </c>
      <c r="P1478" s="8" t="s">
        <v>405</v>
      </c>
      <c r="Q1478" s="12" t="s">
        <v>7206</v>
      </c>
      <c r="R1478" s="8" t="s">
        <v>559</v>
      </c>
      <c r="S1478" s="7" t="s">
        <v>28</v>
      </c>
      <c r="T1478" s="6"/>
      <c r="U1478" s="8"/>
    </row>
    <row r="1479" spans="1:39" ht="13.5" customHeight="1">
      <c r="A1479" s="8" t="s">
        <v>7219</v>
      </c>
      <c r="B1479" s="16">
        <v>66</v>
      </c>
      <c r="C1479" s="8" t="s">
        <v>20</v>
      </c>
      <c r="D1479" s="8" t="s">
        <v>30</v>
      </c>
      <c r="F1479" s="17">
        <v>41901</v>
      </c>
      <c r="G1479" s="8" t="s">
        <v>7220</v>
      </c>
      <c r="H1479" s="8" t="s">
        <v>7221</v>
      </c>
      <c r="I1479" s="8" t="s">
        <v>124</v>
      </c>
      <c r="J1479" s="16" t="s">
        <v>7222</v>
      </c>
      <c r="K1479" s="2" t="s">
        <v>7223</v>
      </c>
      <c r="L1479" s="8" t="s">
        <v>7224</v>
      </c>
      <c r="M1479" s="8" t="s">
        <v>27</v>
      </c>
      <c r="N1479" s="8" t="s">
        <v>7225</v>
      </c>
      <c r="O1479" s="8" t="s">
        <v>1018</v>
      </c>
      <c r="P1479" s="8" t="s">
        <v>405</v>
      </c>
      <c r="Q1479" s="12" t="s">
        <v>7226</v>
      </c>
      <c r="R1479" s="8" t="s">
        <v>100</v>
      </c>
      <c r="S1479" s="7" t="s">
        <v>28</v>
      </c>
      <c r="T1479" s="6"/>
      <c r="U1479" s="8"/>
    </row>
    <row r="1480" spans="1:39" ht="13.5" customHeight="1">
      <c r="A1480" s="8" t="s">
        <v>7233</v>
      </c>
      <c r="B1480" s="16">
        <v>49</v>
      </c>
      <c r="C1480" s="8" t="s">
        <v>20</v>
      </c>
      <c r="D1480" s="8" t="s">
        <v>37</v>
      </c>
      <c r="E1480" s="8" t="s">
        <v>7234</v>
      </c>
      <c r="F1480" s="17">
        <v>41901</v>
      </c>
      <c r="G1480" s="8" t="s">
        <v>7235</v>
      </c>
      <c r="H1480" s="8" t="s">
        <v>7236</v>
      </c>
      <c r="I1480" s="8" t="s">
        <v>135</v>
      </c>
      <c r="J1480" s="16">
        <v>55811</v>
      </c>
      <c r="K1480" s="2" t="s">
        <v>717</v>
      </c>
      <c r="L1480" s="8" t="s">
        <v>7237</v>
      </c>
      <c r="M1480" s="8" t="s">
        <v>395</v>
      </c>
      <c r="N1480" s="8" t="s">
        <v>7238</v>
      </c>
      <c r="P1480" s="8" t="s">
        <v>405</v>
      </c>
      <c r="Q1480" s="12" t="str">
        <f>HYPERLINK("http://www.twincities.com/localnews/ci_26675527/hermantown-man-dies-after-police-use-taser","http://www.twincities.com/localnews/ci_26675527/hermantown-man-dies-after-police-use-taser")</f>
        <v>http://www.twincities.com/localnews/ci_26675527/hermantown-man-dies-after-police-use-taser</v>
      </c>
      <c r="R1480" s="8" t="s">
        <v>559</v>
      </c>
      <c r="S1480" s="7" t="s">
        <v>35</v>
      </c>
      <c r="T1480" s="6"/>
      <c r="U1480" s="8"/>
    </row>
    <row r="1481" spans="1:39" ht="13.5" customHeight="1">
      <c r="A1481" s="8" t="s">
        <v>7227</v>
      </c>
      <c r="B1481" s="16">
        <v>18</v>
      </c>
      <c r="C1481" s="8" t="s">
        <v>20</v>
      </c>
      <c r="D1481" s="8" t="s">
        <v>37</v>
      </c>
      <c r="F1481" s="17">
        <v>41901</v>
      </c>
      <c r="G1481" s="8" t="s">
        <v>7228</v>
      </c>
      <c r="H1481" s="8" t="s">
        <v>7229</v>
      </c>
      <c r="I1481" s="8" t="s">
        <v>175</v>
      </c>
      <c r="J1481" s="16" t="s">
        <v>7230</v>
      </c>
      <c r="K1481" s="2" t="s">
        <v>1881</v>
      </c>
      <c r="L1481" s="8" t="s">
        <v>7231</v>
      </c>
      <c r="M1481" s="8" t="s">
        <v>27</v>
      </c>
      <c r="N1481" s="8" t="s">
        <v>7232</v>
      </c>
      <c r="O1481" s="8" t="s">
        <v>1018</v>
      </c>
      <c r="P1481" s="8" t="s">
        <v>405</v>
      </c>
      <c r="Q1481" s="12"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1481" s="8" t="s">
        <v>29</v>
      </c>
      <c r="S1481" s="7" t="s">
        <v>28</v>
      </c>
      <c r="T1481" s="6"/>
      <c r="U1481" s="8"/>
    </row>
    <row r="1482" spans="1:39" ht="13.5" customHeight="1">
      <c r="A1482" s="8" t="s">
        <v>793</v>
      </c>
      <c r="B1482" s="16">
        <v>33</v>
      </c>
      <c r="C1482" s="8" t="s">
        <v>20</v>
      </c>
      <c r="D1482" s="8" t="s">
        <v>21</v>
      </c>
      <c r="E1482" s="8" t="s">
        <v>7214</v>
      </c>
      <c r="F1482" s="17">
        <v>41901</v>
      </c>
      <c r="G1482" s="8" t="s">
        <v>7215</v>
      </c>
      <c r="H1482" s="8" t="s">
        <v>979</v>
      </c>
      <c r="I1482" s="8" t="s">
        <v>198</v>
      </c>
      <c r="J1482" s="16" t="s">
        <v>7216</v>
      </c>
      <c r="K1482" s="2" t="s">
        <v>6488</v>
      </c>
      <c r="L1482" s="8" t="s">
        <v>7217</v>
      </c>
      <c r="M1482" s="8" t="s">
        <v>27</v>
      </c>
      <c r="N1482" s="8" t="s">
        <v>7218</v>
      </c>
      <c r="O1482" s="8" t="s">
        <v>1018</v>
      </c>
      <c r="P1482" s="8" t="s">
        <v>405</v>
      </c>
      <c r="Q1482"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1482" s="8" t="s">
        <v>100</v>
      </c>
      <c r="S1482" s="7" t="s">
        <v>28</v>
      </c>
      <c r="T1482" s="6"/>
      <c r="U1482" s="8"/>
      <c r="AI1482" s="8"/>
      <c r="AJ1482" s="8"/>
      <c r="AK1482" s="8"/>
      <c r="AL1482" s="8"/>
      <c r="AM1482" s="8"/>
    </row>
    <row r="1483" spans="1:39" ht="13.5" customHeight="1">
      <c r="A1483" s="8" t="s">
        <v>7245</v>
      </c>
      <c r="B1483" s="16">
        <v>29</v>
      </c>
      <c r="C1483" s="8" t="s">
        <v>20</v>
      </c>
      <c r="D1483" s="8" t="s">
        <v>85</v>
      </c>
      <c r="E1483" s="8" t="s">
        <v>7246</v>
      </c>
      <c r="F1483" s="17">
        <v>41900</v>
      </c>
      <c r="G1483" s="8" t="s">
        <v>7247</v>
      </c>
      <c r="H1483" s="8" t="s">
        <v>5226</v>
      </c>
      <c r="I1483" s="8" t="s">
        <v>175</v>
      </c>
      <c r="J1483" s="16" t="s">
        <v>7248</v>
      </c>
      <c r="K1483" s="2" t="s">
        <v>3782</v>
      </c>
      <c r="L1483" s="8" t="s">
        <v>7249</v>
      </c>
      <c r="M1483" s="8" t="s">
        <v>27</v>
      </c>
      <c r="N1483" s="8" t="s">
        <v>7250</v>
      </c>
      <c r="O1483" s="8" t="s">
        <v>404</v>
      </c>
      <c r="P1483" s="8" t="s">
        <v>405</v>
      </c>
      <c r="Q1483" s="12" t="str">
        <f>HYPERLINK("http://www.ajc.com/news/news/man-fatally-shot-by-police-on-savannah-street/nhP97/","http://www.ajc.com/news/news/man-fatally-shot-by-police-on-savannah-street/nhP97/")</f>
        <v>http://www.ajc.com/news/news/man-fatally-shot-by-police-on-savannah-street/nhP97/</v>
      </c>
      <c r="R1483" s="8" t="s">
        <v>29</v>
      </c>
      <c r="S1483" s="7" t="s">
        <v>18</v>
      </c>
      <c r="T1483" s="6"/>
      <c r="U1483" s="8"/>
    </row>
    <row r="1484" spans="1:39" ht="13.5" customHeight="1">
      <c r="A1484" s="8" t="s">
        <v>7239</v>
      </c>
      <c r="B1484" s="16">
        <v>42</v>
      </c>
      <c r="C1484" s="8" t="s">
        <v>20</v>
      </c>
      <c r="D1484" s="8" t="s">
        <v>85</v>
      </c>
      <c r="E1484" s="8" t="s">
        <v>7240</v>
      </c>
      <c r="F1484" s="17">
        <v>41900</v>
      </c>
      <c r="G1484" s="8" t="s">
        <v>7241</v>
      </c>
      <c r="H1484" s="8" t="s">
        <v>2826</v>
      </c>
      <c r="I1484" s="8" t="s">
        <v>435</v>
      </c>
      <c r="J1484" s="16" t="s">
        <v>2827</v>
      </c>
      <c r="K1484" s="2" t="s">
        <v>717</v>
      </c>
      <c r="L1484" s="8" t="s">
        <v>7242</v>
      </c>
      <c r="M1484" s="8" t="s">
        <v>27</v>
      </c>
      <c r="N1484" s="8" t="s">
        <v>7243</v>
      </c>
      <c r="O1484" s="8" t="s">
        <v>4742</v>
      </c>
      <c r="P1484" s="8" t="s">
        <v>405</v>
      </c>
      <c r="Q1484" s="12" t="s">
        <v>7244</v>
      </c>
      <c r="R1484" s="8" t="s">
        <v>100</v>
      </c>
      <c r="S1484" s="7" t="s">
        <v>28</v>
      </c>
      <c r="T1484" s="6"/>
      <c r="U1484" s="8"/>
    </row>
    <row r="1485" spans="1:39" ht="13.5" customHeight="1">
      <c r="A1485" s="8" t="s">
        <v>7251</v>
      </c>
      <c r="B1485" s="16">
        <v>40</v>
      </c>
      <c r="C1485" s="8" t="s">
        <v>20</v>
      </c>
      <c r="D1485" s="8" t="s">
        <v>37</v>
      </c>
      <c r="E1485" s="8" t="s">
        <v>7252</v>
      </c>
      <c r="F1485" s="17">
        <v>41900</v>
      </c>
      <c r="G1485" s="8" t="s">
        <v>7253</v>
      </c>
      <c r="H1485" s="8" t="s">
        <v>7254</v>
      </c>
      <c r="I1485" s="8" t="s">
        <v>323</v>
      </c>
      <c r="J1485" s="16" t="s">
        <v>7255</v>
      </c>
      <c r="K1485" s="2" t="s">
        <v>7256</v>
      </c>
      <c r="L1485" s="8" t="s">
        <v>7257</v>
      </c>
      <c r="M1485" s="8" t="s">
        <v>27</v>
      </c>
      <c r="N1485" s="8" t="s">
        <v>7258</v>
      </c>
      <c r="O1485" s="8" t="s">
        <v>4742</v>
      </c>
      <c r="P1485" s="8" t="s">
        <v>405</v>
      </c>
      <c r="Q1485" s="12" t="s">
        <v>7259</v>
      </c>
      <c r="R1485" s="8" t="s">
        <v>100</v>
      </c>
      <c r="S1485" s="7" t="s">
        <v>28</v>
      </c>
      <c r="T1485" s="6"/>
      <c r="U1485" s="8"/>
    </row>
    <row r="1486" spans="1:39" ht="13.5" customHeight="1">
      <c r="A1486" s="8" t="s">
        <v>7260</v>
      </c>
      <c r="B1486" s="16">
        <v>41</v>
      </c>
      <c r="C1486" s="8" t="s">
        <v>20</v>
      </c>
      <c r="D1486" s="8" t="s">
        <v>37</v>
      </c>
      <c r="E1486" s="8" t="s">
        <v>7261</v>
      </c>
      <c r="F1486" s="17">
        <v>41899</v>
      </c>
      <c r="G1486" s="8" t="s">
        <v>7262</v>
      </c>
      <c r="H1486" s="8" t="s">
        <v>1879</v>
      </c>
      <c r="I1486" s="8" t="s">
        <v>374</v>
      </c>
      <c r="J1486" s="16" t="s">
        <v>7263</v>
      </c>
      <c r="K1486" s="2" t="s">
        <v>1881</v>
      </c>
      <c r="L1486" s="8" t="s">
        <v>1882</v>
      </c>
      <c r="M1486" s="8" t="s">
        <v>27</v>
      </c>
      <c r="N1486" s="8" t="s">
        <v>7264</v>
      </c>
      <c r="O1486" s="8" t="s">
        <v>4742</v>
      </c>
      <c r="P1486" s="8" t="s">
        <v>405</v>
      </c>
      <c r="Q1486" s="12" t="s">
        <v>7265</v>
      </c>
      <c r="R1486" s="8" t="s">
        <v>100</v>
      </c>
      <c r="S1486" s="7" t="s">
        <v>28</v>
      </c>
      <c r="T1486" s="6"/>
      <c r="U1486" s="8"/>
    </row>
    <row r="1487" spans="1:39" ht="13.5" customHeight="1">
      <c r="A1487" s="8" t="s">
        <v>7266</v>
      </c>
      <c r="B1487" s="16">
        <v>22</v>
      </c>
      <c r="C1487" s="8" t="s">
        <v>20</v>
      </c>
      <c r="D1487" s="8" t="s">
        <v>37</v>
      </c>
      <c r="E1487" s="8" t="s">
        <v>7267</v>
      </c>
      <c r="F1487" s="17">
        <v>41899</v>
      </c>
      <c r="G1487" s="8" t="s">
        <v>7268</v>
      </c>
      <c r="H1487" s="8" t="s">
        <v>7269</v>
      </c>
      <c r="I1487" s="8" t="s">
        <v>45</v>
      </c>
      <c r="J1487" s="16" t="s">
        <v>7270</v>
      </c>
      <c r="K1487" s="2" t="s">
        <v>5479</v>
      </c>
      <c r="L1487" s="8" t="s">
        <v>7271</v>
      </c>
      <c r="M1487" s="8" t="s">
        <v>27</v>
      </c>
      <c r="N1487" s="8" t="s">
        <v>7272</v>
      </c>
      <c r="O1487" s="8" t="s">
        <v>404</v>
      </c>
      <c r="P1487" s="8" t="s">
        <v>405</v>
      </c>
      <c r="Q1487" s="12" t="s">
        <v>7273</v>
      </c>
      <c r="R1487" s="8" t="s">
        <v>100</v>
      </c>
      <c r="S1487" s="7" t="s">
        <v>28</v>
      </c>
      <c r="T1487" s="6"/>
      <c r="U1487" s="8"/>
    </row>
    <row r="1488" spans="1:39" ht="13.5" customHeight="1">
      <c r="A1488" s="8" t="s">
        <v>7274</v>
      </c>
      <c r="B1488" s="16">
        <v>23</v>
      </c>
      <c r="C1488" s="8" t="s">
        <v>20</v>
      </c>
      <c r="D1488" s="8" t="s">
        <v>85</v>
      </c>
      <c r="E1488" s="8" t="s">
        <v>7275</v>
      </c>
      <c r="F1488" s="17">
        <v>41898</v>
      </c>
      <c r="G1488" s="8" t="s">
        <v>7276</v>
      </c>
      <c r="H1488" s="8" t="s">
        <v>7277</v>
      </c>
      <c r="I1488" s="8" t="s">
        <v>81</v>
      </c>
      <c r="J1488" s="16" t="s">
        <v>7278</v>
      </c>
      <c r="K1488" s="2" t="s">
        <v>1850</v>
      </c>
      <c r="L1488" s="8" t="s">
        <v>7279</v>
      </c>
      <c r="M1488" s="8" t="s">
        <v>27</v>
      </c>
      <c r="N1488" s="8" t="s">
        <v>7280</v>
      </c>
      <c r="O1488" s="8" t="s">
        <v>4742</v>
      </c>
      <c r="P1488" s="8" t="s">
        <v>405</v>
      </c>
      <c r="Q1488" s="12" t="s">
        <v>7281</v>
      </c>
      <c r="R1488" s="8" t="s">
        <v>100</v>
      </c>
      <c r="S1488" s="7" t="s">
        <v>28</v>
      </c>
      <c r="T1488" s="6"/>
      <c r="U1488" s="8"/>
    </row>
    <row r="1489" spans="1:34" ht="13.5" customHeight="1">
      <c r="A1489" s="8" t="s">
        <v>7282</v>
      </c>
      <c r="B1489" s="16">
        <v>21</v>
      </c>
      <c r="C1489" s="8" t="s">
        <v>20</v>
      </c>
      <c r="D1489" s="8" t="s">
        <v>48</v>
      </c>
      <c r="E1489" s="8" t="s">
        <v>7283</v>
      </c>
      <c r="F1489" s="17">
        <v>41898</v>
      </c>
      <c r="G1489" s="8" t="s">
        <v>7284</v>
      </c>
      <c r="H1489" s="8" t="s">
        <v>203</v>
      </c>
      <c r="I1489" s="8" t="s">
        <v>45</v>
      </c>
      <c r="J1489" s="16" t="s">
        <v>7285</v>
      </c>
      <c r="K1489" s="2" t="s">
        <v>203</v>
      </c>
      <c r="L1489" s="8" t="s">
        <v>204</v>
      </c>
      <c r="M1489" s="8" t="s">
        <v>27</v>
      </c>
      <c r="N1489" s="8" t="s">
        <v>7286</v>
      </c>
      <c r="O1489" s="8" t="s">
        <v>1018</v>
      </c>
      <c r="P1489" s="8" t="s">
        <v>405</v>
      </c>
      <c r="Q1489" s="12" t="s">
        <v>7287</v>
      </c>
      <c r="R1489" s="8" t="s">
        <v>100</v>
      </c>
      <c r="S1489" s="7" t="s">
        <v>18</v>
      </c>
      <c r="T1489" s="6"/>
      <c r="U1489" s="8"/>
    </row>
    <row r="1490" spans="1:34" ht="13.5" customHeight="1">
      <c r="A1490" s="8" t="s">
        <v>7288</v>
      </c>
      <c r="B1490" s="16">
        <v>40</v>
      </c>
      <c r="C1490" s="8" t="s">
        <v>20</v>
      </c>
      <c r="D1490" s="8" t="s">
        <v>37</v>
      </c>
      <c r="E1490" s="8" t="s">
        <v>7289</v>
      </c>
      <c r="F1490" s="17">
        <v>41898</v>
      </c>
      <c r="G1490" s="8" t="s">
        <v>7290</v>
      </c>
      <c r="H1490" s="8" t="s">
        <v>7291</v>
      </c>
      <c r="I1490" s="8" t="s">
        <v>675</v>
      </c>
      <c r="J1490" s="16" t="s">
        <v>7292</v>
      </c>
      <c r="K1490" s="2" t="s">
        <v>5821</v>
      </c>
      <c r="L1490" s="8" t="s">
        <v>7293</v>
      </c>
      <c r="M1490" s="8" t="s">
        <v>27</v>
      </c>
      <c r="N1490" s="8" t="s">
        <v>7294</v>
      </c>
      <c r="O1490" s="8" t="s">
        <v>4742</v>
      </c>
      <c r="P1490" s="8" t="s">
        <v>405</v>
      </c>
      <c r="Q1490" s="12" t="s">
        <v>7295</v>
      </c>
      <c r="R1490" s="8" t="s">
        <v>100</v>
      </c>
      <c r="S1490" s="7" t="s">
        <v>28</v>
      </c>
      <c r="T1490" s="6"/>
      <c r="U1490" s="8"/>
    </row>
    <row r="1491" spans="1:34" ht="13.5" customHeight="1">
      <c r="A1491" s="8" t="s">
        <v>7305</v>
      </c>
      <c r="B1491" s="16">
        <v>26</v>
      </c>
      <c r="C1491" s="8" t="s">
        <v>20</v>
      </c>
      <c r="D1491" s="8" t="s">
        <v>85</v>
      </c>
      <c r="E1491" s="8" t="s">
        <v>7306</v>
      </c>
      <c r="F1491" s="17">
        <v>41897</v>
      </c>
      <c r="G1491" s="8" t="s">
        <v>7307</v>
      </c>
      <c r="H1491" s="8" t="s">
        <v>7308</v>
      </c>
      <c r="I1491" s="8" t="s">
        <v>306</v>
      </c>
      <c r="J1491" s="16" t="s">
        <v>7309</v>
      </c>
      <c r="K1491" s="2" t="s">
        <v>7310</v>
      </c>
      <c r="L1491" s="8" t="s">
        <v>7311</v>
      </c>
      <c r="M1491" s="8" t="s">
        <v>27</v>
      </c>
      <c r="N1491" s="8" t="s">
        <v>7312</v>
      </c>
      <c r="O1491" s="8" t="s">
        <v>4742</v>
      </c>
      <c r="P1491" s="8" t="s">
        <v>405</v>
      </c>
      <c r="Q1491" s="12" t="s">
        <v>7313</v>
      </c>
      <c r="R1491" s="8" t="s">
        <v>559</v>
      </c>
      <c r="S1491" s="7" t="s">
        <v>28</v>
      </c>
      <c r="T1491" s="6"/>
      <c r="U1491" s="8"/>
    </row>
    <row r="1492" spans="1:34" ht="13.5" customHeight="1">
      <c r="A1492" s="8" t="s">
        <v>7296</v>
      </c>
      <c r="B1492" s="16">
        <v>23</v>
      </c>
      <c r="C1492" s="8" t="s">
        <v>20</v>
      </c>
      <c r="D1492" s="8" t="s">
        <v>85</v>
      </c>
      <c r="E1492" s="8" t="s">
        <v>7297</v>
      </c>
      <c r="F1492" s="17">
        <v>41897</v>
      </c>
      <c r="G1492" s="8" t="s">
        <v>7298</v>
      </c>
      <c r="H1492" s="8" t="s">
        <v>7299</v>
      </c>
      <c r="I1492" s="8" t="s">
        <v>334</v>
      </c>
      <c r="J1492" s="16" t="s">
        <v>7300</v>
      </c>
      <c r="K1492" s="2" t="s">
        <v>7301</v>
      </c>
      <c r="L1492" s="8" t="s">
        <v>7302</v>
      </c>
      <c r="M1492" s="8" t="s">
        <v>27</v>
      </c>
      <c r="N1492" s="8" t="s">
        <v>7303</v>
      </c>
      <c r="O1492" s="8" t="s">
        <v>4742</v>
      </c>
      <c r="P1492" s="8" t="s">
        <v>405</v>
      </c>
      <c r="Q1492" s="12" t="s">
        <v>7304</v>
      </c>
      <c r="R1492" s="8" t="s">
        <v>29</v>
      </c>
      <c r="S1492" s="7" t="s">
        <v>28</v>
      </c>
      <c r="T1492" s="6"/>
      <c r="U1492" s="8"/>
    </row>
    <row r="1493" spans="1:34" ht="13.5" customHeight="1">
      <c r="A1493" s="8" t="s">
        <v>7314</v>
      </c>
      <c r="B1493" s="16">
        <v>36</v>
      </c>
      <c r="C1493" s="8" t="s">
        <v>20</v>
      </c>
      <c r="D1493" s="8" t="s">
        <v>85</v>
      </c>
      <c r="F1493" s="17">
        <v>41896</v>
      </c>
      <c r="G1493" s="8" t="s">
        <v>7315</v>
      </c>
      <c r="H1493" s="8" t="s">
        <v>6452</v>
      </c>
      <c r="I1493" s="8" t="s">
        <v>25</v>
      </c>
      <c r="J1493" s="16" t="s">
        <v>7316</v>
      </c>
      <c r="K1493" s="2" t="s">
        <v>1795</v>
      </c>
      <c r="L1493" s="8" t="s">
        <v>1050</v>
      </c>
      <c r="M1493" s="8" t="s">
        <v>27</v>
      </c>
      <c r="N1493" s="8" t="s">
        <v>7317</v>
      </c>
      <c r="O1493" s="8" t="s">
        <v>554</v>
      </c>
      <c r="P1493" s="8" t="s">
        <v>405</v>
      </c>
      <c r="Q1493" s="12" t="str">
        <f>HYPERLINK("http://www.wwltv.com/story/news/local/orleans/2014/09/15/officer-shot-on-duty-in-good-spirits/15700815/","http://www.wwltv.com/story/news/local/orleans/2014/09/15/officer-shot-on-duty-in-good-spirits/15700815/")</f>
        <v>http://www.wwltv.com/story/news/local/orleans/2014/09/15/officer-shot-on-duty-in-good-spirits/15700815/</v>
      </c>
      <c r="R1493" s="8" t="s">
        <v>100</v>
      </c>
      <c r="S1493" s="7" t="s">
        <v>28</v>
      </c>
      <c r="T1493" s="6"/>
      <c r="U1493" s="8"/>
    </row>
    <row r="1494" spans="1:34" ht="13.5" customHeight="1">
      <c r="A1494" s="8" t="s">
        <v>3778</v>
      </c>
      <c r="B1494" s="16">
        <v>37</v>
      </c>
      <c r="C1494" s="8" t="s">
        <v>20</v>
      </c>
      <c r="D1494" s="8" t="s">
        <v>37</v>
      </c>
      <c r="F1494" s="17">
        <v>41896</v>
      </c>
      <c r="G1494" s="8" t="s">
        <v>7332</v>
      </c>
      <c r="H1494" s="8" t="s">
        <v>551</v>
      </c>
      <c r="I1494" s="8" t="s">
        <v>69</v>
      </c>
      <c r="J1494" s="16" t="s">
        <v>7333</v>
      </c>
      <c r="K1494" s="2" t="s">
        <v>552</v>
      </c>
      <c r="L1494" s="8" t="s">
        <v>553</v>
      </c>
      <c r="M1494" s="8" t="s">
        <v>27</v>
      </c>
      <c r="N1494" s="8" t="s">
        <v>7334</v>
      </c>
      <c r="O1494" s="8" t="s">
        <v>554</v>
      </c>
      <c r="P1494" s="8" t="s">
        <v>405</v>
      </c>
      <c r="Q1494" s="12" t="s">
        <v>7335</v>
      </c>
      <c r="R1494" s="8" t="s">
        <v>559</v>
      </c>
      <c r="S1494" s="7" t="s">
        <v>28</v>
      </c>
      <c r="T1494" s="6"/>
      <c r="U1494" s="8"/>
    </row>
    <row r="1495" spans="1:34" ht="13.5" customHeight="1">
      <c r="A1495" s="8" t="s">
        <v>7324</v>
      </c>
      <c r="B1495" s="16">
        <v>20</v>
      </c>
      <c r="C1495" s="8" t="s">
        <v>20</v>
      </c>
      <c r="D1495" s="8" t="s">
        <v>48</v>
      </c>
      <c r="E1495" s="8" t="s">
        <v>7325</v>
      </c>
      <c r="F1495" s="17">
        <v>41896</v>
      </c>
      <c r="G1495" s="8" t="s">
        <v>7326</v>
      </c>
      <c r="H1495" s="8" t="s">
        <v>7327</v>
      </c>
      <c r="I1495" s="8" t="s">
        <v>44</v>
      </c>
      <c r="J1495" s="16" t="s">
        <v>7328</v>
      </c>
      <c r="K1495" s="2" t="s">
        <v>88</v>
      </c>
      <c r="L1495" s="8" t="s">
        <v>7329</v>
      </c>
      <c r="M1495" s="8" t="s">
        <v>383</v>
      </c>
      <c r="N1495" s="8" t="s">
        <v>7330</v>
      </c>
      <c r="O1495" s="8" t="s">
        <v>1018</v>
      </c>
      <c r="P1495" s="8" t="s">
        <v>405</v>
      </c>
      <c r="Q1495" s="12" t="s">
        <v>7331</v>
      </c>
      <c r="R1495" s="8" t="s">
        <v>100</v>
      </c>
      <c r="S1495" s="7" t="s">
        <v>18</v>
      </c>
      <c r="T1495" s="6"/>
      <c r="U1495" s="8"/>
      <c r="V1495" s="8"/>
      <c r="W1495" s="8"/>
      <c r="X1495" s="8"/>
    </row>
    <row r="1496" spans="1:34" ht="13.5" customHeight="1">
      <c r="A1496" s="8" t="s">
        <v>7318</v>
      </c>
      <c r="B1496" s="16">
        <v>24</v>
      </c>
      <c r="C1496" s="8" t="s">
        <v>20</v>
      </c>
      <c r="D1496" s="8" t="s">
        <v>48</v>
      </c>
      <c r="E1496" s="8" t="s">
        <v>7319</v>
      </c>
      <c r="F1496" s="17">
        <v>41896</v>
      </c>
      <c r="G1496" s="8" t="s">
        <v>7320</v>
      </c>
      <c r="H1496" s="8" t="s">
        <v>882</v>
      </c>
      <c r="I1496" s="8" t="s">
        <v>45</v>
      </c>
      <c r="J1496" s="16" t="s">
        <v>7321</v>
      </c>
      <c r="K1496" s="2" t="s">
        <v>4556</v>
      </c>
      <c r="L1496" s="8" t="s">
        <v>19948</v>
      </c>
      <c r="M1496" s="8" t="s">
        <v>27</v>
      </c>
      <c r="N1496" s="8" t="s">
        <v>7322</v>
      </c>
      <c r="O1496" s="8" t="s">
        <v>1018</v>
      </c>
      <c r="P1496" s="8" t="s">
        <v>405</v>
      </c>
      <c r="Q1496" s="12" t="s">
        <v>7323</v>
      </c>
      <c r="R1496" s="8" t="s">
        <v>972</v>
      </c>
      <c r="S1496" s="7" t="s">
        <v>28</v>
      </c>
      <c r="T1496" s="6"/>
      <c r="U1496" s="8"/>
    </row>
    <row r="1497" spans="1:34" ht="13.5" customHeight="1">
      <c r="A1497" s="8" t="s">
        <v>7336</v>
      </c>
      <c r="B1497" s="16">
        <v>25</v>
      </c>
      <c r="C1497" s="8" t="s">
        <v>20</v>
      </c>
      <c r="D1497" s="8" t="s">
        <v>85</v>
      </c>
      <c r="E1497" s="8" t="s">
        <v>7337</v>
      </c>
      <c r="F1497" s="17">
        <v>41895</v>
      </c>
      <c r="G1497" s="8" t="s">
        <v>7338</v>
      </c>
      <c r="H1497" s="8" t="s">
        <v>5015</v>
      </c>
      <c r="I1497" s="8" t="s">
        <v>243</v>
      </c>
      <c r="J1497" s="16" t="s">
        <v>5016</v>
      </c>
      <c r="K1497" s="2" t="s">
        <v>617</v>
      </c>
      <c r="L1497" s="8" t="s">
        <v>7339</v>
      </c>
      <c r="M1497" s="8" t="s">
        <v>5698</v>
      </c>
      <c r="N1497" s="8" t="s">
        <v>7340</v>
      </c>
      <c r="O1497" s="8" t="s">
        <v>554</v>
      </c>
      <c r="P1497" s="8" t="s">
        <v>405</v>
      </c>
      <c r="Q1497" s="12" t="s">
        <v>7341</v>
      </c>
      <c r="R1497" s="8" t="s">
        <v>100</v>
      </c>
      <c r="S1497" s="7" t="s">
        <v>18</v>
      </c>
      <c r="T1497" s="6"/>
      <c r="U1497" s="8"/>
    </row>
    <row r="1498" spans="1:34" ht="13.5" customHeight="1">
      <c r="A1498" s="8" t="s">
        <v>7352</v>
      </c>
      <c r="B1498" s="16">
        <v>43</v>
      </c>
      <c r="C1498" s="8" t="s">
        <v>20</v>
      </c>
      <c r="D1498" s="8" t="s">
        <v>37</v>
      </c>
      <c r="E1498" s="8" t="s">
        <v>7353</v>
      </c>
      <c r="F1498" s="17">
        <v>41895</v>
      </c>
      <c r="G1498" s="8" t="s">
        <v>7354</v>
      </c>
      <c r="H1498" s="8" t="s">
        <v>7355</v>
      </c>
      <c r="I1498" s="8" t="s">
        <v>323</v>
      </c>
      <c r="J1498" s="16" t="s">
        <v>7356</v>
      </c>
      <c r="K1498" s="2" t="s">
        <v>5572</v>
      </c>
      <c r="L1498" s="8" t="s">
        <v>7357</v>
      </c>
      <c r="M1498" s="8" t="s">
        <v>27</v>
      </c>
      <c r="N1498" s="8" t="s">
        <v>7358</v>
      </c>
      <c r="O1498" s="8" t="s">
        <v>554</v>
      </c>
      <c r="P1498" s="8" t="s">
        <v>405</v>
      </c>
      <c r="Q1498" s="12" t="s">
        <v>7359</v>
      </c>
      <c r="R1498" s="8" t="s">
        <v>100</v>
      </c>
      <c r="S1498" s="7" t="s">
        <v>18</v>
      </c>
      <c r="T1498" s="6"/>
      <c r="U1498" s="8"/>
    </row>
    <row r="1499" spans="1:34" ht="13.5" customHeight="1">
      <c r="A1499" s="8" t="s">
        <v>7346</v>
      </c>
      <c r="B1499" s="16">
        <v>29</v>
      </c>
      <c r="C1499" s="8" t="s">
        <v>20</v>
      </c>
      <c r="D1499" s="8" t="s">
        <v>37</v>
      </c>
      <c r="E1499" s="8" t="s">
        <v>7347</v>
      </c>
      <c r="F1499" s="17">
        <v>41895</v>
      </c>
      <c r="G1499" s="8" t="s">
        <v>7348</v>
      </c>
      <c r="H1499" s="8" t="s">
        <v>1015</v>
      </c>
      <c r="I1499" s="8" t="s">
        <v>319</v>
      </c>
      <c r="J1499" s="16" t="s">
        <v>7349</v>
      </c>
      <c r="K1499" s="2" t="s">
        <v>1532</v>
      </c>
      <c r="L1499" s="8" t="s">
        <v>7350</v>
      </c>
      <c r="M1499" s="8" t="s">
        <v>27</v>
      </c>
      <c r="N1499" s="8" t="s">
        <v>7351</v>
      </c>
      <c r="O1499" s="8" t="s">
        <v>1018</v>
      </c>
      <c r="P1499" s="8" t="s">
        <v>405</v>
      </c>
      <c r="Q1499" s="12"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1499" s="8" t="s">
        <v>100</v>
      </c>
      <c r="S1499" s="7" t="s">
        <v>28</v>
      </c>
      <c r="T1499" s="6"/>
      <c r="U1499" s="8"/>
    </row>
    <row r="1500" spans="1:34" ht="13.5" customHeight="1">
      <c r="A1500" s="8" t="s">
        <v>7342</v>
      </c>
      <c r="B1500" s="16">
        <v>47</v>
      </c>
      <c r="C1500" s="8" t="s">
        <v>20</v>
      </c>
      <c r="D1500" s="8" t="s">
        <v>85</v>
      </c>
      <c r="E1500" s="8"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1500" s="17">
        <v>41895</v>
      </c>
      <c r="G1500" s="8" t="s">
        <v>7343</v>
      </c>
      <c r="H1500" s="8" t="s">
        <v>4195</v>
      </c>
      <c r="I1500" s="8" t="s">
        <v>94</v>
      </c>
      <c r="J1500" s="16">
        <v>35203</v>
      </c>
      <c r="K1500" s="2" t="s">
        <v>1795</v>
      </c>
      <c r="L1500" s="8" t="s">
        <v>7344</v>
      </c>
      <c r="M1500" s="8" t="s">
        <v>395</v>
      </c>
      <c r="N1500" s="8" t="s">
        <v>7345</v>
      </c>
      <c r="O1500" s="8" t="s">
        <v>1018</v>
      </c>
      <c r="P1500" s="8" t="s">
        <v>405</v>
      </c>
      <c r="Q1500" s="12" t="str">
        <f>HYPERLINK("http://www.al.com/news/birmingham/index.ssf/2014/09/jefferson_county_inmate_dies_a.html","http://www.al.com/news/birmingham/index.ssf/2014/09/jefferson_county_inmate_dies_a.html")</f>
        <v>http://www.al.com/news/birmingham/index.ssf/2014/09/jefferson_county_inmate_dies_a.html</v>
      </c>
      <c r="R1500" s="8" t="s">
        <v>29</v>
      </c>
      <c r="S1500" s="7" t="s">
        <v>18</v>
      </c>
      <c r="T1500" s="6"/>
      <c r="U1500" s="8"/>
    </row>
    <row r="1501" spans="1:34" ht="13.5" customHeight="1">
      <c r="A1501" s="8" t="s">
        <v>7360</v>
      </c>
      <c r="B1501" s="16">
        <v>22</v>
      </c>
      <c r="C1501" s="8" t="s">
        <v>20</v>
      </c>
      <c r="D1501" s="8" t="s">
        <v>85</v>
      </c>
      <c r="E1501" s="8" t="s">
        <v>7361</v>
      </c>
      <c r="F1501" s="17">
        <v>41894</v>
      </c>
      <c r="G1501" s="8" t="s">
        <v>7362</v>
      </c>
      <c r="H1501" s="8" t="s">
        <v>7363</v>
      </c>
      <c r="I1501" s="8" t="s">
        <v>243</v>
      </c>
      <c r="J1501" s="16" t="s">
        <v>7364</v>
      </c>
      <c r="K1501" s="2" t="s">
        <v>594</v>
      </c>
      <c r="L1501" s="8" t="s">
        <v>7365</v>
      </c>
      <c r="M1501" s="8" t="s">
        <v>27</v>
      </c>
      <c r="N1501" s="8" t="s">
        <v>7366</v>
      </c>
      <c r="O1501" s="8" t="s">
        <v>404</v>
      </c>
      <c r="P1501" s="8" t="s">
        <v>405</v>
      </c>
      <c r="Q1501" s="12" t="s">
        <v>7367</v>
      </c>
      <c r="R1501" s="8" t="s">
        <v>100</v>
      </c>
      <c r="S1501" s="7" t="s">
        <v>18</v>
      </c>
      <c r="T1501" s="6"/>
      <c r="U1501" s="8"/>
    </row>
    <row r="1502" spans="1:34" ht="13.5" customHeight="1">
      <c r="A1502" s="8" t="s">
        <v>7368</v>
      </c>
      <c r="B1502" s="16">
        <v>33</v>
      </c>
      <c r="C1502" s="8" t="s">
        <v>20</v>
      </c>
      <c r="D1502" s="8" t="s">
        <v>85</v>
      </c>
      <c r="E1502" s="8" t="s">
        <v>7369</v>
      </c>
      <c r="F1502" s="17">
        <v>41894</v>
      </c>
      <c r="G1502" s="8" t="s">
        <v>7370</v>
      </c>
      <c r="H1502" s="8" t="s">
        <v>391</v>
      </c>
      <c r="I1502" s="8" t="s">
        <v>323</v>
      </c>
      <c r="J1502" s="16" t="s">
        <v>7371</v>
      </c>
      <c r="K1502" s="2" t="s">
        <v>2708</v>
      </c>
      <c r="L1502" s="8" t="s">
        <v>2709</v>
      </c>
      <c r="M1502" s="8" t="s">
        <v>27</v>
      </c>
      <c r="N1502" s="8" t="s">
        <v>7372</v>
      </c>
      <c r="O1502" s="8" t="s">
        <v>1018</v>
      </c>
      <c r="P1502" s="8" t="s">
        <v>405</v>
      </c>
      <c r="Q1502" s="12" t="s">
        <v>7373</v>
      </c>
      <c r="R1502" s="8" t="s">
        <v>100</v>
      </c>
      <c r="S1502" s="7" t="s">
        <v>383</v>
      </c>
      <c r="T1502" s="6"/>
      <c r="U1502" s="8"/>
    </row>
    <row r="1503" spans="1:34" ht="13.5" customHeight="1">
      <c r="A1503" s="8" t="s">
        <v>7374</v>
      </c>
      <c r="B1503" s="16">
        <v>33</v>
      </c>
      <c r="C1503" s="8" t="s">
        <v>20</v>
      </c>
      <c r="D1503" s="8" t="s">
        <v>37</v>
      </c>
      <c r="E1503" s="8" t="s">
        <v>7375</v>
      </c>
      <c r="F1503" s="17">
        <v>41894</v>
      </c>
      <c r="G1503" s="8" t="s">
        <v>7376</v>
      </c>
      <c r="H1503" s="8" t="s">
        <v>7377</v>
      </c>
      <c r="I1503" s="8" t="s">
        <v>73</v>
      </c>
      <c r="J1503" s="16" t="s">
        <v>7378</v>
      </c>
      <c r="K1503" s="2" t="s">
        <v>7379</v>
      </c>
      <c r="L1503" s="8" t="s">
        <v>7380</v>
      </c>
      <c r="M1503" s="8" t="s">
        <v>27</v>
      </c>
      <c r="N1503" s="8" t="s">
        <v>7381</v>
      </c>
      <c r="O1503" s="8" t="s">
        <v>1018</v>
      </c>
      <c r="P1503" s="8" t="s">
        <v>405</v>
      </c>
      <c r="Q1503" s="12" t="s">
        <v>7382</v>
      </c>
      <c r="R1503" s="8" t="s">
        <v>559</v>
      </c>
      <c r="S1503" s="7" t="s">
        <v>28</v>
      </c>
      <c r="T1503" s="6"/>
      <c r="U1503" s="8"/>
      <c r="Y1503" s="8"/>
      <c r="Z1503" s="8"/>
      <c r="AA1503" s="8"/>
      <c r="AB1503" s="8"/>
      <c r="AC1503" s="8"/>
      <c r="AD1503" s="8"/>
      <c r="AE1503" s="8"/>
      <c r="AF1503" s="8"/>
      <c r="AG1503" s="8"/>
      <c r="AH1503" s="8"/>
    </row>
    <row r="1504" spans="1:34" ht="13.5" customHeight="1">
      <c r="A1504" s="8" t="s">
        <v>7391</v>
      </c>
      <c r="B1504" s="16">
        <v>37</v>
      </c>
      <c r="C1504" s="8" t="s">
        <v>20</v>
      </c>
      <c r="D1504" s="8" t="s">
        <v>37</v>
      </c>
      <c r="E1504" s="8" t="s">
        <v>7392</v>
      </c>
      <c r="F1504" s="17">
        <v>41893</v>
      </c>
      <c r="G1504" s="8" t="s">
        <v>7393</v>
      </c>
      <c r="H1504" s="8" t="s">
        <v>7394</v>
      </c>
      <c r="I1504" s="8" t="s">
        <v>243</v>
      </c>
      <c r="J1504" s="16" t="s">
        <v>7395</v>
      </c>
      <c r="K1504" s="2" t="s">
        <v>119</v>
      </c>
      <c r="L1504" s="8" t="s">
        <v>7396</v>
      </c>
      <c r="M1504" s="8" t="s">
        <v>27</v>
      </c>
      <c r="N1504" s="8" t="s">
        <v>7397</v>
      </c>
      <c r="O1504" s="8" t="s">
        <v>554</v>
      </c>
      <c r="P1504" s="8" t="s">
        <v>405</v>
      </c>
      <c r="Q1504" s="12" t="s">
        <v>5329</v>
      </c>
      <c r="R1504" s="8" t="s">
        <v>100</v>
      </c>
      <c r="S1504" s="7" t="s">
        <v>28</v>
      </c>
      <c r="T1504" s="6"/>
      <c r="U1504" s="8"/>
    </row>
    <row r="1505" spans="1:49" ht="13.5" customHeight="1">
      <c r="A1505" s="8" t="s">
        <v>7383</v>
      </c>
      <c r="B1505" s="16">
        <v>54</v>
      </c>
      <c r="C1505" s="8" t="s">
        <v>20</v>
      </c>
      <c r="D1505" s="8" t="s">
        <v>37</v>
      </c>
      <c r="F1505" s="17">
        <v>41893</v>
      </c>
      <c r="G1505" s="8" t="s">
        <v>7384</v>
      </c>
      <c r="H1505" s="8" t="s">
        <v>7385</v>
      </c>
      <c r="I1505" s="8" t="s">
        <v>73</v>
      </c>
      <c r="J1505" s="16" t="s">
        <v>7386</v>
      </c>
      <c r="K1505" s="2" t="s">
        <v>7387</v>
      </c>
      <c r="L1505" s="8" t="s">
        <v>7388</v>
      </c>
      <c r="M1505" s="8" t="s">
        <v>27</v>
      </c>
      <c r="N1505" s="8" t="s">
        <v>7389</v>
      </c>
      <c r="O1505" s="8" t="s">
        <v>4742</v>
      </c>
      <c r="P1505" s="8" t="s">
        <v>405</v>
      </c>
      <c r="Q1505" s="12" t="s">
        <v>7390</v>
      </c>
      <c r="R1505" s="8" t="s">
        <v>100</v>
      </c>
      <c r="S1505" s="7" t="s">
        <v>28</v>
      </c>
      <c r="T1505" s="6"/>
      <c r="U1505" s="8"/>
    </row>
    <row r="1506" spans="1:49" ht="13.5" customHeight="1">
      <c r="A1506" s="8" t="s">
        <v>7398</v>
      </c>
      <c r="B1506" s="16">
        <v>40</v>
      </c>
      <c r="C1506" s="8" t="s">
        <v>20</v>
      </c>
      <c r="D1506" s="8" t="s">
        <v>37</v>
      </c>
      <c r="E1506" s="8" t="s">
        <v>7399</v>
      </c>
      <c r="F1506" s="17">
        <v>41893</v>
      </c>
      <c r="G1506" s="8" t="s">
        <v>7400</v>
      </c>
      <c r="H1506" s="8" t="s">
        <v>7401</v>
      </c>
      <c r="I1506" s="8" t="s">
        <v>73</v>
      </c>
      <c r="J1506" s="16" t="s">
        <v>2900</v>
      </c>
      <c r="K1506" s="2" t="s">
        <v>562</v>
      </c>
      <c r="L1506" s="8" t="s">
        <v>5704</v>
      </c>
      <c r="M1506" s="8" t="s">
        <v>27</v>
      </c>
      <c r="N1506" s="8" t="s">
        <v>7402</v>
      </c>
      <c r="O1506" s="8" t="s">
        <v>1018</v>
      </c>
      <c r="P1506" s="8" t="s">
        <v>405</v>
      </c>
      <c r="Q1506" s="12" t="s">
        <v>7403</v>
      </c>
      <c r="R1506" s="8" t="s">
        <v>100</v>
      </c>
      <c r="S1506" s="7" t="s">
        <v>28</v>
      </c>
      <c r="T1506" s="6"/>
      <c r="U1506" s="8"/>
      <c r="AU1506" s="38"/>
      <c r="AV1506" s="38"/>
      <c r="AW1506" s="38"/>
    </row>
    <row r="1507" spans="1:49" ht="13.5" customHeight="1">
      <c r="A1507" s="8" t="s">
        <v>7409</v>
      </c>
      <c r="B1507" s="16">
        <v>38</v>
      </c>
      <c r="C1507" s="8" t="s">
        <v>20</v>
      </c>
      <c r="D1507" s="8" t="s">
        <v>37</v>
      </c>
      <c r="E1507" s="8" t="s">
        <v>7410</v>
      </c>
      <c r="F1507" s="17">
        <v>41891</v>
      </c>
      <c r="G1507" s="8" t="s">
        <v>7411</v>
      </c>
      <c r="H1507" s="8" t="s">
        <v>1460</v>
      </c>
      <c r="I1507" s="8" t="s">
        <v>243</v>
      </c>
      <c r="J1507" s="16" t="s">
        <v>7412</v>
      </c>
      <c r="K1507" s="2" t="s">
        <v>1461</v>
      </c>
      <c r="L1507" s="8" t="s">
        <v>7413</v>
      </c>
      <c r="M1507" s="8" t="s">
        <v>27</v>
      </c>
      <c r="N1507" s="8" t="s">
        <v>7414</v>
      </c>
      <c r="O1507" s="8" t="s">
        <v>4742</v>
      </c>
      <c r="P1507" s="8" t="s">
        <v>405</v>
      </c>
      <c r="Q1507" s="12" t="s">
        <v>7415</v>
      </c>
      <c r="R1507" s="8" t="s">
        <v>100</v>
      </c>
      <c r="S1507" s="7" t="s">
        <v>28</v>
      </c>
      <c r="T1507" s="6"/>
      <c r="U1507" s="8"/>
    </row>
    <row r="1508" spans="1:49" ht="13.5" customHeight="1">
      <c r="A1508" s="8" t="s">
        <v>7404</v>
      </c>
      <c r="B1508" s="16">
        <v>20</v>
      </c>
      <c r="C1508" s="8" t="s">
        <v>20</v>
      </c>
      <c r="D1508" s="8" t="s">
        <v>85</v>
      </c>
      <c r="F1508" s="17">
        <v>41891</v>
      </c>
      <c r="G1508" s="8" t="s">
        <v>7405</v>
      </c>
      <c r="H1508" s="8" t="s">
        <v>1413</v>
      </c>
      <c r="I1508" s="8" t="s">
        <v>81</v>
      </c>
      <c r="J1508" s="16" t="s">
        <v>7406</v>
      </c>
      <c r="K1508" s="2" t="s">
        <v>1414</v>
      </c>
      <c r="L1508" s="8" t="s">
        <v>1415</v>
      </c>
      <c r="M1508" s="8" t="s">
        <v>27</v>
      </c>
      <c r="N1508" s="8" t="s">
        <v>7407</v>
      </c>
      <c r="O1508" s="8" t="s">
        <v>1018</v>
      </c>
      <c r="P1508" s="8" t="s">
        <v>405</v>
      </c>
      <c r="Q1508" s="12" t="s">
        <v>7408</v>
      </c>
      <c r="R1508" s="8" t="s">
        <v>100</v>
      </c>
      <c r="S1508" s="7" t="s">
        <v>28</v>
      </c>
      <c r="T1508" s="6"/>
      <c r="U1508" s="8"/>
      <c r="Y1508" s="8"/>
      <c r="Z1508" s="8"/>
      <c r="AA1508" s="8"/>
      <c r="AB1508" s="8"/>
      <c r="AC1508" s="8"/>
      <c r="AD1508" s="8"/>
      <c r="AE1508" s="8"/>
      <c r="AF1508" s="8"/>
      <c r="AG1508" s="8"/>
      <c r="AH1508" s="8"/>
    </row>
    <row r="1509" spans="1:49" s="38" customFormat="1" ht="13.5" customHeight="1">
      <c r="A1509" s="8" t="s">
        <v>7416</v>
      </c>
      <c r="B1509" s="16">
        <v>50</v>
      </c>
      <c r="C1509" s="8" t="s">
        <v>20</v>
      </c>
      <c r="D1509" s="8" t="s">
        <v>85</v>
      </c>
      <c r="E1509" s="8"/>
      <c r="F1509" s="17">
        <v>41890</v>
      </c>
      <c r="G1509" s="8" t="s">
        <v>7417</v>
      </c>
      <c r="H1509" s="8" t="s">
        <v>98</v>
      </c>
      <c r="I1509" s="8" t="s">
        <v>45</v>
      </c>
      <c r="J1509" s="16" t="s">
        <v>3338</v>
      </c>
      <c r="K1509" s="2" t="s">
        <v>98</v>
      </c>
      <c r="L1509" s="8" t="s">
        <v>99</v>
      </c>
      <c r="M1509" s="8" t="s">
        <v>27</v>
      </c>
      <c r="N1509" s="8" t="s">
        <v>7418</v>
      </c>
      <c r="O1509" s="8" t="s">
        <v>1018</v>
      </c>
      <c r="P1509" s="8" t="s">
        <v>405</v>
      </c>
      <c r="Q1509" s="12" t="s">
        <v>7419</v>
      </c>
      <c r="R1509" s="8" t="s">
        <v>100</v>
      </c>
      <c r="S1509" s="7" t="s">
        <v>28</v>
      </c>
      <c r="T1509" s="6"/>
      <c r="U1509" s="8"/>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row>
    <row r="1510" spans="1:49" ht="13.5" customHeight="1">
      <c r="A1510" s="8" t="s">
        <v>7420</v>
      </c>
      <c r="B1510" s="16">
        <v>45</v>
      </c>
      <c r="C1510" s="8" t="s">
        <v>20</v>
      </c>
      <c r="D1510" s="8" t="s">
        <v>48</v>
      </c>
      <c r="F1510" s="17">
        <v>41890</v>
      </c>
      <c r="G1510" s="8" t="s">
        <v>7421</v>
      </c>
      <c r="H1510" s="8" t="s">
        <v>7422</v>
      </c>
      <c r="I1510" s="8" t="s">
        <v>73</v>
      </c>
      <c r="J1510" s="16" t="s">
        <v>7423</v>
      </c>
      <c r="K1510" s="2" t="s">
        <v>7424</v>
      </c>
      <c r="L1510" s="8" t="s">
        <v>7425</v>
      </c>
      <c r="M1510" s="8" t="s">
        <v>27</v>
      </c>
      <c r="N1510" s="8" t="s">
        <v>7426</v>
      </c>
      <c r="O1510" s="8" t="s">
        <v>1018</v>
      </c>
      <c r="P1510" s="8" t="s">
        <v>405</v>
      </c>
      <c r="Q1510" s="12" t="s">
        <v>7427</v>
      </c>
      <c r="R1510" s="8" t="s">
        <v>100</v>
      </c>
      <c r="S1510" s="7" t="s">
        <v>28</v>
      </c>
      <c r="T1510" s="6"/>
      <c r="U1510" s="8"/>
    </row>
    <row r="1511" spans="1:49" ht="13.5" customHeight="1">
      <c r="A1511" s="8" t="s">
        <v>7428</v>
      </c>
      <c r="B1511" s="16">
        <v>40</v>
      </c>
      <c r="C1511" s="8" t="s">
        <v>20</v>
      </c>
      <c r="D1511" s="8" t="s">
        <v>37</v>
      </c>
      <c r="E1511" s="8" t="s">
        <v>7429</v>
      </c>
      <c r="F1511" s="17">
        <v>41890</v>
      </c>
      <c r="G1511" s="8" t="s">
        <v>7430</v>
      </c>
      <c r="H1511" s="8" t="s">
        <v>3160</v>
      </c>
      <c r="I1511" s="8" t="s">
        <v>25</v>
      </c>
      <c r="J1511" s="16" t="s">
        <v>3161</v>
      </c>
      <c r="K1511" s="2" t="s">
        <v>3162</v>
      </c>
      <c r="L1511" s="8" t="s">
        <v>7431</v>
      </c>
      <c r="M1511" s="8" t="s">
        <v>27</v>
      </c>
      <c r="N1511" s="8" t="s">
        <v>7432</v>
      </c>
      <c r="O1511" s="8" t="s">
        <v>554</v>
      </c>
      <c r="P1511" s="8" t="s">
        <v>405</v>
      </c>
      <c r="Q1511" s="12" t="s">
        <v>7433</v>
      </c>
      <c r="R1511" s="8" t="s">
        <v>972</v>
      </c>
      <c r="S1511" s="7" t="s">
        <v>28</v>
      </c>
      <c r="T1511" s="6"/>
      <c r="U1511" s="8"/>
    </row>
    <row r="1512" spans="1:49" ht="13.5" customHeight="1">
      <c r="A1512" s="8" t="s">
        <v>7441</v>
      </c>
      <c r="B1512" s="16">
        <v>35</v>
      </c>
      <c r="C1512" s="8" t="s">
        <v>20</v>
      </c>
      <c r="D1512" s="8" t="s">
        <v>37</v>
      </c>
      <c r="F1512" s="17">
        <v>41890</v>
      </c>
      <c r="G1512" s="8" t="s">
        <v>7442</v>
      </c>
      <c r="H1512" s="8" t="s">
        <v>288</v>
      </c>
      <c r="I1512" s="8" t="s">
        <v>73</v>
      </c>
      <c r="J1512" s="16" t="s">
        <v>7443</v>
      </c>
      <c r="K1512" s="2" t="s">
        <v>288</v>
      </c>
      <c r="L1512" s="8" t="s">
        <v>289</v>
      </c>
      <c r="M1512" s="8" t="s">
        <v>27</v>
      </c>
      <c r="N1512" s="8" t="s">
        <v>7444</v>
      </c>
      <c r="O1512" s="8" t="s">
        <v>4742</v>
      </c>
      <c r="P1512" s="8" t="s">
        <v>405</v>
      </c>
      <c r="Q1512" s="12" t="s">
        <v>7445</v>
      </c>
      <c r="R1512" s="8" t="s">
        <v>100</v>
      </c>
      <c r="S1512" s="7" t="s">
        <v>28</v>
      </c>
      <c r="T1512" s="6"/>
      <c r="U1512" s="8"/>
    </row>
    <row r="1513" spans="1:49" ht="13.5" customHeight="1">
      <c r="A1513" s="8" t="s">
        <v>7434</v>
      </c>
      <c r="B1513" s="16">
        <v>38</v>
      </c>
      <c r="C1513" s="8" t="s">
        <v>20</v>
      </c>
      <c r="D1513" s="8" t="s">
        <v>37</v>
      </c>
      <c r="E1513" s="8" t="s">
        <v>7435</v>
      </c>
      <c r="F1513" s="17">
        <v>41890</v>
      </c>
      <c r="G1513" s="8" t="s">
        <v>7436</v>
      </c>
      <c r="H1513" s="8" t="s">
        <v>2236</v>
      </c>
      <c r="I1513" s="8" t="s">
        <v>32</v>
      </c>
      <c r="J1513" s="16" t="s">
        <v>7437</v>
      </c>
      <c r="K1513" s="2" t="s">
        <v>2236</v>
      </c>
      <c r="L1513" s="8" t="s">
        <v>7438</v>
      </c>
      <c r="M1513" s="8" t="s">
        <v>27</v>
      </c>
      <c r="N1513" s="8" t="s">
        <v>7439</v>
      </c>
      <c r="O1513" s="8" t="s">
        <v>1018</v>
      </c>
      <c r="P1513" s="8" t="s">
        <v>405</v>
      </c>
      <c r="Q1513" s="12" t="s">
        <v>7440</v>
      </c>
      <c r="R1513" s="8" t="s">
        <v>972</v>
      </c>
      <c r="S1513" s="7" t="s">
        <v>28</v>
      </c>
      <c r="T1513" s="6"/>
      <c r="U1513" s="8"/>
    </row>
    <row r="1514" spans="1:49" ht="13.5" customHeight="1">
      <c r="A1514" s="8" t="s">
        <v>7446</v>
      </c>
      <c r="B1514" s="16">
        <v>24</v>
      </c>
      <c r="C1514" s="8" t="s">
        <v>20</v>
      </c>
      <c r="D1514" s="8" t="s">
        <v>37</v>
      </c>
      <c r="E1514" s="8" t="s">
        <v>7447</v>
      </c>
      <c r="F1514" s="17">
        <v>41890</v>
      </c>
      <c r="G1514" s="8" t="s">
        <v>7448</v>
      </c>
      <c r="H1514" s="8" t="s">
        <v>1326</v>
      </c>
      <c r="I1514" s="8" t="s">
        <v>73</v>
      </c>
      <c r="J1514" s="16" t="s">
        <v>7449</v>
      </c>
      <c r="K1514" s="2" t="s">
        <v>1327</v>
      </c>
      <c r="L1514" s="8" t="s">
        <v>1328</v>
      </c>
      <c r="M1514" s="8" t="s">
        <v>27</v>
      </c>
      <c r="N1514" s="8" t="s">
        <v>7450</v>
      </c>
      <c r="O1514" s="8" t="s">
        <v>4742</v>
      </c>
      <c r="P1514" s="8" t="s">
        <v>405</v>
      </c>
      <c r="Q1514" s="12" t="s">
        <v>7451</v>
      </c>
      <c r="R1514" s="8" t="s">
        <v>100</v>
      </c>
      <c r="S1514" s="7" t="s">
        <v>28</v>
      </c>
      <c r="T1514" s="6"/>
      <c r="U1514" s="8"/>
      <c r="Y1514" s="8"/>
      <c r="Z1514" s="8"/>
      <c r="AA1514" s="8"/>
      <c r="AB1514" s="8"/>
      <c r="AC1514" s="8"/>
      <c r="AD1514" s="8"/>
      <c r="AE1514" s="8"/>
      <c r="AF1514" s="8"/>
      <c r="AG1514" s="8"/>
      <c r="AH1514" s="8"/>
    </row>
    <row r="1515" spans="1:49" ht="13.5" customHeight="1">
      <c r="A1515" s="8" t="s">
        <v>7452</v>
      </c>
      <c r="B1515" s="16">
        <v>50</v>
      </c>
      <c r="C1515" s="8" t="s">
        <v>20</v>
      </c>
      <c r="D1515" s="8" t="s">
        <v>37</v>
      </c>
      <c r="E1515" s="8" t="s">
        <v>7453</v>
      </c>
      <c r="F1515" s="17">
        <v>41889</v>
      </c>
      <c r="G1515" s="8" t="s">
        <v>7454</v>
      </c>
      <c r="H1515" s="8" t="s">
        <v>7455</v>
      </c>
      <c r="I1515" s="8" t="s">
        <v>62</v>
      </c>
      <c r="J1515" s="16" t="s">
        <v>2216</v>
      </c>
      <c r="K1515" s="2" t="s">
        <v>1134</v>
      </c>
      <c r="L1515" s="8" t="s">
        <v>7456</v>
      </c>
      <c r="M1515" s="8" t="s">
        <v>27</v>
      </c>
      <c r="N1515" s="8" t="s">
        <v>7457</v>
      </c>
      <c r="O1515" s="8" t="s">
        <v>1018</v>
      </c>
      <c r="P1515" s="8" t="s">
        <v>405</v>
      </c>
      <c r="Q1515" s="12" t="s">
        <v>7458</v>
      </c>
      <c r="R1515" s="8" t="s">
        <v>972</v>
      </c>
      <c r="S1515" s="7" t="s">
        <v>28</v>
      </c>
      <c r="T1515" s="6"/>
      <c r="U1515" s="8"/>
      <c r="V1515" s="8"/>
      <c r="W1515" s="8"/>
      <c r="X1515" s="8"/>
    </row>
    <row r="1516" spans="1:49" ht="13.5" customHeight="1">
      <c r="A1516" s="8" t="s">
        <v>7459</v>
      </c>
      <c r="B1516" s="16">
        <v>43</v>
      </c>
      <c r="C1516" s="8" t="s">
        <v>20</v>
      </c>
      <c r="D1516" s="8" t="s">
        <v>37</v>
      </c>
      <c r="E1516" s="8" t="s">
        <v>7460</v>
      </c>
      <c r="F1516" s="17">
        <v>41888</v>
      </c>
      <c r="G1516" s="8" t="s">
        <v>7461</v>
      </c>
      <c r="H1516" s="8" t="s">
        <v>2423</v>
      </c>
      <c r="I1516" s="8" t="s">
        <v>62</v>
      </c>
      <c r="J1516" s="16" t="s">
        <v>7462</v>
      </c>
      <c r="K1516" s="2" t="s">
        <v>2423</v>
      </c>
      <c r="L1516" s="8" t="s">
        <v>5298</v>
      </c>
      <c r="M1516" s="8" t="s">
        <v>27</v>
      </c>
      <c r="N1516" s="8" t="s">
        <v>7463</v>
      </c>
      <c r="O1516" s="8" t="s">
        <v>1018</v>
      </c>
      <c r="P1516" s="8" t="s">
        <v>405</v>
      </c>
      <c r="Q1516" s="12" t="s">
        <v>7464</v>
      </c>
      <c r="R1516" s="8" t="s">
        <v>29</v>
      </c>
      <c r="S1516" s="7" t="s">
        <v>28</v>
      </c>
      <c r="T1516" s="6"/>
      <c r="U1516" s="8"/>
    </row>
    <row r="1517" spans="1:49" ht="13.5" customHeight="1">
      <c r="A1517" s="8" t="s">
        <v>7465</v>
      </c>
      <c r="B1517" s="16">
        <v>23</v>
      </c>
      <c r="C1517" s="8" t="s">
        <v>20</v>
      </c>
      <c r="D1517" s="8" t="s">
        <v>37</v>
      </c>
      <c r="E1517" s="8" t="s">
        <v>7466</v>
      </c>
      <c r="F1517" s="17">
        <v>41887</v>
      </c>
      <c r="G1517" s="8" t="s">
        <v>7467</v>
      </c>
      <c r="H1517" s="8" t="s">
        <v>1064</v>
      </c>
      <c r="I1517" s="8" t="s">
        <v>323</v>
      </c>
      <c r="J1517" s="16" t="s">
        <v>7468</v>
      </c>
      <c r="K1517" s="2" t="s">
        <v>7469</v>
      </c>
      <c r="L1517" s="8" t="s">
        <v>7470</v>
      </c>
      <c r="M1517" s="8" t="s">
        <v>27</v>
      </c>
      <c r="N1517" s="8" t="s">
        <v>7471</v>
      </c>
      <c r="O1517" s="8" t="s">
        <v>1018</v>
      </c>
      <c r="P1517" s="8" t="s">
        <v>405</v>
      </c>
      <c r="Q1517" s="12" t="s">
        <v>7472</v>
      </c>
      <c r="R1517" s="8" t="s">
        <v>29</v>
      </c>
      <c r="S1517" s="7" t="s">
        <v>28</v>
      </c>
      <c r="T1517" s="6"/>
      <c r="U1517" s="8"/>
    </row>
    <row r="1518" spans="1:49" ht="13.5" customHeight="1">
      <c r="A1518" s="8" t="s">
        <v>7473</v>
      </c>
      <c r="B1518" s="16">
        <v>44</v>
      </c>
      <c r="C1518" s="8" t="s">
        <v>20</v>
      </c>
      <c r="D1518" s="8" t="s">
        <v>37</v>
      </c>
      <c r="E1518" s="8" t="s">
        <v>7474</v>
      </c>
      <c r="F1518" s="17">
        <v>41887</v>
      </c>
      <c r="G1518" s="8" t="s">
        <v>7475</v>
      </c>
      <c r="H1518" s="8" t="s">
        <v>7476</v>
      </c>
      <c r="I1518" s="8" t="s">
        <v>878</v>
      </c>
      <c r="J1518" s="16" t="s">
        <v>7477</v>
      </c>
      <c r="K1518" s="2" t="s">
        <v>2388</v>
      </c>
      <c r="L1518" s="8" t="s">
        <v>3626</v>
      </c>
      <c r="M1518" s="8" t="s">
        <v>383</v>
      </c>
      <c r="N1518" s="8" t="s">
        <v>7478</v>
      </c>
      <c r="O1518" s="8" t="s">
        <v>1018</v>
      </c>
      <c r="P1518" s="8" t="s">
        <v>405</v>
      </c>
      <c r="Q1518" s="12" t="s">
        <v>7479</v>
      </c>
      <c r="R1518" s="8" t="s">
        <v>100</v>
      </c>
      <c r="S1518" s="7" t="s">
        <v>18</v>
      </c>
      <c r="T1518" s="6"/>
      <c r="U1518" s="8"/>
    </row>
    <row r="1519" spans="1:49" ht="13.5" customHeight="1">
      <c r="A1519" s="8" t="s">
        <v>7480</v>
      </c>
      <c r="B1519" s="16">
        <v>58</v>
      </c>
      <c r="C1519" s="8" t="s">
        <v>20</v>
      </c>
      <c r="D1519" s="8" t="s">
        <v>21</v>
      </c>
      <c r="F1519" s="17">
        <v>41885</v>
      </c>
      <c r="G1519" s="8" t="s">
        <v>7481</v>
      </c>
      <c r="H1519" s="8" t="s">
        <v>607</v>
      </c>
      <c r="I1519" s="8" t="s">
        <v>45</v>
      </c>
      <c r="J1519" s="16">
        <v>94606</v>
      </c>
      <c r="K1519" s="2" t="s">
        <v>608</v>
      </c>
      <c r="L1519" s="8" t="s">
        <v>609</v>
      </c>
      <c r="M1519" s="8" t="s">
        <v>383</v>
      </c>
      <c r="N1519" s="8" t="s">
        <v>7482</v>
      </c>
      <c r="P1519" s="8" t="s">
        <v>405</v>
      </c>
      <c r="Q1519" s="12" t="s">
        <v>7483</v>
      </c>
      <c r="S1519" s="7" t="s">
        <v>18</v>
      </c>
      <c r="T1519" s="6"/>
      <c r="U1519" s="8"/>
      <c r="AI1519" s="8"/>
      <c r="AJ1519" s="8"/>
      <c r="AK1519" s="8"/>
      <c r="AL1519" s="8"/>
      <c r="AM1519" s="8"/>
    </row>
    <row r="1520" spans="1:49" ht="13.5" customHeight="1">
      <c r="A1520" s="8" t="s">
        <v>7499</v>
      </c>
      <c r="B1520" s="16">
        <v>48</v>
      </c>
      <c r="C1520" s="8" t="s">
        <v>20</v>
      </c>
      <c r="D1520" s="8" t="s">
        <v>37</v>
      </c>
      <c r="E1520" s="8" t="s">
        <v>7500</v>
      </c>
      <c r="F1520" s="17">
        <v>41885</v>
      </c>
      <c r="G1520" s="8" t="s">
        <v>7501</v>
      </c>
      <c r="H1520" s="8" t="s">
        <v>783</v>
      </c>
      <c r="I1520" s="8" t="s">
        <v>69</v>
      </c>
      <c r="J1520" s="16" t="s">
        <v>7502</v>
      </c>
      <c r="K1520" s="2" t="s">
        <v>784</v>
      </c>
      <c r="L1520" s="8" t="s">
        <v>7503</v>
      </c>
      <c r="M1520" s="8" t="s">
        <v>27</v>
      </c>
      <c r="N1520" s="8" t="s">
        <v>7504</v>
      </c>
      <c r="O1520" s="8" t="s">
        <v>554</v>
      </c>
      <c r="P1520" s="8" t="s">
        <v>405</v>
      </c>
      <c r="Q1520" s="12" t="s">
        <v>7505</v>
      </c>
      <c r="R1520" s="8" t="s">
        <v>972</v>
      </c>
      <c r="S1520" s="7" t="s">
        <v>28</v>
      </c>
      <c r="T1520" s="6"/>
      <c r="U1520" s="8"/>
    </row>
    <row r="1521" spans="1:34" ht="13.5" customHeight="1">
      <c r="A1521" s="8" t="s">
        <v>7494</v>
      </c>
      <c r="B1521" s="16">
        <v>43</v>
      </c>
      <c r="C1521" s="8" t="s">
        <v>20</v>
      </c>
      <c r="D1521" s="8" t="s">
        <v>37</v>
      </c>
      <c r="F1521" s="17">
        <v>41885</v>
      </c>
      <c r="G1521" s="8" t="s">
        <v>7495</v>
      </c>
      <c r="H1521" s="8" t="s">
        <v>1627</v>
      </c>
      <c r="I1521" s="8" t="s">
        <v>272</v>
      </c>
      <c r="J1521" s="16" t="s">
        <v>7496</v>
      </c>
      <c r="K1521" s="2" t="s">
        <v>6321</v>
      </c>
      <c r="L1521" s="8" t="s">
        <v>7497</v>
      </c>
      <c r="M1521" s="8" t="s">
        <v>27</v>
      </c>
      <c r="N1521" s="8" t="s">
        <v>7498</v>
      </c>
      <c r="O1521" s="8" t="s">
        <v>404</v>
      </c>
      <c r="P1521" s="8" t="s">
        <v>405</v>
      </c>
      <c r="Q1521" s="12" t="str">
        <f>HYPERLINK("http://www.kolotv.com/home/headlines/Officer-Involved-Shooting-Shuts-Down-Sutro-and-So-273796761.html","http://www.kolotv.com/home/headlines/Officer-Involved-Shooting-Shuts-Down-Sutro-and-So-273796761.html")</f>
        <v>http://www.kolotv.com/home/headlines/Officer-Involved-Shooting-Shuts-Down-Sutro-and-So-273796761.html</v>
      </c>
      <c r="R1521" s="8" t="s">
        <v>29</v>
      </c>
      <c r="S1521" s="7" t="s">
        <v>35</v>
      </c>
      <c r="T1521" s="6"/>
      <c r="U1521" s="8"/>
    </row>
    <row r="1522" spans="1:34" ht="13.5" customHeight="1">
      <c r="A1522" s="8" t="s">
        <v>7484</v>
      </c>
      <c r="B1522" s="16">
        <v>19</v>
      </c>
      <c r="C1522" s="8" t="s">
        <v>115</v>
      </c>
      <c r="D1522" s="8" t="s">
        <v>48</v>
      </c>
      <c r="F1522" s="17">
        <v>41885</v>
      </c>
      <c r="G1522" s="8" t="s">
        <v>7485</v>
      </c>
      <c r="H1522" s="8" t="s">
        <v>1104</v>
      </c>
      <c r="I1522" s="8" t="s">
        <v>399</v>
      </c>
      <c r="J1522" s="16" t="s">
        <v>7486</v>
      </c>
      <c r="K1522" s="2" t="s">
        <v>1105</v>
      </c>
      <c r="L1522" s="8" t="s">
        <v>1106</v>
      </c>
      <c r="M1522" s="8" t="s">
        <v>27</v>
      </c>
      <c r="N1522" s="8" t="s">
        <v>7487</v>
      </c>
      <c r="O1522" s="8" t="s">
        <v>404</v>
      </c>
      <c r="P1522" s="8" t="s">
        <v>405</v>
      </c>
      <c r="Q1522" s="12" t="s">
        <v>7488</v>
      </c>
      <c r="R1522" s="8" t="s">
        <v>100</v>
      </c>
      <c r="S1522" s="7" t="s">
        <v>28</v>
      </c>
      <c r="T1522" s="6"/>
      <c r="U1522" s="8"/>
    </row>
    <row r="1523" spans="1:34" ht="13.5" customHeight="1">
      <c r="A1523" s="8" t="s">
        <v>7489</v>
      </c>
      <c r="B1523" s="16">
        <v>58</v>
      </c>
      <c r="C1523" s="8" t="s">
        <v>20</v>
      </c>
      <c r="D1523" s="8" t="s">
        <v>30</v>
      </c>
      <c r="F1523" s="17">
        <v>41885</v>
      </c>
      <c r="G1523" s="8" t="s">
        <v>7490</v>
      </c>
      <c r="H1523" s="8" t="s">
        <v>565</v>
      </c>
      <c r="I1523" s="8" t="s">
        <v>124</v>
      </c>
      <c r="J1523" s="16" t="s">
        <v>7491</v>
      </c>
      <c r="K1523" s="2" t="s">
        <v>566</v>
      </c>
      <c r="L1523" s="8" t="s">
        <v>567</v>
      </c>
      <c r="M1523" s="8" t="s">
        <v>27</v>
      </c>
      <c r="N1523" s="8" t="s">
        <v>7492</v>
      </c>
      <c r="O1523" s="8" t="s">
        <v>1018</v>
      </c>
      <c r="P1523" s="8" t="s">
        <v>405</v>
      </c>
      <c r="Q1523" s="12" t="s">
        <v>7493</v>
      </c>
      <c r="R1523" s="8" t="s">
        <v>559</v>
      </c>
      <c r="S1523" s="7" t="s">
        <v>28</v>
      </c>
      <c r="T1523" s="6"/>
      <c r="U1523" s="8"/>
    </row>
    <row r="1524" spans="1:34" ht="13.5" customHeight="1">
      <c r="A1524" s="8" t="s">
        <v>7506</v>
      </c>
      <c r="B1524" s="16">
        <v>35</v>
      </c>
      <c r="C1524" s="8" t="s">
        <v>20</v>
      </c>
      <c r="D1524" s="8" t="s">
        <v>85</v>
      </c>
      <c r="E1524" s="8" t="s">
        <v>7507</v>
      </c>
      <c r="F1524" s="17">
        <v>41884</v>
      </c>
      <c r="G1524" s="8" t="s">
        <v>7508</v>
      </c>
      <c r="H1524" s="8" t="s">
        <v>992</v>
      </c>
      <c r="I1524" s="8" t="s">
        <v>69</v>
      </c>
      <c r="J1524" s="16" t="s">
        <v>7509</v>
      </c>
      <c r="K1524" s="2" t="s">
        <v>105</v>
      </c>
      <c r="L1524" s="8" t="s">
        <v>3492</v>
      </c>
      <c r="M1524" s="8" t="s">
        <v>27</v>
      </c>
      <c r="N1524" s="8" t="s">
        <v>7510</v>
      </c>
      <c r="O1524" s="8" t="s">
        <v>404</v>
      </c>
      <c r="P1524" s="8" t="s">
        <v>405</v>
      </c>
      <c r="Q1524" s="12" t="str">
        <f>HYPERLINK("http://www.cleveland.com/metro/index.ssf/2014/09/man_shot_killed_by_cleveland_p.html","http://www.cleveland.com/metro/index.ssf/2014/09/man_shot_killed_by_cleveland_p.html")</f>
        <v>http://www.cleveland.com/metro/index.ssf/2014/09/man_shot_killed_by_cleveland_p.html</v>
      </c>
      <c r="R1524" s="8" t="s">
        <v>29</v>
      </c>
      <c r="S1524" s="7" t="s">
        <v>28</v>
      </c>
      <c r="T1524" s="6"/>
      <c r="U1524" s="8"/>
    </row>
    <row r="1525" spans="1:34" ht="13.5" customHeight="1">
      <c r="A1525" s="8" t="s">
        <v>7516</v>
      </c>
      <c r="B1525" s="16">
        <v>64</v>
      </c>
      <c r="C1525" s="8" t="s">
        <v>20</v>
      </c>
      <c r="D1525" s="8" t="s">
        <v>37</v>
      </c>
      <c r="F1525" s="17">
        <v>41884</v>
      </c>
      <c r="G1525" s="8" t="s">
        <v>1031</v>
      </c>
      <c r="H1525" s="8" t="s">
        <v>783</v>
      </c>
      <c r="I1525" s="8" t="s">
        <v>69</v>
      </c>
      <c r="J1525" s="16" t="s">
        <v>7502</v>
      </c>
      <c r="K1525" s="2" t="s">
        <v>784</v>
      </c>
      <c r="L1525" s="8" t="s">
        <v>785</v>
      </c>
      <c r="M1525" s="8" t="s">
        <v>383</v>
      </c>
      <c r="N1525" s="8" t="s">
        <v>7517</v>
      </c>
      <c r="O1525" s="8" t="s">
        <v>554</v>
      </c>
      <c r="P1525" s="8" t="s">
        <v>405</v>
      </c>
      <c r="Q1525" s="12" t="s">
        <v>7518</v>
      </c>
      <c r="R1525" s="8" t="s">
        <v>100</v>
      </c>
      <c r="S1525" s="7" t="s">
        <v>18</v>
      </c>
      <c r="T1525" s="6"/>
      <c r="U1525" s="8"/>
    </row>
    <row r="1526" spans="1:34" ht="13.5" customHeight="1">
      <c r="A1526" s="8" t="s">
        <v>7511</v>
      </c>
      <c r="B1526" s="16">
        <v>45</v>
      </c>
      <c r="C1526" s="8" t="s">
        <v>20</v>
      </c>
      <c r="D1526" s="8" t="s">
        <v>37</v>
      </c>
      <c r="E1526" s="8" t="s">
        <v>7512</v>
      </c>
      <c r="F1526" s="17">
        <v>41884</v>
      </c>
      <c r="G1526" s="8" t="s">
        <v>7513</v>
      </c>
      <c r="H1526" s="8" t="s">
        <v>2513</v>
      </c>
      <c r="I1526" s="8" t="s">
        <v>399</v>
      </c>
      <c r="J1526" s="16" t="s">
        <v>4203</v>
      </c>
      <c r="K1526" s="2" t="s">
        <v>2513</v>
      </c>
      <c r="L1526" s="8" t="s">
        <v>3419</v>
      </c>
      <c r="M1526" s="8" t="s">
        <v>27</v>
      </c>
      <c r="N1526" s="8" t="s">
        <v>7514</v>
      </c>
      <c r="O1526" s="8" t="s">
        <v>554</v>
      </c>
      <c r="P1526" s="8" t="s">
        <v>405</v>
      </c>
      <c r="Q1526" s="12" t="s">
        <v>7515</v>
      </c>
      <c r="R1526" s="8" t="s">
        <v>559</v>
      </c>
      <c r="S1526" s="7" t="s">
        <v>28</v>
      </c>
      <c r="T1526" s="6"/>
      <c r="U1526" s="8"/>
    </row>
    <row r="1527" spans="1:34" ht="13.5" customHeight="1">
      <c r="A1527" s="8" t="s">
        <v>7519</v>
      </c>
      <c r="B1527" s="16">
        <v>45</v>
      </c>
      <c r="C1527" s="8" t="s">
        <v>20</v>
      </c>
      <c r="D1527" s="8" t="s">
        <v>48</v>
      </c>
      <c r="F1527" s="17">
        <v>41883</v>
      </c>
      <c r="G1527" s="8" t="s">
        <v>7520</v>
      </c>
      <c r="H1527" s="8" t="s">
        <v>7521</v>
      </c>
      <c r="I1527" s="8" t="s">
        <v>399</v>
      </c>
      <c r="J1527" s="16" t="s">
        <v>7522</v>
      </c>
      <c r="K1527" s="2" t="s">
        <v>7523</v>
      </c>
      <c r="L1527" s="8" t="s">
        <v>7524</v>
      </c>
      <c r="M1527" s="8" t="s">
        <v>27</v>
      </c>
      <c r="N1527" s="8" t="s">
        <v>7525</v>
      </c>
      <c r="O1527" s="8" t="s">
        <v>1018</v>
      </c>
      <c r="P1527" s="8" t="s">
        <v>405</v>
      </c>
      <c r="Q1527" s="12" t="s">
        <v>7526</v>
      </c>
      <c r="R1527" s="8" t="s">
        <v>100</v>
      </c>
      <c r="S1527" s="7" t="s">
        <v>18</v>
      </c>
      <c r="T1527" s="6"/>
      <c r="U1527" s="8"/>
    </row>
    <row r="1528" spans="1:34" ht="13.5" customHeight="1">
      <c r="A1528" s="8" t="s">
        <v>7527</v>
      </c>
      <c r="B1528" s="16">
        <v>55</v>
      </c>
      <c r="C1528" s="8" t="s">
        <v>20</v>
      </c>
      <c r="D1528" s="8" t="s">
        <v>37</v>
      </c>
      <c r="E1528" s="8" t="s">
        <v>7528</v>
      </c>
      <c r="F1528" s="17">
        <v>41883</v>
      </c>
      <c r="G1528" s="8" t="s">
        <v>7529</v>
      </c>
      <c r="H1528" s="8" t="s">
        <v>638</v>
      </c>
      <c r="I1528" s="8" t="s">
        <v>124</v>
      </c>
      <c r="J1528" s="16" t="s">
        <v>7530</v>
      </c>
      <c r="K1528" s="2" t="s">
        <v>639</v>
      </c>
      <c r="L1528" s="8" t="s">
        <v>640</v>
      </c>
      <c r="M1528" s="8" t="s">
        <v>27</v>
      </c>
      <c r="N1528" s="8" t="s">
        <v>7531</v>
      </c>
      <c r="O1528" s="8" t="s">
        <v>1018</v>
      </c>
      <c r="P1528" s="8" t="s">
        <v>405</v>
      </c>
      <c r="Q1528" s="12" t="s">
        <v>7532</v>
      </c>
      <c r="R1528" s="8" t="s">
        <v>29</v>
      </c>
      <c r="S1528" s="7" t="s">
        <v>28</v>
      </c>
      <c r="T1528" s="6"/>
      <c r="U1528" s="8"/>
      <c r="V1528" s="8"/>
      <c r="W1528" s="8"/>
      <c r="X1528" s="8"/>
    </row>
    <row r="1529" spans="1:34" ht="13.5" customHeight="1">
      <c r="A1529" s="8" t="s">
        <v>7533</v>
      </c>
      <c r="B1529" s="16">
        <v>28</v>
      </c>
      <c r="C1529" s="8" t="s">
        <v>20</v>
      </c>
      <c r="D1529" s="8" t="s">
        <v>85</v>
      </c>
      <c r="E1529" s="8" t="s">
        <v>7534</v>
      </c>
      <c r="F1529" s="17">
        <v>41882</v>
      </c>
      <c r="G1529" s="8" t="s">
        <v>7535</v>
      </c>
      <c r="H1529" s="8" t="s">
        <v>434</v>
      </c>
      <c r="I1529" s="8" t="s">
        <v>435</v>
      </c>
      <c r="J1529" s="16" t="s">
        <v>7536</v>
      </c>
      <c r="K1529" s="2" t="s">
        <v>437</v>
      </c>
      <c r="L1529" s="8" t="s">
        <v>438</v>
      </c>
      <c r="M1529" s="8" t="s">
        <v>27</v>
      </c>
      <c r="N1529" s="8" t="s">
        <v>7537</v>
      </c>
      <c r="O1529" s="8" t="s">
        <v>404</v>
      </c>
      <c r="P1529" s="8" t="s">
        <v>405</v>
      </c>
      <c r="Q1529" s="12" t="s">
        <v>7538</v>
      </c>
      <c r="R1529" s="8" t="s">
        <v>100</v>
      </c>
      <c r="S1529" s="7" t="s">
        <v>28</v>
      </c>
      <c r="T1529" s="6"/>
      <c r="U1529" s="8"/>
    </row>
    <row r="1530" spans="1:34" ht="13.5" customHeight="1">
      <c r="A1530" s="8" t="s">
        <v>7544</v>
      </c>
      <c r="B1530" s="16">
        <v>52</v>
      </c>
      <c r="C1530" s="8" t="s">
        <v>20</v>
      </c>
      <c r="D1530" s="8" t="s">
        <v>37</v>
      </c>
      <c r="E1530" s="8" t="s">
        <v>7545</v>
      </c>
      <c r="F1530" s="17">
        <v>41882</v>
      </c>
      <c r="G1530" s="8" t="s">
        <v>7546</v>
      </c>
      <c r="H1530" s="8" t="s">
        <v>7547</v>
      </c>
      <c r="I1530" s="8" t="s">
        <v>73</v>
      </c>
      <c r="J1530" s="16" t="s">
        <v>7548</v>
      </c>
      <c r="K1530" s="2" t="s">
        <v>7549</v>
      </c>
      <c r="L1530" s="8" t="s">
        <v>7550</v>
      </c>
      <c r="M1530" s="8" t="s">
        <v>27</v>
      </c>
      <c r="N1530" s="8" t="s">
        <v>7551</v>
      </c>
      <c r="O1530" s="8" t="s">
        <v>554</v>
      </c>
      <c r="P1530" s="8" t="s">
        <v>405</v>
      </c>
      <c r="Q1530" s="12" t="s">
        <v>7552</v>
      </c>
      <c r="R1530" s="8" t="s">
        <v>972</v>
      </c>
      <c r="S1530" s="7" t="s">
        <v>28</v>
      </c>
      <c r="T1530" s="6"/>
      <c r="U1530" s="8"/>
      <c r="Y1530" s="8"/>
      <c r="Z1530" s="8"/>
      <c r="AA1530" s="8"/>
      <c r="AB1530" s="8"/>
      <c r="AC1530" s="8"/>
      <c r="AD1530" s="8"/>
      <c r="AE1530" s="8"/>
      <c r="AF1530" s="8"/>
      <c r="AG1530" s="8"/>
      <c r="AH1530" s="8"/>
    </row>
    <row r="1531" spans="1:34" ht="13.5" customHeight="1">
      <c r="A1531" s="8" t="s">
        <v>7539</v>
      </c>
      <c r="B1531" s="16">
        <v>22</v>
      </c>
      <c r="C1531" s="8" t="s">
        <v>20</v>
      </c>
      <c r="D1531" s="8" t="s">
        <v>85</v>
      </c>
      <c r="E1531" s="8" t="s">
        <v>7540</v>
      </c>
      <c r="F1531" s="17">
        <v>41882</v>
      </c>
      <c r="G1531" s="8" t="s">
        <v>7541</v>
      </c>
      <c r="H1531" s="8" t="s">
        <v>762</v>
      </c>
      <c r="I1531" s="8" t="s">
        <v>427</v>
      </c>
      <c r="J1531" s="16" t="s">
        <v>7542</v>
      </c>
      <c r="K1531" s="2" t="s">
        <v>762</v>
      </c>
      <c r="L1531" s="8" t="s">
        <v>586</v>
      </c>
      <c r="M1531" s="8" t="s">
        <v>27</v>
      </c>
      <c r="N1531" s="8" t="s">
        <v>7543</v>
      </c>
      <c r="O1531" s="8" t="s">
        <v>1018</v>
      </c>
      <c r="P1531" s="8" t="s">
        <v>405</v>
      </c>
      <c r="Q1531" s="12" t="str">
        <f>HYPERLINK("http://nypost.com/2014/09/06/man-who-shot-nypd-cop-dies-after-surgery/","http://nypost.com/2014/09/06/man-who-shot-nypd-cop-dies-after-surgery/")</f>
        <v>http://nypost.com/2014/09/06/man-who-shot-nypd-cop-dies-after-surgery/</v>
      </c>
      <c r="R1531" s="8" t="s">
        <v>100</v>
      </c>
      <c r="S1531" s="7" t="s">
        <v>28</v>
      </c>
      <c r="T1531" s="6"/>
      <c r="U1531" s="8"/>
    </row>
    <row r="1532" spans="1:34" ht="13.5" customHeight="1">
      <c r="A1532" s="8" t="s">
        <v>7553</v>
      </c>
      <c r="B1532" s="16">
        <v>42</v>
      </c>
      <c r="C1532" s="8" t="s">
        <v>20</v>
      </c>
      <c r="D1532" s="8" t="s">
        <v>37</v>
      </c>
      <c r="F1532" s="17">
        <v>41882</v>
      </c>
      <c r="G1532" s="8" t="s">
        <v>7554</v>
      </c>
      <c r="H1532" s="8" t="s">
        <v>1627</v>
      </c>
      <c r="I1532" s="8" t="s">
        <v>272</v>
      </c>
      <c r="J1532" s="16" t="s">
        <v>7555</v>
      </c>
      <c r="K1532" s="2" t="s">
        <v>6321</v>
      </c>
      <c r="L1532" s="8" t="s">
        <v>7556</v>
      </c>
      <c r="M1532" s="8" t="s">
        <v>27</v>
      </c>
      <c r="N1532" s="8" t="s">
        <v>7557</v>
      </c>
      <c r="O1532" s="8" t="s">
        <v>404</v>
      </c>
      <c r="P1532" s="8" t="s">
        <v>405</v>
      </c>
      <c r="Q1532" s="12" t="s">
        <v>7558</v>
      </c>
      <c r="R1532" s="8" t="s">
        <v>100</v>
      </c>
      <c r="S1532" s="7" t="s">
        <v>28</v>
      </c>
      <c r="T1532" s="6"/>
      <c r="U1532" s="8"/>
    </row>
    <row r="1533" spans="1:34" ht="13.5" customHeight="1">
      <c r="A1533" s="8" t="s">
        <v>7563</v>
      </c>
      <c r="B1533" s="16">
        <v>71</v>
      </c>
      <c r="C1533" s="8" t="s">
        <v>20</v>
      </c>
      <c r="D1533" s="8" t="s">
        <v>37</v>
      </c>
      <c r="F1533" s="17">
        <v>41881</v>
      </c>
      <c r="G1533" s="8" t="s">
        <v>7564</v>
      </c>
      <c r="H1533" s="8" t="s">
        <v>7565</v>
      </c>
      <c r="I1533" s="8" t="s">
        <v>367</v>
      </c>
      <c r="J1533" s="16" t="s">
        <v>7566</v>
      </c>
      <c r="K1533" s="2" t="s">
        <v>7567</v>
      </c>
      <c r="L1533" s="8" t="s">
        <v>7568</v>
      </c>
      <c r="M1533" s="8" t="s">
        <v>27</v>
      </c>
      <c r="N1533" s="8" t="s">
        <v>7569</v>
      </c>
      <c r="O1533" s="8" t="s">
        <v>404</v>
      </c>
      <c r="P1533" s="8" t="s">
        <v>405</v>
      </c>
      <c r="Q1533" s="12" t="s">
        <v>7570</v>
      </c>
      <c r="R1533" s="8" t="s">
        <v>100</v>
      </c>
      <c r="S1533" s="7" t="s">
        <v>28</v>
      </c>
      <c r="T1533" s="6"/>
      <c r="U1533" s="8"/>
    </row>
    <row r="1534" spans="1:34" ht="13.5" customHeight="1">
      <c r="A1534" s="8" t="s">
        <v>7559</v>
      </c>
      <c r="B1534" s="16">
        <v>30</v>
      </c>
      <c r="C1534" s="8" t="s">
        <v>20</v>
      </c>
      <c r="D1534" s="8" t="s">
        <v>48</v>
      </c>
      <c r="F1534" s="17">
        <v>41881</v>
      </c>
      <c r="G1534" s="8" t="s">
        <v>7560</v>
      </c>
      <c r="H1534" s="8" t="s">
        <v>4332</v>
      </c>
      <c r="I1534" s="8" t="s">
        <v>73</v>
      </c>
      <c r="J1534" s="16" t="s">
        <v>4333</v>
      </c>
      <c r="K1534" s="2" t="s">
        <v>4334</v>
      </c>
      <c r="L1534" s="8" t="s">
        <v>4335</v>
      </c>
      <c r="M1534" s="8" t="s">
        <v>27</v>
      </c>
      <c r="N1534" s="8" t="s">
        <v>7561</v>
      </c>
      <c r="O1534" s="8" t="s">
        <v>554</v>
      </c>
      <c r="P1534" s="8" t="s">
        <v>405</v>
      </c>
      <c r="Q1534" s="12" t="s">
        <v>7562</v>
      </c>
      <c r="R1534" s="8" t="s">
        <v>100</v>
      </c>
      <c r="S1534" s="7" t="s">
        <v>18</v>
      </c>
      <c r="T1534" s="6"/>
      <c r="U1534" s="8"/>
    </row>
    <row r="1535" spans="1:34" ht="13.5" customHeight="1">
      <c r="A1535" s="8" t="s">
        <v>7571</v>
      </c>
      <c r="B1535" s="16">
        <v>21</v>
      </c>
      <c r="C1535" s="8" t="s">
        <v>20</v>
      </c>
      <c r="D1535" s="8" t="s">
        <v>37</v>
      </c>
      <c r="F1535" s="17">
        <v>41881</v>
      </c>
      <c r="G1535" s="8" t="s">
        <v>7572</v>
      </c>
      <c r="H1535" s="8" t="s">
        <v>7573</v>
      </c>
      <c r="I1535" s="8" t="s">
        <v>675</v>
      </c>
      <c r="J1535" s="16" t="s">
        <v>7574</v>
      </c>
      <c r="K1535" s="2" t="s">
        <v>424</v>
      </c>
      <c r="L1535" s="8" t="s">
        <v>7575</v>
      </c>
      <c r="M1535" s="8" t="s">
        <v>27</v>
      </c>
      <c r="N1535" s="8" t="s">
        <v>7576</v>
      </c>
      <c r="O1535" s="8" t="s">
        <v>1018</v>
      </c>
      <c r="P1535" s="8" t="s">
        <v>405</v>
      </c>
      <c r="Q1535" s="12" t="s">
        <v>7577</v>
      </c>
      <c r="R1535" s="8" t="s">
        <v>100</v>
      </c>
      <c r="S1535" s="7" t="s">
        <v>28</v>
      </c>
      <c r="T1535" s="6"/>
      <c r="U1535" s="8"/>
    </row>
    <row r="1536" spans="1:34" ht="13.5" customHeight="1">
      <c r="A1536" s="8" t="s">
        <v>7578</v>
      </c>
      <c r="B1536" s="16">
        <v>51</v>
      </c>
      <c r="C1536" s="8" t="s">
        <v>20</v>
      </c>
      <c r="D1536" s="8" t="s">
        <v>37</v>
      </c>
      <c r="F1536" s="17">
        <v>41881</v>
      </c>
      <c r="G1536" s="8" t="s">
        <v>7579</v>
      </c>
      <c r="H1536" s="8" t="s">
        <v>1220</v>
      </c>
      <c r="I1536" s="8" t="s">
        <v>306</v>
      </c>
      <c r="J1536" s="16" t="s">
        <v>7580</v>
      </c>
      <c r="K1536" s="2" t="s">
        <v>1221</v>
      </c>
      <c r="L1536" s="8" t="s">
        <v>1222</v>
      </c>
      <c r="M1536" s="8" t="s">
        <v>27</v>
      </c>
      <c r="N1536" s="8" t="s">
        <v>7581</v>
      </c>
      <c r="O1536" s="8" t="s">
        <v>1018</v>
      </c>
      <c r="P1536" s="8" t="s">
        <v>405</v>
      </c>
      <c r="Q1536" s="12"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1536" s="8" t="s">
        <v>100</v>
      </c>
      <c r="S1536" s="7" t="s">
        <v>28</v>
      </c>
      <c r="T1536" s="6"/>
      <c r="U1536" s="8"/>
    </row>
    <row r="1537" spans="1:21" ht="13.5" customHeight="1">
      <c r="A1537" s="8" t="s">
        <v>7591</v>
      </c>
      <c r="B1537" s="16">
        <v>45</v>
      </c>
      <c r="C1537" s="8" t="s">
        <v>20</v>
      </c>
      <c r="D1537" s="8" t="s">
        <v>48</v>
      </c>
      <c r="E1537" s="8" t="s">
        <v>7592</v>
      </c>
      <c r="F1537" s="17">
        <v>41880</v>
      </c>
      <c r="G1537" s="8" t="s">
        <v>7593</v>
      </c>
      <c r="H1537" s="8" t="s">
        <v>7594</v>
      </c>
      <c r="I1537" s="8" t="s">
        <v>73</v>
      </c>
      <c r="J1537" s="16" t="s">
        <v>7595</v>
      </c>
      <c r="K1537" s="2" t="s">
        <v>6777</v>
      </c>
      <c r="L1537" s="8" t="s">
        <v>7596</v>
      </c>
      <c r="M1537" s="8" t="s">
        <v>27</v>
      </c>
      <c r="N1537" s="8" t="s">
        <v>7597</v>
      </c>
      <c r="O1537" s="8" t="s">
        <v>1018</v>
      </c>
      <c r="P1537" s="8" t="s">
        <v>405</v>
      </c>
      <c r="Q1537" s="12" t="s">
        <v>7598</v>
      </c>
      <c r="R1537" s="8" t="s">
        <v>100</v>
      </c>
      <c r="S1537" s="7" t="s">
        <v>28</v>
      </c>
      <c r="T1537" s="6"/>
      <c r="U1537" s="8"/>
    </row>
    <row r="1538" spans="1:21" ht="13.5" customHeight="1">
      <c r="A1538" s="8" t="s">
        <v>7599</v>
      </c>
      <c r="B1538" s="16">
        <v>26</v>
      </c>
      <c r="C1538" s="8" t="s">
        <v>20</v>
      </c>
      <c r="D1538" s="8" t="s">
        <v>37</v>
      </c>
      <c r="E1538" s="8" t="s">
        <v>7600</v>
      </c>
      <c r="F1538" s="17">
        <v>41880</v>
      </c>
      <c r="G1538" s="8" t="s">
        <v>7601</v>
      </c>
      <c r="H1538" s="8" t="s">
        <v>7602</v>
      </c>
      <c r="I1538" s="8" t="s">
        <v>118</v>
      </c>
      <c r="J1538" s="16">
        <v>97801</v>
      </c>
      <c r="K1538" s="2" t="s">
        <v>7603</v>
      </c>
      <c r="L1538" s="8" t="s">
        <v>7604</v>
      </c>
      <c r="M1538" s="8" t="s">
        <v>27</v>
      </c>
      <c r="N1538" s="8" t="s">
        <v>7605</v>
      </c>
      <c r="P1538" s="8" t="s">
        <v>405</v>
      </c>
      <c r="Q1538" s="12" t="s">
        <v>7606</v>
      </c>
      <c r="S1538" s="7" t="s">
        <v>35</v>
      </c>
      <c r="T1538" s="6"/>
      <c r="U1538" s="8"/>
    </row>
    <row r="1539" spans="1:21" ht="13.5" customHeight="1">
      <c r="A1539" s="8" t="s">
        <v>7585</v>
      </c>
      <c r="B1539" s="16">
        <v>33</v>
      </c>
      <c r="C1539" s="8" t="s">
        <v>20</v>
      </c>
      <c r="D1539" s="8" t="s">
        <v>85</v>
      </c>
      <c r="E1539" s="8" t="s">
        <v>7586</v>
      </c>
      <c r="F1539" s="17">
        <v>41880</v>
      </c>
      <c r="G1539" s="8" t="s">
        <v>7587</v>
      </c>
      <c r="H1539" s="8" t="s">
        <v>1069</v>
      </c>
      <c r="I1539" s="8" t="s">
        <v>62</v>
      </c>
      <c r="J1539" s="16" t="s">
        <v>7588</v>
      </c>
      <c r="K1539" s="2" t="s">
        <v>1070</v>
      </c>
      <c r="L1539" s="8" t="s">
        <v>4480</v>
      </c>
      <c r="M1539" s="8" t="s">
        <v>27</v>
      </c>
      <c r="N1539" s="8" t="s">
        <v>7589</v>
      </c>
      <c r="O1539" s="8" t="s">
        <v>1018</v>
      </c>
      <c r="P1539" s="8" t="s">
        <v>405</v>
      </c>
      <c r="Q1539" s="12" t="s">
        <v>7590</v>
      </c>
      <c r="R1539" s="8" t="s">
        <v>100</v>
      </c>
      <c r="S1539" s="7" t="s">
        <v>28</v>
      </c>
      <c r="T1539" s="6"/>
      <c r="U1539" s="8"/>
    </row>
    <row r="1540" spans="1:21" ht="13.5" customHeight="1">
      <c r="A1540" s="8" t="s">
        <v>7607</v>
      </c>
      <c r="B1540" s="16">
        <v>44</v>
      </c>
      <c r="C1540" s="8" t="s">
        <v>20</v>
      </c>
      <c r="D1540" s="8" t="s">
        <v>37</v>
      </c>
      <c r="E1540" s="8" t="s">
        <v>7608</v>
      </c>
      <c r="F1540" s="17">
        <v>41880</v>
      </c>
      <c r="G1540" s="8" t="s">
        <v>7609</v>
      </c>
      <c r="H1540" s="8" t="s">
        <v>7610</v>
      </c>
      <c r="I1540" s="8" t="s">
        <v>124</v>
      </c>
      <c r="J1540" s="16" t="s">
        <v>7611</v>
      </c>
      <c r="K1540" s="2" t="s">
        <v>5909</v>
      </c>
      <c r="L1540" s="8" t="s">
        <v>19945</v>
      </c>
      <c r="M1540" s="8" t="s">
        <v>395</v>
      </c>
      <c r="N1540" s="8" t="s">
        <v>7612</v>
      </c>
      <c r="O1540" s="8" t="s">
        <v>1018</v>
      </c>
      <c r="P1540" s="8" t="s">
        <v>405</v>
      </c>
      <c r="Q1540" s="12" t="s">
        <v>7613</v>
      </c>
      <c r="R1540" s="8" t="s">
        <v>100</v>
      </c>
      <c r="S1540" s="7" t="s">
        <v>18</v>
      </c>
      <c r="T1540" s="6"/>
      <c r="U1540" s="8"/>
    </row>
    <row r="1541" spans="1:21" ht="13.5" customHeight="1">
      <c r="A1541" s="8" t="s">
        <v>7582</v>
      </c>
      <c r="B1541" s="16">
        <v>45</v>
      </c>
      <c r="C1541" s="8" t="s">
        <v>20</v>
      </c>
      <c r="D1541" s="8" t="s">
        <v>85</v>
      </c>
      <c r="E1541" s="8" t="str">
        <f>HYPERLINK("https://cbsnewyork.files.wordpress.com/2014/08/singelton2.jpg?w=620&amp;h=349&amp;crop=1","https://cbsnewyork.files.wordpress.com/2014/08/singelton2.jpg?w=620&amp;h=349&amp;crop=1")</f>
        <v>https://cbsnewyork.files.wordpress.com/2014/08/singelton2.jpg?w=620&amp;h=349&amp;crop=1</v>
      </c>
      <c r="F1541" s="17">
        <v>41880</v>
      </c>
      <c r="G1541" s="8" t="s">
        <v>7583</v>
      </c>
      <c r="H1541" s="8" t="s">
        <v>762</v>
      </c>
      <c r="I1541" s="8" t="s">
        <v>427</v>
      </c>
      <c r="J1541" s="16">
        <v>10111</v>
      </c>
      <c r="K1541" s="2" t="s">
        <v>762</v>
      </c>
      <c r="L1541" s="8" t="s">
        <v>586</v>
      </c>
      <c r="M1541" s="8" t="s">
        <v>2312</v>
      </c>
      <c r="N1541" s="8" t="s">
        <v>7584</v>
      </c>
      <c r="O1541" s="8" t="s">
        <v>404</v>
      </c>
      <c r="P1541" s="8" t="s">
        <v>405</v>
      </c>
      <c r="Q1541" s="12"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1541" s="8" t="s">
        <v>972</v>
      </c>
      <c r="S1541" s="7" t="s">
        <v>18</v>
      </c>
      <c r="T1541" s="6"/>
      <c r="U1541" s="8"/>
    </row>
    <row r="1542" spans="1:21" ht="13.5" customHeight="1">
      <c r="A1542" s="8" t="s">
        <v>7619</v>
      </c>
      <c r="B1542" s="16">
        <v>21</v>
      </c>
      <c r="C1542" s="8" t="s">
        <v>20</v>
      </c>
      <c r="D1542" s="8" t="s">
        <v>37</v>
      </c>
      <c r="E1542" s="8" t="s">
        <v>7620</v>
      </c>
      <c r="F1542" s="17">
        <v>41879</v>
      </c>
      <c r="G1542" s="8" t="s">
        <v>7621</v>
      </c>
      <c r="H1542" s="8" t="s">
        <v>3639</v>
      </c>
      <c r="I1542" s="8" t="s">
        <v>135</v>
      </c>
      <c r="J1542" s="16" t="s">
        <v>7622</v>
      </c>
      <c r="K1542" s="2" t="s">
        <v>2443</v>
      </c>
      <c r="L1542" s="8" t="s">
        <v>7623</v>
      </c>
      <c r="M1542" s="8" t="s">
        <v>27</v>
      </c>
      <c r="N1542" s="8" t="s">
        <v>7624</v>
      </c>
      <c r="O1542" s="8" t="s">
        <v>554</v>
      </c>
      <c r="P1542" s="8" t="s">
        <v>405</v>
      </c>
      <c r="Q1542" s="12" t="str">
        <f>HYPERLINK("http://www.mprnews.org/story/2014/11/17/police-justified-in-ramsey-shooting","http://www.mprnews.org/story/2014/11/17/police-justified-in-ramsey-shooting")</f>
        <v>http://www.mprnews.org/story/2014/11/17/police-justified-in-ramsey-shooting</v>
      </c>
      <c r="R1542" s="8" t="s">
        <v>100</v>
      </c>
      <c r="S1542" s="7" t="s">
        <v>28</v>
      </c>
      <c r="T1542" s="6"/>
      <c r="U1542" s="8"/>
    </row>
    <row r="1543" spans="1:21" ht="13.5" customHeight="1">
      <c r="A1543" s="8" t="s">
        <v>7625</v>
      </c>
      <c r="B1543" s="16">
        <v>32</v>
      </c>
      <c r="C1543" s="8" t="s">
        <v>20</v>
      </c>
      <c r="D1543" s="8" t="s">
        <v>37</v>
      </c>
      <c r="F1543" s="17">
        <v>41879</v>
      </c>
      <c r="G1543" s="8" t="s">
        <v>7626</v>
      </c>
      <c r="H1543" s="8" t="s">
        <v>7627</v>
      </c>
      <c r="I1543" s="8" t="s">
        <v>45</v>
      </c>
      <c r="J1543" s="16" t="s">
        <v>7628</v>
      </c>
      <c r="K1543" s="2" t="s">
        <v>7629</v>
      </c>
      <c r="L1543" s="8" t="s">
        <v>7630</v>
      </c>
      <c r="M1543" s="8" t="s">
        <v>27</v>
      </c>
      <c r="N1543" s="8" t="s">
        <v>7631</v>
      </c>
      <c r="O1543" s="8" t="s">
        <v>404</v>
      </c>
      <c r="P1543" s="8" t="s">
        <v>405</v>
      </c>
      <c r="Q1543" s="12" t="str">
        <f>HYPERLINK("http://www.redding.com/news/local-news/deputies-person-shot-on-fig-tree-lane","http://www.redding.com/news/local-news/deputies-person-shot-on-fig-tree-lane")</f>
        <v>http://www.redding.com/news/local-news/deputies-person-shot-on-fig-tree-lane</v>
      </c>
      <c r="R1543" s="8" t="s">
        <v>559</v>
      </c>
      <c r="S1543" s="7" t="s">
        <v>28</v>
      </c>
      <c r="T1543" s="6"/>
      <c r="U1543" s="8"/>
    </row>
    <row r="1544" spans="1:21" ht="13.5" customHeight="1">
      <c r="A1544" s="8" t="s">
        <v>7614</v>
      </c>
      <c r="B1544" s="16">
        <v>36</v>
      </c>
      <c r="C1544" s="8" t="s">
        <v>20</v>
      </c>
      <c r="D1544" s="8" t="s">
        <v>48</v>
      </c>
      <c r="F1544" s="17">
        <v>41879</v>
      </c>
      <c r="G1544" s="8" t="s">
        <v>7615</v>
      </c>
      <c r="H1544" s="8" t="s">
        <v>3637</v>
      </c>
      <c r="I1544" s="8" t="s">
        <v>135</v>
      </c>
      <c r="J1544" s="16" t="s">
        <v>7616</v>
      </c>
      <c r="K1544" s="2" t="s">
        <v>3639</v>
      </c>
      <c r="L1544" s="8" t="s">
        <v>4976</v>
      </c>
      <c r="M1544" s="8" t="s">
        <v>27</v>
      </c>
      <c r="N1544" s="8" t="s">
        <v>7617</v>
      </c>
      <c r="O1544" s="8" t="s">
        <v>404</v>
      </c>
      <c r="P1544" s="8" t="s">
        <v>405</v>
      </c>
      <c r="Q1544" s="12" t="s">
        <v>7618</v>
      </c>
      <c r="R1544" s="8" t="s">
        <v>100</v>
      </c>
      <c r="S1544" s="7" t="s">
        <v>18</v>
      </c>
      <c r="T1544" s="6"/>
      <c r="U1544" s="8"/>
    </row>
    <row r="1545" spans="1:21" ht="13.5" customHeight="1">
      <c r="A1545" s="8" t="s">
        <v>7632</v>
      </c>
      <c r="B1545" s="16">
        <v>31</v>
      </c>
      <c r="C1545" s="8" t="s">
        <v>20</v>
      </c>
      <c r="D1545" s="8" t="s">
        <v>37</v>
      </c>
      <c r="E1545" s="8" t="s">
        <v>7633</v>
      </c>
      <c r="F1545" s="17">
        <v>41879</v>
      </c>
      <c r="G1545" s="8" t="s">
        <v>7634</v>
      </c>
      <c r="H1545" s="8" t="s">
        <v>3616</v>
      </c>
      <c r="I1545" s="8" t="s">
        <v>62</v>
      </c>
      <c r="J1545" s="16" t="s">
        <v>7635</v>
      </c>
      <c r="K1545" s="2" t="s">
        <v>3618</v>
      </c>
      <c r="L1545" s="8" t="s">
        <v>7636</v>
      </c>
      <c r="M1545" s="8" t="s">
        <v>27</v>
      </c>
      <c r="N1545" s="8" t="s">
        <v>7637</v>
      </c>
      <c r="O1545" s="8" t="s">
        <v>1018</v>
      </c>
      <c r="P1545" s="8" t="s">
        <v>405</v>
      </c>
      <c r="Q1545" s="12" t="s">
        <v>7638</v>
      </c>
      <c r="R1545" s="8" t="s">
        <v>100</v>
      </c>
      <c r="S1545" s="7" t="s">
        <v>28</v>
      </c>
      <c r="T1545" s="6"/>
      <c r="U1545" s="8"/>
    </row>
    <row r="1546" spans="1:21" ht="13.5" customHeight="1">
      <c r="A1546" s="8" t="s">
        <v>7667</v>
      </c>
      <c r="B1546" s="16">
        <v>48</v>
      </c>
      <c r="C1546" s="8" t="s">
        <v>20</v>
      </c>
      <c r="D1546" s="8" t="s">
        <v>37</v>
      </c>
      <c r="E1546" s="8" t="s">
        <v>7668</v>
      </c>
      <c r="F1546" s="17">
        <v>41878</v>
      </c>
      <c r="G1546" s="8" t="s">
        <v>7669</v>
      </c>
      <c r="H1546" s="8" t="s">
        <v>7670</v>
      </c>
      <c r="I1546" s="8" t="s">
        <v>25</v>
      </c>
      <c r="J1546" s="16" t="s">
        <v>7671</v>
      </c>
      <c r="K1546" s="2" t="s">
        <v>4129</v>
      </c>
      <c r="L1546" s="8" t="s">
        <v>7672</v>
      </c>
      <c r="M1546" s="8" t="s">
        <v>27</v>
      </c>
      <c r="N1546" s="8" t="s">
        <v>7673</v>
      </c>
      <c r="O1546" s="8" t="s">
        <v>1018</v>
      </c>
      <c r="P1546" s="8" t="s">
        <v>405</v>
      </c>
      <c r="Q1546" s="12" t="s">
        <v>7674</v>
      </c>
      <c r="R1546" s="8" t="s">
        <v>100</v>
      </c>
      <c r="S1546" s="7" t="s">
        <v>28</v>
      </c>
      <c r="T1546" s="6"/>
      <c r="U1546" s="8"/>
    </row>
    <row r="1547" spans="1:21" ht="13.5" customHeight="1">
      <c r="A1547" s="8" t="s">
        <v>7651</v>
      </c>
      <c r="B1547" s="16">
        <v>61</v>
      </c>
      <c r="C1547" s="8" t="s">
        <v>20</v>
      </c>
      <c r="D1547" s="8" t="s">
        <v>141</v>
      </c>
      <c r="E1547" s="8" t="s">
        <v>7652</v>
      </c>
      <c r="F1547" s="17">
        <v>41878</v>
      </c>
      <c r="G1547" s="8" t="s">
        <v>7653</v>
      </c>
      <c r="H1547" s="8" t="s">
        <v>7654</v>
      </c>
      <c r="I1547" s="8" t="s">
        <v>198</v>
      </c>
      <c r="J1547" s="16" t="s">
        <v>7655</v>
      </c>
      <c r="K1547" s="2" t="s">
        <v>5808</v>
      </c>
      <c r="L1547" s="8" t="s">
        <v>7656</v>
      </c>
      <c r="M1547" s="8" t="s">
        <v>27</v>
      </c>
      <c r="N1547" s="8" t="s">
        <v>7657</v>
      </c>
      <c r="O1547" s="8" t="s">
        <v>1018</v>
      </c>
      <c r="P1547" s="8" t="s">
        <v>405</v>
      </c>
      <c r="Q1547" s="12" t="s">
        <v>7658</v>
      </c>
      <c r="R1547" s="8" t="s">
        <v>100</v>
      </c>
      <c r="S1547" s="7" t="s">
        <v>35</v>
      </c>
      <c r="T1547" s="6"/>
      <c r="U1547" s="8"/>
    </row>
    <row r="1548" spans="1:21" ht="13.5" customHeight="1">
      <c r="A1548" s="8" t="s">
        <v>7639</v>
      </c>
      <c r="B1548" s="16">
        <v>45</v>
      </c>
      <c r="C1548" s="8" t="s">
        <v>20</v>
      </c>
      <c r="D1548" s="8" t="s">
        <v>85</v>
      </c>
      <c r="F1548" s="17">
        <v>41878</v>
      </c>
      <c r="G1548" s="8" t="s">
        <v>7640</v>
      </c>
      <c r="H1548" s="8" t="s">
        <v>7641</v>
      </c>
      <c r="I1548" s="8" t="s">
        <v>45</v>
      </c>
      <c r="J1548" s="16" t="s">
        <v>7642</v>
      </c>
      <c r="K1548" s="2" t="s">
        <v>98</v>
      </c>
      <c r="L1548" s="8" t="s">
        <v>99</v>
      </c>
      <c r="M1548" s="8" t="s">
        <v>27</v>
      </c>
      <c r="N1548" s="8" t="s">
        <v>7643</v>
      </c>
      <c r="O1548" s="8" t="s">
        <v>554</v>
      </c>
      <c r="P1548" s="8" t="s">
        <v>405</v>
      </c>
      <c r="Q1548" s="12" t="s">
        <v>7644</v>
      </c>
      <c r="R1548" s="8" t="s">
        <v>100</v>
      </c>
      <c r="S1548" s="7" t="s">
        <v>28</v>
      </c>
      <c r="T1548" s="6"/>
      <c r="U1548" s="8"/>
    </row>
    <row r="1549" spans="1:21" ht="13.5" customHeight="1">
      <c r="A1549" s="8" t="s">
        <v>7659</v>
      </c>
      <c r="B1549" s="16">
        <v>54</v>
      </c>
      <c r="C1549" s="8" t="s">
        <v>20</v>
      </c>
      <c r="D1549" s="8" t="s">
        <v>30</v>
      </c>
      <c r="F1549" s="17">
        <v>41878</v>
      </c>
      <c r="G1549" s="8" t="s">
        <v>7660</v>
      </c>
      <c r="H1549" s="8" t="s">
        <v>7661</v>
      </c>
      <c r="I1549" s="8" t="s">
        <v>45</v>
      </c>
      <c r="J1549" s="16" t="s">
        <v>7662</v>
      </c>
      <c r="K1549" s="2" t="s">
        <v>7663</v>
      </c>
      <c r="L1549" s="8" t="s">
        <v>7664</v>
      </c>
      <c r="M1549" s="8" t="s">
        <v>27</v>
      </c>
      <c r="N1549" s="8" t="s">
        <v>7665</v>
      </c>
      <c r="O1549" s="8" t="s">
        <v>404</v>
      </c>
      <c r="P1549" s="8" t="s">
        <v>405</v>
      </c>
      <c r="Q1549" s="12" t="s">
        <v>7666</v>
      </c>
      <c r="R1549" s="8" t="s">
        <v>559</v>
      </c>
      <c r="S1549" s="7" t="s">
        <v>28</v>
      </c>
      <c r="T1549" s="6"/>
      <c r="U1549" s="8"/>
    </row>
    <row r="1550" spans="1:21" ht="13.5" customHeight="1">
      <c r="A1550" s="8" t="s">
        <v>7645</v>
      </c>
      <c r="B1550" s="16">
        <v>18</v>
      </c>
      <c r="C1550" s="8" t="s">
        <v>20</v>
      </c>
      <c r="D1550" s="8" t="s">
        <v>48</v>
      </c>
      <c r="E1550" s="8" t="s">
        <v>7646</v>
      </c>
      <c r="F1550" s="17">
        <v>41878</v>
      </c>
      <c r="G1550" s="8" t="s">
        <v>7647</v>
      </c>
      <c r="H1550" s="8" t="s">
        <v>288</v>
      </c>
      <c r="I1550" s="8" t="s">
        <v>73</v>
      </c>
      <c r="J1550" s="16" t="s">
        <v>7648</v>
      </c>
      <c r="K1550" s="2" t="s">
        <v>288</v>
      </c>
      <c r="L1550" s="8" t="s">
        <v>289</v>
      </c>
      <c r="M1550" s="8" t="s">
        <v>27</v>
      </c>
      <c r="N1550" s="8" t="s">
        <v>7649</v>
      </c>
      <c r="O1550" s="8" t="s">
        <v>1018</v>
      </c>
      <c r="P1550" s="8" t="s">
        <v>405</v>
      </c>
      <c r="Q1550" s="12" t="s">
        <v>7650</v>
      </c>
      <c r="R1550" s="8" t="s">
        <v>100</v>
      </c>
      <c r="S1550" s="7" t="s">
        <v>28</v>
      </c>
      <c r="T1550" s="6"/>
      <c r="U1550" s="8"/>
    </row>
    <row r="1551" spans="1:21" ht="13.5" customHeight="1">
      <c r="A1551" s="8" t="s">
        <v>7687</v>
      </c>
      <c r="B1551" s="16">
        <v>38</v>
      </c>
      <c r="C1551" s="8" t="s">
        <v>20</v>
      </c>
      <c r="D1551" s="8" t="s">
        <v>37</v>
      </c>
      <c r="E1551" s="8" t="s">
        <v>7688</v>
      </c>
      <c r="F1551" s="17">
        <v>41877</v>
      </c>
      <c r="G1551" s="8" t="s">
        <v>7689</v>
      </c>
      <c r="H1551" s="8" t="s">
        <v>1643</v>
      </c>
      <c r="I1551" s="8" t="s">
        <v>467</v>
      </c>
      <c r="J1551" s="16" t="s">
        <v>7678</v>
      </c>
      <c r="K1551" s="2" t="s">
        <v>946</v>
      </c>
      <c r="L1551" s="8" t="s">
        <v>2273</v>
      </c>
      <c r="M1551" s="8" t="s">
        <v>27</v>
      </c>
      <c r="N1551" s="8" t="s">
        <v>7690</v>
      </c>
      <c r="O1551" s="8" t="s">
        <v>404</v>
      </c>
      <c r="P1551" s="8" t="s">
        <v>405</v>
      </c>
      <c r="Q1551" s="12" t="s">
        <v>7691</v>
      </c>
      <c r="R1551" s="8" t="s">
        <v>100</v>
      </c>
      <c r="S1551" s="7" t="s">
        <v>28</v>
      </c>
      <c r="T1551" s="6"/>
      <c r="U1551" s="8"/>
    </row>
    <row r="1552" spans="1:21" ht="13.5" customHeight="1">
      <c r="A1552" s="8" t="s">
        <v>7675</v>
      </c>
      <c r="B1552" s="16">
        <v>32</v>
      </c>
      <c r="C1552" s="8" t="s">
        <v>20</v>
      </c>
      <c r="D1552" s="8" t="s">
        <v>85</v>
      </c>
      <c r="E1552" s="8" t="s">
        <v>7676</v>
      </c>
      <c r="F1552" s="17">
        <v>41877</v>
      </c>
      <c r="G1552" s="8" t="s">
        <v>7677</v>
      </c>
      <c r="H1552" s="8" t="s">
        <v>1643</v>
      </c>
      <c r="I1552" s="8" t="s">
        <v>467</v>
      </c>
      <c r="J1552" s="16" t="s">
        <v>7678</v>
      </c>
      <c r="K1552" s="2" t="s">
        <v>946</v>
      </c>
      <c r="L1552" s="8" t="s">
        <v>2273</v>
      </c>
      <c r="M1552" s="8" t="s">
        <v>27</v>
      </c>
      <c r="N1552" s="8" t="s">
        <v>7679</v>
      </c>
      <c r="O1552" s="8" t="s">
        <v>1018</v>
      </c>
      <c r="P1552" s="8" t="s">
        <v>405</v>
      </c>
      <c r="Q1552" s="12" t="s">
        <v>7680</v>
      </c>
      <c r="R1552" s="8" t="s">
        <v>29</v>
      </c>
      <c r="S1552" s="7" t="s">
        <v>18</v>
      </c>
      <c r="T1552" s="6"/>
      <c r="U1552" s="8"/>
    </row>
    <row r="1553" spans="1:34" ht="13.5" customHeight="1">
      <c r="A1553" s="8" t="s">
        <v>7692</v>
      </c>
      <c r="B1553" s="16">
        <v>20</v>
      </c>
      <c r="C1553" s="8" t="s">
        <v>20</v>
      </c>
      <c r="D1553" s="8" t="s">
        <v>37</v>
      </c>
      <c r="E1553" s="8" t="s">
        <v>7693</v>
      </c>
      <c r="F1553" s="17">
        <v>41877</v>
      </c>
      <c r="G1553" s="8" t="s">
        <v>7694</v>
      </c>
      <c r="H1553" s="8" t="s">
        <v>7695</v>
      </c>
      <c r="I1553" s="8" t="s">
        <v>152</v>
      </c>
      <c r="J1553" s="16" t="s">
        <v>7696</v>
      </c>
      <c r="K1553" s="2" t="s">
        <v>3435</v>
      </c>
      <c r="L1553" s="8" t="s">
        <v>7697</v>
      </c>
      <c r="M1553" s="8" t="s">
        <v>27</v>
      </c>
      <c r="N1553" s="8" t="s">
        <v>7698</v>
      </c>
      <c r="O1553" s="8" t="s">
        <v>554</v>
      </c>
      <c r="P1553" s="8" t="s">
        <v>405</v>
      </c>
      <c r="Q1553" s="12" t="s">
        <v>7699</v>
      </c>
      <c r="R1553" s="8" t="s">
        <v>29</v>
      </c>
      <c r="S1553" s="7" t="s">
        <v>28</v>
      </c>
      <c r="T1553" s="6"/>
      <c r="U1553" s="8"/>
    </row>
    <row r="1554" spans="1:34" ht="13.5" customHeight="1">
      <c r="A1554" s="8" t="s">
        <v>7681</v>
      </c>
      <c r="B1554" s="16">
        <v>18</v>
      </c>
      <c r="C1554" s="8" t="s">
        <v>20</v>
      </c>
      <c r="D1554" s="8" t="s">
        <v>85</v>
      </c>
      <c r="E1554" s="8" t="s">
        <v>7682</v>
      </c>
      <c r="F1554" s="17">
        <v>41877</v>
      </c>
      <c r="G1554" s="8" t="s">
        <v>7683</v>
      </c>
      <c r="H1554" s="8" t="s">
        <v>87</v>
      </c>
      <c r="I1554" s="8" t="s">
        <v>44</v>
      </c>
      <c r="J1554" s="16" t="s">
        <v>7684</v>
      </c>
      <c r="K1554" s="2" t="s">
        <v>88</v>
      </c>
      <c r="L1554" s="8" t="s">
        <v>89</v>
      </c>
      <c r="M1554" s="8" t="s">
        <v>27</v>
      </c>
      <c r="N1554" s="8" t="s">
        <v>7685</v>
      </c>
      <c r="O1554" s="8" t="s">
        <v>404</v>
      </c>
      <c r="P1554" s="8" t="s">
        <v>405</v>
      </c>
      <c r="Q1554" s="12" t="s">
        <v>7686</v>
      </c>
      <c r="R1554" s="8" t="s">
        <v>100</v>
      </c>
      <c r="S1554" s="7" t="s">
        <v>28</v>
      </c>
      <c r="T1554" s="6"/>
      <c r="U1554" s="8"/>
    </row>
    <row r="1555" spans="1:34" ht="13.5" customHeight="1">
      <c r="A1555" s="8" t="s">
        <v>7700</v>
      </c>
      <c r="B1555" s="16">
        <v>20</v>
      </c>
      <c r="C1555" s="8" t="s">
        <v>20</v>
      </c>
      <c r="D1555" s="8" t="s">
        <v>85</v>
      </c>
      <c r="E1555" s="8" t="s">
        <v>7701</v>
      </c>
      <c r="F1555" s="17">
        <v>41876</v>
      </c>
      <c r="G1555" s="8" t="s">
        <v>7683</v>
      </c>
      <c r="H1555" s="8" t="s">
        <v>87</v>
      </c>
      <c r="I1555" s="8" t="s">
        <v>44</v>
      </c>
      <c r="J1555" s="16" t="s">
        <v>7684</v>
      </c>
      <c r="K1555" s="2" t="s">
        <v>88</v>
      </c>
      <c r="L1555" s="8" t="s">
        <v>89</v>
      </c>
      <c r="M1555" s="8" t="s">
        <v>27</v>
      </c>
      <c r="N1555" s="8" t="s">
        <v>7702</v>
      </c>
      <c r="O1555" s="8" t="s">
        <v>1018</v>
      </c>
      <c r="P1555" s="8" t="s">
        <v>405</v>
      </c>
      <c r="Q1555" s="12" t="s">
        <v>7703</v>
      </c>
      <c r="R1555" s="8" t="s">
        <v>100</v>
      </c>
      <c r="S1555" s="7" t="s">
        <v>28</v>
      </c>
      <c r="T1555" s="6"/>
      <c r="U1555" s="8"/>
    </row>
    <row r="1556" spans="1:34" ht="13.5" customHeight="1">
      <c r="A1556" s="8" t="s">
        <v>7710</v>
      </c>
      <c r="B1556" s="16">
        <v>51</v>
      </c>
      <c r="C1556" s="8" t="s">
        <v>20</v>
      </c>
      <c r="D1556" s="8" t="s">
        <v>48</v>
      </c>
      <c r="E1556" s="8" t="s">
        <v>7711</v>
      </c>
      <c r="F1556" s="17">
        <v>41876</v>
      </c>
      <c r="G1556" s="8" t="s">
        <v>7712</v>
      </c>
      <c r="H1556" s="8" t="s">
        <v>6714</v>
      </c>
      <c r="I1556" s="8" t="s">
        <v>73</v>
      </c>
      <c r="J1556" s="16" t="s">
        <v>7713</v>
      </c>
      <c r="K1556" s="2" t="s">
        <v>6714</v>
      </c>
      <c r="L1556" s="8" t="s">
        <v>7714</v>
      </c>
      <c r="M1556" s="8" t="s">
        <v>27</v>
      </c>
      <c r="N1556" s="8" t="s">
        <v>7715</v>
      </c>
      <c r="O1556" s="8" t="s">
        <v>1018</v>
      </c>
      <c r="P1556" s="8" t="s">
        <v>405</v>
      </c>
      <c r="Q1556" s="12" t="s">
        <v>7716</v>
      </c>
      <c r="R1556" s="8" t="s">
        <v>100</v>
      </c>
      <c r="S1556" s="7" t="s">
        <v>28</v>
      </c>
      <c r="T1556" s="6"/>
      <c r="U1556" s="8"/>
    </row>
    <row r="1557" spans="1:34" ht="13.5" customHeight="1">
      <c r="A1557" s="8" t="s">
        <v>7717</v>
      </c>
      <c r="B1557" s="16">
        <v>29</v>
      </c>
      <c r="C1557" s="8" t="s">
        <v>20</v>
      </c>
      <c r="D1557" s="8" t="s">
        <v>37</v>
      </c>
      <c r="F1557" s="17">
        <v>41876</v>
      </c>
      <c r="G1557" s="8" t="s">
        <v>7718</v>
      </c>
      <c r="H1557" s="8" t="s">
        <v>2303</v>
      </c>
      <c r="I1557" s="8" t="s">
        <v>212</v>
      </c>
      <c r="J1557" s="16" t="s">
        <v>2304</v>
      </c>
      <c r="K1557" s="2" t="s">
        <v>1442</v>
      </c>
      <c r="L1557" s="8" t="s">
        <v>2305</v>
      </c>
      <c r="M1557" s="8" t="s">
        <v>27</v>
      </c>
      <c r="N1557" s="8" t="s">
        <v>7719</v>
      </c>
      <c r="O1557" s="8" t="s">
        <v>554</v>
      </c>
      <c r="P1557" s="8" t="s">
        <v>405</v>
      </c>
      <c r="Q1557" s="12" t="s">
        <v>7720</v>
      </c>
      <c r="R1557" s="8" t="s">
        <v>100</v>
      </c>
      <c r="S1557" s="7" t="s">
        <v>28</v>
      </c>
      <c r="T1557" s="6"/>
      <c r="U1557" s="8"/>
    </row>
    <row r="1558" spans="1:34" ht="13.5" customHeight="1">
      <c r="A1558" s="8" t="s">
        <v>7704</v>
      </c>
      <c r="B1558" s="16">
        <v>29</v>
      </c>
      <c r="C1558" s="8" t="s">
        <v>20</v>
      </c>
      <c r="D1558" s="8" t="s">
        <v>85</v>
      </c>
      <c r="E1558" s="8" t="s">
        <v>7705</v>
      </c>
      <c r="F1558" s="17">
        <v>41876</v>
      </c>
      <c r="G1558" s="8" t="s">
        <v>7706</v>
      </c>
      <c r="H1558" s="8" t="s">
        <v>288</v>
      </c>
      <c r="I1558" s="8" t="s">
        <v>73</v>
      </c>
      <c r="J1558" s="16" t="s">
        <v>7707</v>
      </c>
      <c r="K1558" s="2" t="s">
        <v>288</v>
      </c>
      <c r="L1558" s="8" t="s">
        <v>289</v>
      </c>
      <c r="M1558" s="8" t="s">
        <v>27</v>
      </c>
      <c r="N1558" s="8" t="s">
        <v>7708</v>
      </c>
      <c r="O1558" s="8" t="s">
        <v>404</v>
      </c>
      <c r="P1558" s="8" t="s">
        <v>405</v>
      </c>
      <c r="Q1558" s="12" t="s">
        <v>7709</v>
      </c>
      <c r="R1558" s="8" t="s">
        <v>100</v>
      </c>
      <c r="S1558" s="7" t="s">
        <v>28</v>
      </c>
      <c r="T1558" s="6"/>
      <c r="U1558" s="8"/>
    </row>
    <row r="1559" spans="1:34" ht="13.5" customHeight="1">
      <c r="A1559" s="8" t="s">
        <v>7727</v>
      </c>
      <c r="B1559" s="16">
        <v>22</v>
      </c>
      <c r="C1559" s="8" t="s">
        <v>20</v>
      </c>
      <c r="D1559" s="8" t="s">
        <v>48</v>
      </c>
      <c r="E1559" s="8" t="s">
        <v>7728</v>
      </c>
      <c r="F1559" s="17">
        <v>41875</v>
      </c>
      <c r="G1559" s="8" t="s">
        <v>7729</v>
      </c>
      <c r="H1559" s="8" t="s">
        <v>1104</v>
      </c>
      <c r="I1559" s="8" t="s">
        <v>399</v>
      </c>
      <c r="J1559" s="16" t="s">
        <v>7730</v>
      </c>
      <c r="K1559" s="2" t="s">
        <v>1105</v>
      </c>
      <c r="L1559" s="8" t="s">
        <v>1106</v>
      </c>
      <c r="M1559" s="8" t="s">
        <v>27</v>
      </c>
      <c r="N1559" s="8" t="s">
        <v>7731</v>
      </c>
      <c r="O1559" s="8" t="s">
        <v>404</v>
      </c>
      <c r="P1559" s="8" t="s">
        <v>405</v>
      </c>
      <c r="Q1559" s="12" t="s">
        <v>7732</v>
      </c>
      <c r="R1559" s="8" t="s">
        <v>100</v>
      </c>
      <c r="S1559" s="7" t="s">
        <v>28</v>
      </c>
      <c r="T1559" s="6"/>
      <c r="U1559" s="8"/>
    </row>
    <row r="1560" spans="1:34" ht="13.5" customHeight="1">
      <c r="A1560" s="8" t="s">
        <v>7746</v>
      </c>
      <c r="B1560" s="16">
        <v>31</v>
      </c>
      <c r="C1560" s="8" t="s">
        <v>20</v>
      </c>
      <c r="D1560" s="8" t="s">
        <v>37</v>
      </c>
      <c r="F1560" s="17">
        <v>41875</v>
      </c>
      <c r="G1560" s="8" t="s">
        <v>7747</v>
      </c>
      <c r="H1560" s="8" t="s">
        <v>7748</v>
      </c>
      <c r="I1560" s="8" t="s">
        <v>152</v>
      </c>
      <c r="J1560" s="16" t="s">
        <v>7749</v>
      </c>
      <c r="K1560" s="2" t="s">
        <v>7750</v>
      </c>
      <c r="L1560" s="8" t="s">
        <v>17722</v>
      </c>
      <c r="M1560" s="8" t="s">
        <v>27</v>
      </c>
      <c r="N1560" s="8" t="s">
        <v>7751</v>
      </c>
      <c r="O1560" s="8" t="s">
        <v>29</v>
      </c>
      <c r="P1560" s="8" t="s">
        <v>405</v>
      </c>
      <c r="Q1560" s="12" t="s">
        <v>7752</v>
      </c>
      <c r="R1560" s="8" t="s">
        <v>100</v>
      </c>
      <c r="S1560" s="7" t="s">
        <v>28</v>
      </c>
      <c r="T1560" s="6"/>
      <c r="U1560" s="8"/>
    </row>
    <row r="1561" spans="1:34" ht="13.5" customHeight="1">
      <c r="A1561" s="8" t="s">
        <v>7721</v>
      </c>
      <c r="B1561" s="16">
        <v>38</v>
      </c>
      <c r="C1561" s="8" t="s">
        <v>20</v>
      </c>
      <c r="D1561" s="8" t="s">
        <v>85</v>
      </c>
      <c r="E1561" s="8" t="s">
        <v>7722</v>
      </c>
      <c r="F1561" s="17">
        <v>41875</v>
      </c>
      <c r="G1561" s="8" t="s">
        <v>7723</v>
      </c>
      <c r="H1561" s="8" t="s">
        <v>824</v>
      </c>
      <c r="I1561" s="8" t="s">
        <v>399</v>
      </c>
      <c r="J1561" s="16" t="s">
        <v>7724</v>
      </c>
      <c r="K1561" s="2" t="s">
        <v>825</v>
      </c>
      <c r="L1561" s="8" t="s">
        <v>826</v>
      </c>
      <c r="M1561" s="8" t="s">
        <v>29</v>
      </c>
      <c r="N1561" s="8" t="s">
        <v>7725</v>
      </c>
      <c r="O1561" s="8" t="s">
        <v>1018</v>
      </c>
      <c r="P1561" s="8" t="s">
        <v>405</v>
      </c>
      <c r="Q1561" s="12" t="s">
        <v>7726</v>
      </c>
      <c r="R1561" s="8" t="s">
        <v>100</v>
      </c>
      <c r="S1561" s="7" t="s">
        <v>18</v>
      </c>
      <c r="T1561" s="6"/>
      <c r="U1561" s="8"/>
      <c r="Y1561" s="8"/>
      <c r="Z1561" s="8"/>
      <c r="AA1561" s="8"/>
      <c r="AB1561" s="8"/>
      <c r="AC1561" s="8"/>
      <c r="AD1561" s="8"/>
      <c r="AE1561" s="8"/>
      <c r="AF1561" s="8"/>
      <c r="AG1561" s="8"/>
      <c r="AH1561" s="8"/>
    </row>
    <row r="1562" spans="1:34" ht="13.5" customHeight="1">
      <c r="A1562" s="8" t="s">
        <v>7733</v>
      </c>
      <c r="B1562" s="16">
        <v>52</v>
      </c>
      <c r="C1562" s="8" t="s">
        <v>20</v>
      </c>
      <c r="D1562" s="8" t="s">
        <v>37</v>
      </c>
      <c r="E1562" s="8" t="s">
        <v>7734</v>
      </c>
      <c r="F1562" s="17">
        <v>41875</v>
      </c>
      <c r="G1562" s="8" t="s">
        <v>7735</v>
      </c>
      <c r="H1562" s="8" t="s">
        <v>2037</v>
      </c>
      <c r="I1562" s="8" t="s">
        <v>118</v>
      </c>
      <c r="J1562" s="16" t="s">
        <v>3597</v>
      </c>
      <c r="K1562" s="2" t="s">
        <v>437</v>
      </c>
      <c r="L1562" s="8" t="s">
        <v>2039</v>
      </c>
      <c r="M1562" s="8" t="s">
        <v>27</v>
      </c>
      <c r="N1562" s="8" t="s">
        <v>7736</v>
      </c>
      <c r="O1562" s="8" t="s">
        <v>1018</v>
      </c>
      <c r="P1562" s="8" t="s">
        <v>405</v>
      </c>
      <c r="Q1562" s="12" t="s">
        <v>7737</v>
      </c>
      <c r="R1562" s="8" t="s">
        <v>559</v>
      </c>
      <c r="S1562" s="7" t="s">
        <v>28</v>
      </c>
      <c r="T1562" s="6"/>
      <c r="U1562" s="8"/>
    </row>
    <row r="1563" spans="1:34" ht="13.5" customHeight="1">
      <c r="A1563" s="8" t="s">
        <v>7738</v>
      </c>
      <c r="B1563" s="16">
        <v>41</v>
      </c>
      <c r="C1563" s="8" t="s">
        <v>20</v>
      </c>
      <c r="D1563" s="8" t="s">
        <v>37</v>
      </c>
      <c r="E1563" s="8" t="s">
        <v>7739</v>
      </c>
      <c r="F1563" s="17">
        <v>41875</v>
      </c>
      <c r="G1563" s="8" t="s">
        <v>7740</v>
      </c>
      <c r="H1563" s="8" t="s">
        <v>7741</v>
      </c>
      <c r="I1563" s="8" t="s">
        <v>62</v>
      </c>
      <c r="J1563" s="16" t="s">
        <v>7742</v>
      </c>
      <c r="K1563" s="2" t="s">
        <v>51</v>
      </c>
      <c r="L1563" s="8" t="s">
        <v>7743</v>
      </c>
      <c r="M1563" s="8" t="s">
        <v>395</v>
      </c>
      <c r="N1563" s="8" t="s">
        <v>7744</v>
      </c>
      <c r="O1563" s="8" t="s">
        <v>1018</v>
      </c>
      <c r="P1563" s="8" t="s">
        <v>405</v>
      </c>
      <c r="Q1563" s="12" t="s">
        <v>7745</v>
      </c>
      <c r="R1563" s="8" t="s">
        <v>100</v>
      </c>
      <c r="S1563" s="7" t="s">
        <v>28</v>
      </c>
      <c r="T1563" s="6"/>
      <c r="U1563" s="8"/>
    </row>
    <row r="1564" spans="1:34" ht="13.5" customHeight="1">
      <c r="A1564" s="8" t="s">
        <v>7760</v>
      </c>
      <c r="B1564" s="16">
        <v>26</v>
      </c>
      <c r="C1564" s="8" t="s">
        <v>20</v>
      </c>
      <c r="D1564" s="8" t="s">
        <v>85</v>
      </c>
      <c r="E1564" s="8" t="s">
        <v>7761</v>
      </c>
      <c r="F1564" s="17">
        <v>41874</v>
      </c>
      <c r="G1564" s="8" t="s">
        <v>7762</v>
      </c>
      <c r="H1564" s="8" t="s">
        <v>7763</v>
      </c>
      <c r="I1564" s="8" t="s">
        <v>46</v>
      </c>
      <c r="J1564" s="16" t="s">
        <v>7764</v>
      </c>
      <c r="K1564" s="2" t="s">
        <v>532</v>
      </c>
      <c r="L1564" s="8" t="s">
        <v>7765</v>
      </c>
      <c r="M1564" s="8" t="s">
        <v>383</v>
      </c>
      <c r="N1564" s="8" t="s">
        <v>7766</v>
      </c>
      <c r="O1564" s="8" t="s">
        <v>1804</v>
      </c>
      <c r="P1564" s="8" t="s">
        <v>1171</v>
      </c>
      <c r="Q1564" s="12" t="s">
        <v>7767</v>
      </c>
      <c r="R1564" s="8" t="s">
        <v>100</v>
      </c>
      <c r="S1564" s="7" t="s">
        <v>18</v>
      </c>
      <c r="T1564" s="6"/>
      <c r="U1564" s="8"/>
    </row>
    <row r="1565" spans="1:34" ht="13.5" customHeight="1">
      <c r="A1565" s="8" t="s">
        <v>7753</v>
      </c>
      <c r="B1565" s="16">
        <v>39</v>
      </c>
      <c r="C1565" s="8" t="s">
        <v>20</v>
      </c>
      <c r="D1565" s="8" t="s">
        <v>85</v>
      </c>
      <c r="E1565" s="8" t="s">
        <v>7754</v>
      </c>
      <c r="F1565" s="17">
        <v>41874</v>
      </c>
      <c r="G1565" s="8" t="s">
        <v>7755</v>
      </c>
      <c r="H1565" s="8" t="s">
        <v>61</v>
      </c>
      <c r="I1565" s="8" t="s">
        <v>62</v>
      </c>
      <c r="J1565" s="16" t="s">
        <v>7756</v>
      </c>
      <c r="K1565" s="2" t="s">
        <v>5387</v>
      </c>
      <c r="L1565" s="8" t="s">
        <v>7757</v>
      </c>
      <c r="M1565" s="8" t="s">
        <v>27</v>
      </c>
      <c r="N1565" s="8" t="s">
        <v>7758</v>
      </c>
      <c r="O1565" s="8" t="s">
        <v>1018</v>
      </c>
      <c r="P1565" s="8" t="s">
        <v>405</v>
      </c>
      <c r="Q1565" s="12" t="s">
        <v>7759</v>
      </c>
      <c r="R1565" s="8" t="s">
        <v>100</v>
      </c>
      <c r="S1565" s="7" t="s">
        <v>28</v>
      </c>
      <c r="T1565" s="6"/>
      <c r="U1565" s="8"/>
    </row>
    <row r="1566" spans="1:34" ht="13.5" customHeight="1">
      <c r="A1566" s="8" t="s">
        <v>7768</v>
      </c>
      <c r="B1566" s="16">
        <v>61</v>
      </c>
      <c r="C1566" s="8" t="s">
        <v>20</v>
      </c>
      <c r="D1566" s="8" t="s">
        <v>48</v>
      </c>
      <c r="F1566" s="17">
        <v>41874</v>
      </c>
      <c r="G1566" s="8" t="s">
        <v>7769</v>
      </c>
      <c r="H1566" s="8" t="s">
        <v>7770</v>
      </c>
      <c r="I1566" s="8" t="s">
        <v>52</v>
      </c>
      <c r="J1566" s="16" t="s">
        <v>7771</v>
      </c>
      <c r="K1566" s="2" t="s">
        <v>53</v>
      </c>
      <c r="L1566" s="8" t="s">
        <v>54</v>
      </c>
      <c r="M1566" s="8" t="s">
        <v>27</v>
      </c>
      <c r="N1566" s="8" t="s">
        <v>7772</v>
      </c>
      <c r="O1566" s="8" t="s">
        <v>1018</v>
      </c>
      <c r="P1566" s="8" t="s">
        <v>405</v>
      </c>
      <c r="Q1566" s="12" t="s">
        <v>7773</v>
      </c>
      <c r="R1566" s="8" t="s">
        <v>559</v>
      </c>
      <c r="S1566" s="7" t="s">
        <v>28</v>
      </c>
      <c r="T1566" s="6"/>
      <c r="U1566" s="8"/>
    </row>
    <row r="1567" spans="1:34" ht="13.5" customHeight="1">
      <c r="A1567" s="8" t="s">
        <v>7778</v>
      </c>
      <c r="B1567" s="16">
        <v>18</v>
      </c>
      <c r="C1567" s="8" t="s">
        <v>20</v>
      </c>
      <c r="D1567" s="8" t="s">
        <v>37</v>
      </c>
      <c r="E1567" s="8" t="s">
        <v>7779</v>
      </c>
      <c r="F1567" s="17">
        <v>41874</v>
      </c>
      <c r="G1567" s="8" t="s">
        <v>7780</v>
      </c>
      <c r="H1567" s="8" t="s">
        <v>7781</v>
      </c>
      <c r="I1567" s="8" t="s">
        <v>367</v>
      </c>
      <c r="J1567" s="16" t="s">
        <v>7782</v>
      </c>
      <c r="K1567" s="2" t="s">
        <v>1301</v>
      </c>
      <c r="L1567" s="8" t="s">
        <v>7783</v>
      </c>
      <c r="M1567" s="8" t="s">
        <v>27</v>
      </c>
      <c r="N1567" s="8" t="s">
        <v>7784</v>
      </c>
      <c r="O1567" s="8" t="s">
        <v>404</v>
      </c>
      <c r="P1567" s="8" t="s">
        <v>405</v>
      </c>
      <c r="Q1567" s="12" t="s">
        <v>7785</v>
      </c>
      <c r="R1567" s="8" t="s">
        <v>559</v>
      </c>
      <c r="S1567" s="7" t="s">
        <v>28</v>
      </c>
      <c r="T1567" s="6"/>
      <c r="U1567" s="8"/>
    </row>
    <row r="1568" spans="1:34" ht="13.5" customHeight="1">
      <c r="A1568" s="8" t="s">
        <v>7774</v>
      </c>
      <c r="B1568" s="16">
        <v>39</v>
      </c>
      <c r="C1568" s="8" t="s">
        <v>20</v>
      </c>
      <c r="D1568" s="8" t="s">
        <v>48</v>
      </c>
      <c r="F1568" s="17">
        <v>41874</v>
      </c>
      <c r="G1568" s="8" t="s">
        <v>7775</v>
      </c>
      <c r="H1568" s="8" t="s">
        <v>638</v>
      </c>
      <c r="I1568" s="8" t="s">
        <v>124</v>
      </c>
      <c r="J1568" s="16" t="s">
        <v>4672</v>
      </c>
      <c r="K1568" s="2" t="s">
        <v>639</v>
      </c>
      <c r="L1568" s="8" t="s">
        <v>640</v>
      </c>
      <c r="M1568" s="8" t="s">
        <v>27</v>
      </c>
      <c r="N1568" s="8" t="s">
        <v>7776</v>
      </c>
      <c r="O1568" s="8" t="s">
        <v>1018</v>
      </c>
      <c r="P1568" s="8" t="s">
        <v>405</v>
      </c>
      <c r="Q1568" s="12" t="s">
        <v>7777</v>
      </c>
      <c r="R1568" s="8" t="s">
        <v>100</v>
      </c>
      <c r="S1568" s="7" t="s">
        <v>28</v>
      </c>
      <c r="T1568" s="6"/>
      <c r="U1568" s="8"/>
      <c r="V1568" s="8"/>
      <c r="W1568" s="8"/>
      <c r="X1568" s="8"/>
    </row>
    <row r="1569" spans="1:34" ht="13.5" customHeight="1">
      <c r="A1569" s="8" t="s">
        <v>7786</v>
      </c>
      <c r="B1569" s="16">
        <v>44</v>
      </c>
      <c r="C1569" s="8" t="s">
        <v>20</v>
      </c>
      <c r="D1569" s="8" t="s">
        <v>37</v>
      </c>
      <c r="F1569" s="17">
        <v>41874</v>
      </c>
      <c r="G1569" s="8" t="s">
        <v>7787</v>
      </c>
      <c r="H1569" s="8" t="s">
        <v>7788</v>
      </c>
      <c r="I1569" s="8" t="s">
        <v>73</v>
      </c>
      <c r="J1569" s="16" t="s">
        <v>7789</v>
      </c>
      <c r="K1569" s="2" t="s">
        <v>7424</v>
      </c>
      <c r="L1569" s="8" t="s">
        <v>7790</v>
      </c>
      <c r="M1569" s="8" t="s">
        <v>27</v>
      </c>
      <c r="N1569" s="8" t="s">
        <v>7791</v>
      </c>
      <c r="O1569" s="8" t="s">
        <v>1018</v>
      </c>
      <c r="P1569" s="8" t="s">
        <v>405</v>
      </c>
      <c r="Q1569" s="12" t="s">
        <v>7792</v>
      </c>
      <c r="R1569" s="8" t="s">
        <v>100</v>
      </c>
      <c r="S1569" s="7" t="s">
        <v>28</v>
      </c>
      <c r="T1569" s="6"/>
      <c r="U1569" s="8"/>
    </row>
    <row r="1570" spans="1:34" ht="13.5" customHeight="1">
      <c r="A1570" s="8" t="s">
        <v>7793</v>
      </c>
      <c r="B1570" s="16">
        <v>26</v>
      </c>
      <c r="C1570" s="8" t="s">
        <v>115</v>
      </c>
      <c r="D1570" s="8" t="s">
        <v>85</v>
      </c>
      <c r="E1570" s="8" t="s">
        <v>7794</v>
      </c>
      <c r="F1570" s="17">
        <v>41873</v>
      </c>
      <c r="G1570" s="8" t="s">
        <v>7795</v>
      </c>
      <c r="H1570" s="8" t="s">
        <v>7796</v>
      </c>
      <c r="I1570" s="8" t="s">
        <v>175</v>
      </c>
      <c r="J1570" s="16" t="s">
        <v>7797</v>
      </c>
      <c r="K1570" s="2" t="s">
        <v>1572</v>
      </c>
      <c r="L1570" s="8" t="s">
        <v>2566</v>
      </c>
      <c r="M1570" s="8" t="s">
        <v>27</v>
      </c>
      <c r="N1570" s="8" t="s">
        <v>7798</v>
      </c>
      <c r="O1570" s="8" t="s">
        <v>1804</v>
      </c>
      <c r="P1570" s="8" t="s">
        <v>1171</v>
      </c>
      <c r="Q1570" s="12" t="s">
        <v>7799</v>
      </c>
      <c r="R1570" s="8" t="s">
        <v>100</v>
      </c>
      <c r="S1570" s="7" t="s">
        <v>18</v>
      </c>
      <c r="T1570" s="6"/>
      <c r="U1570" s="8"/>
      <c r="Y1570" s="8"/>
      <c r="Z1570" s="8"/>
      <c r="AA1570" s="8"/>
      <c r="AB1570" s="8"/>
      <c r="AC1570" s="8"/>
      <c r="AD1570" s="8"/>
      <c r="AE1570" s="8"/>
      <c r="AF1570" s="8"/>
      <c r="AG1570" s="8"/>
      <c r="AH1570" s="8"/>
    </row>
    <row r="1571" spans="1:34" ht="13.5" customHeight="1">
      <c r="A1571" s="8" t="s">
        <v>7806</v>
      </c>
      <c r="B1571" s="16">
        <v>15</v>
      </c>
      <c r="C1571" s="8" t="s">
        <v>20</v>
      </c>
      <c r="D1571" s="8" t="s">
        <v>37</v>
      </c>
      <c r="E1571" s="8" t="s">
        <v>7807</v>
      </c>
      <c r="F1571" s="17">
        <v>41873</v>
      </c>
      <c r="G1571" s="8" t="s">
        <v>7808</v>
      </c>
      <c r="H1571" s="8" t="s">
        <v>7809</v>
      </c>
      <c r="I1571" s="8" t="s">
        <v>62</v>
      </c>
      <c r="J1571" s="16" t="s">
        <v>7810</v>
      </c>
      <c r="K1571" s="2" t="s">
        <v>5608</v>
      </c>
      <c r="L1571" s="8" t="s">
        <v>7811</v>
      </c>
      <c r="M1571" s="8" t="s">
        <v>383</v>
      </c>
      <c r="N1571" s="8" t="s">
        <v>7812</v>
      </c>
      <c r="O1571" s="8" t="s">
        <v>7813</v>
      </c>
      <c r="P1571" s="8" t="s">
        <v>7814</v>
      </c>
      <c r="Q1571" s="12" t="s">
        <v>7815</v>
      </c>
      <c r="R1571" s="8" t="s">
        <v>100</v>
      </c>
      <c r="S1571" s="7" t="s">
        <v>18</v>
      </c>
      <c r="T1571" s="6"/>
      <c r="U1571" s="8"/>
    </row>
    <row r="1572" spans="1:34" ht="13.5" customHeight="1">
      <c r="A1572" s="8" t="s">
        <v>7800</v>
      </c>
      <c r="B1572" s="16">
        <v>38</v>
      </c>
      <c r="C1572" s="8" t="s">
        <v>20</v>
      </c>
      <c r="D1572" s="8" t="s">
        <v>48</v>
      </c>
      <c r="E1572" s="8" t="s">
        <v>7801</v>
      </c>
      <c r="F1572" s="17">
        <v>41873</v>
      </c>
      <c r="G1572" s="8" t="s">
        <v>7802</v>
      </c>
      <c r="H1572" s="8" t="s">
        <v>313</v>
      </c>
      <c r="I1572" s="8" t="s">
        <v>45</v>
      </c>
      <c r="J1572" s="16" t="s">
        <v>7803</v>
      </c>
      <c r="K1572" s="2" t="s">
        <v>313</v>
      </c>
      <c r="L1572" s="8" t="s">
        <v>4373</v>
      </c>
      <c r="M1572" s="8" t="s">
        <v>27</v>
      </c>
      <c r="N1572" s="8" t="s">
        <v>7804</v>
      </c>
      <c r="O1572" s="8" t="s">
        <v>404</v>
      </c>
      <c r="P1572" s="8" t="s">
        <v>405</v>
      </c>
      <c r="Q1572" s="12" t="s">
        <v>7805</v>
      </c>
      <c r="R1572" s="8" t="s">
        <v>100</v>
      </c>
      <c r="S1572" s="7" t="s">
        <v>28</v>
      </c>
      <c r="T1572" s="6"/>
      <c r="U1572" s="8"/>
    </row>
    <row r="1573" spans="1:34" ht="13.5" customHeight="1">
      <c r="A1573" s="8" t="s">
        <v>7816</v>
      </c>
      <c r="B1573" s="16">
        <v>30</v>
      </c>
      <c r="C1573" s="8" t="s">
        <v>20</v>
      </c>
      <c r="D1573" s="8" t="s">
        <v>85</v>
      </c>
      <c r="E1573" s="8" t="s">
        <v>7817</v>
      </c>
      <c r="F1573" s="17">
        <v>41871</v>
      </c>
      <c r="G1573" s="8" t="s">
        <v>7818</v>
      </c>
      <c r="H1573" s="8" t="s">
        <v>7819</v>
      </c>
      <c r="I1573" s="8" t="s">
        <v>52</v>
      </c>
      <c r="J1573" s="16" t="s">
        <v>7820</v>
      </c>
      <c r="K1573" s="2" t="s">
        <v>1608</v>
      </c>
      <c r="L1573" s="8" t="s">
        <v>234</v>
      </c>
      <c r="M1573" s="8" t="s">
        <v>395</v>
      </c>
      <c r="N1573" s="8" t="s">
        <v>7821</v>
      </c>
      <c r="O1573" s="8" t="s">
        <v>1018</v>
      </c>
      <c r="P1573" s="8" t="s">
        <v>405</v>
      </c>
      <c r="Q1573" s="12"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1573" s="8" t="s">
        <v>972</v>
      </c>
      <c r="S1573" s="7" t="s">
        <v>18</v>
      </c>
      <c r="T1573" s="6"/>
      <c r="U1573" s="8"/>
    </row>
    <row r="1574" spans="1:34" ht="13.5" customHeight="1">
      <c r="A1574" s="8" t="s">
        <v>7831</v>
      </c>
      <c r="B1574" s="16">
        <v>45</v>
      </c>
      <c r="C1574" s="8" t="s">
        <v>20</v>
      </c>
      <c r="D1574" s="8" t="s">
        <v>37</v>
      </c>
      <c r="F1574" s="17">
        <v>41871</v>
      </c>
      <c r="G1574" s="8" t="s">
        <v>7832</v>
      </c>
      <c r="H1574" s="8" t="s">
        <v>7770</v>
      </c>
      <c r="I1574" s="8" t="s">
        <v>52</v>
      </c>
      <c r="J1574" s="16" t="s">
        <v>7771</v>
      </c>
      <c r="K1574" s="2" t="s">
        <v>53</v>
      </c>
      <c r="L1574" s="8" t="s">
        <v>54</v>
      </c>
      <c r="M1574" s="8" t="s">
        <v>27</v>
      </c>
      <c r="N1574" s="8" t="s">
        <v>7833</v>
      </c>
      <c r="O1574" s="8" t="s">
        <v>1018</v>
      </c>
      <c r="P1574" s="8" t="s">
        <v>405</v>
      </c>
      <c r="Q1574" s="12" t="s">
        <v>7834</v>
      </c>
      <c r="R1574" s="8" t="s">
        <v>559</v>
      </c>
      <c r="S1574" s="7" t="s">
        <v>28</v>
      </c>
      <c r="T1574" s="6"/>
      <c r="U1574" s="8"/>
    </row>
    <row r="1575" spans="1:34" ht="13.5" customHeight="1">
      <c r="A1575" s="8" t="s">
        <v>7822</v>
      </c>
      <c r="B1575" s="16">
        <v>25</v>
      </c>
      <c r="C1575" s="8" t="s">
        <v>20</v>
      </c>
      <c r="D1575" s="8" t="s">
        <v>48</v>
      </c>
      <c r="E1575" s="8" t="s">
        <v>7823</v>
      </c>
      <c r="F1575" s="17">
        <v>41871</v>
      </c>
      <c r="G1575" s="8" t="s">
        <v>7824</v>
      </c>
      <c r="H1575" s="8" t="s">
        <v>7825</v>
      </c>
      <c r="I1575" s="8" t="s">
        <v>25</v>
      </c>
      <c r="J1575" s="16" t="s">
        <v>7826</v>
      </c>
      <c r="K1575" s="2" t="s">
        <v>7827</v>
      </c>
      <c r="L1575" s="8" t="s">
        <v>7828</v>
      </c>
      <c r="M1575" s="8" t="s">
        <v>27</v>
      </c>
      <c r="N1575" s="8" t="s">
        <v>7829</v>
      </c>
      <c r="O1575" s="8" t="s">
        <v>1018</v>
      </c>
      <c r="P1575" s="8" t="s">
        <v>405</v>
      </c>
      <c r="Q1575" s="12" t="s">
        <v>7830</v>
      </c>
      <c r="R1575" s="8" t="s">
        <v>100</v>
      </c>
      <c r="S1575" s="7" t="s">
        <v>383</v>
      </c>
      <c r="T1575" s="6"/>
      <c r="U1575" s="8"/>
    </row>
    <row r="1576" spans="1:34" ht="13.5" customHeight="1">
      <c r="A1576" s="8" t="s">
        <v>7857</v>
      </c>
      <c r="B1576" s="16">
        <v>40</v>
      </c>
      <c r="C1576" s="8" t="s">
        <v>20</v>
      </c>
      <c r="D1576" s="8" t="s">
        <v>37</v>
      </c>
      <c r="E1576" s="8" t="s">
        <v>7858</v>
      </c>
      <c r="F1576" s="17">
        <v>41870</v>
      </c>
      <c r="G1576" s="8" t="s">
        <v>7859</v>
      </c>
      <c r="H1576" s="8" t="s">
        <v>7860</v>
      </c>
      <c r="I1576" s="8" t="s">
        <v>367</v>
      </c>
      <c r="J1576" s="16">
        <v>67060</v>
      </c>
      <c r="K1576" s="2" t="s">
        <v>691</v>
      </c>
      <c r="L1576" s="8" t="s">
        <v>7861</v>
      </c>
      <c r="M1576" s="8" t="s">
        <v>27</v>
      </c>
      <c r="N1576" s="8" t="s">
        <v>7862</v>
      </c>
      <c r="O1576" s="8" t="s">
        <v>29</v>
      </c>
      <c r="P1576" s="8" t="s">
        <v>405</v>
      </c>
      <c r="Q1576" s="12" t="s">
        <v>7863</v>
      </c>
      <c r="R1576" s="8" t="s">
        <v>29</v>
      </c>
      <c r="S1576" s="7" t="s">
        <v>28</v>
      </c>
      <c r="T1576" s="6"/>
      <c r="U1576" s="8"/>
    </row>
    <row r="1577" spans="1:34" ht="13.5" customHeight="1">
      <c r="A1577" s="8" t="s">
        <v>7835</v>
      </c>
      <c r="B1577" s="16">
        <v>21</v>
      </c>
      <c r="C1577" s="8" t="s">
        <v>20</v>
      </c>
      <c r="D1577" s="8" t="s">
        <v>85</v>
      </c>
      <c r="E1577" s="8" t="s">
        <v>7836</v>
      </c>
      <c r="F1577" s="17">
        <v>41870</v>
      </c>
      <c r="G1577" s="8" t="s">
        <v>7837</v>
      </c>
      <c r="H1577" s="8" t="s">
        <v>87</v>
      </c>
      <c r="I1577" s="8" t="s">
        <v>44</v>
      </c>
      <c r="J1577" s="16" t="s">
        <v>7838</v>
      </c>
      <c r="K1577" s="2" t="s">
        <v>88</v>
      </c>
      <c r="L1577" s="8" t="s">
        <v>89</v>
      </c>
      <c r="M1577" s="8" t="s">
        <v>27</v>
      </c>
      <c r="N1577" s="8" t="s">
        <v>7839</v>
      </c>
      <c r="O1577" s="8" t="s">
        <v>1018</v>
      </c>
      <c r="P1577" s="8" t="s">
        <v>405</v>
      </c>
      <c r="Q1577" s="12" t="s">
        <v>7840</v>
      </c>
      <c r="R1577" s="8" t="s">
        <v>29</v>
      </c>
      <c r="S1577" s="7" t="s">
        <v>28</v>
      </c>
      <c r="T1577" s="6"/>
      <c r="U1577" s="8"/>
    </row>
    <row r="1578" spans="1:34" ht="13.5" customHeight="1">
      <c r="A1578" s="8" t="s">
        <v>7847</v>
      </c>
      <c r="B1578" s="16">
        <v>29</v>
      </c>
      <c r="C1578" s="8" t="s">
        <v>20</v>
      </c>
      <c r="D1578" s="8" t="s">
        <v>85</v>
      </c>
      <c r="F1578" s="17">
        <v>41870</v>
      </c>
      <c r="G1578" s="8" t="s">
        <v>7848</v>
      </c>
      <c r="H1578" s="8" t="s">
        <v>1110</v>
      </c>
      <c r="I1578" s="8" t="s">
        <v>408</v>
      </c>
      <c r="J1578" s="16" t="s">
        <v>7849</v>
      </c>
      <c r="K1578" s="2" t="s">
        <v>1110</v>
      </c>
      <c r="L1578" s="8" t="s">
        <v>1111</v>
      </c>
      <c r="M1578" s="8" t="s">
        <v>27</v>
      </c>
      <c r="N1578" s="8" t="s">
        <v>7850</v>
      </c>
      <c r="O1578" s="8" t="s">
        <v>404</v>
      </c>
      <c r="P1578" s="8" t="s">
        <v>405</v>
      </c>
      <c r="Q1578" s="12" t="str">
        <f>HYPERLINK("http://www.philly.com/philly/news/20140820_Cop_grazed_by_bullet__suspect_killed.html","http://www.philly.com/philly/news/20140820_Cop_grazed_by_bullet__suspect_killed.html")</f>
        <v>http://www.philly.com/philly/news/20140820_Cop_grazed_by_bullet__suspect_killed.html</v>
      </c>
      <c r="R1578" s="8" t="s">
        <v>100</v>
      </c>
      <c r="S1578" s="7" t="s">
        <v>28</v>
      </c>
      <c r="T1578" s="6"/>
      <c r="U1578" s="8"/>
    </row>
    <row r="1579" spans="1:34" ht="13.5" customHeight="1">
      <c r="A1579" s="8" t="s">
        <v>7841</v>
      </c>
      <c r="B1579" s="16">
        <v>25</v>
      </c>
      <c r="C1579" s="8" t="s">
        <v>20</v>
      </c>
      <c r="D1579" s="8" t="s">
        <v>85</v>
      </c>
      <c r="E1579" s="8" t="s">
        <v>7842</v>
      </c>
      <c r="F1579" s="17">
        <v>41870</v>
      </c>
      <c r="G1579" s="8" t="s">
        <v>7843</v>
      </c>
      <c r="H1579" s="8" t="s">
        <v>717</v>
      </c>
      <c r="I1579" s="8" t="s">
        <v>435</v>
      </c>
      <c r="J1579" s="16" t="s">
        <v>7844</v>
      </c>
      <c r="K1579" s="2" t="s">
        <v>717</v>
      </c>
      <c r="L1579" s="8" t="s">
        <v>4572</v>
      </c>
      <c r="M1579" s="8" t="s">
        <v>27</v>
      </c>
      <c r="N1579" s="8" t="s">
        <v>7845</v>
      </c>
      <c r="O1579" s="8" t="s">
        <v>29</v>
      </c>
      <c r="P1579" s="8" t="s">
        <v>405</v>
      </c>
      <c r="Q1579" s="12" t="s">
        <v>7846</v>
      </c>
      <c r="R1579" s="8" t="s">
        <v>559</v>
      </c>
      <c r="S1579" s="7" t="s">
        <v>28</v>
      </c>
      <c r="T1579" s="6"/>
      <c r="U1579" s="8"/>
    </row>
    <row r="1580" spans="1:34" ht="13.5" customHeight="1">
      <c r="A1580" s="8" t="s">
        <v>7851</v>
      </c>
      <c r="B1580" s="16">
        <v>22</v>
      </c>
      <c r="C1580" s="8" t="s">
        <v>115</v>
      </c>
      <c r="D1580" s="8" t="s">
        <v>48</v>
      </c>
      <c r="E1580" s="8" t="s">
        <v>7852</v>
      </c>
      <c r="F1580" s="17">
        <v>41870</v>
      </c>
      <c r="G1580" s="8" t="s">
        <v>7853</v>
      </c>
      <c r="H1580" s="8" t="s">
        <v>1069</v>
      </c>
      <c r="I1580" s="8" t="s">
        <v>62</v>
      </c>
      <c r="J1580" s="16" t="s">
        <v>7854</v>
      </c>
      <c r="K1580" s="2" t="s">
        <v>1070</v>
      </c>
      <c r="L1580" s="8" t="s">
        <v>1071</v>
      </c>
      <c r="M1580" s="8" t="s">
        <v>27</v>
      </c>
      <c r="N1580" s="8" t="s">
        <v>7855</v>
      </c>
      <c r="O1580" s="8" t="s">
        <v>554</v>
      </c>
      <c r="P1580" s="8" t="s">
        <v>405</v>
      </c>
      <c r="Q1580" s="12" t="s">
        <v>7856</v>
      </c>
      <c r="R1580" s="8" t="s">
        <v>100</v>
      </c>
      <c r="S1580" s="7" t="s">
        <v>18</v>
      </c>
      <c r="T1580" s="6"/>
      <c r="U1580" s="8"/>
    </row>
    <row r="1581" spans="1:34" ht="13.5" customHeight="1">
      <c r="A1581" s="8" t="s">
        <v>7864</v>
      </c>
      <c r="B1581" s="16">
        <v>28</v>
      </c>
      <c r="C1581" s="8" t="s">
        <v>115</v>
      </c>
      <c r="D1581" s="8" t="s">
        <v>37</v>
      </c>
      <c r="E1581" s="8" t="s">
        <v>7865</v>
      </c>
      <c r="F1581" s="17">
        <v>41870</v>
      </c>
      <c r="G1581" s="8" t="s">
        <v>7866</v>
      </c>
      <c r="H1581" s="8" t="s">
        <v>7867</v>
      </c>
      <c r="I1581" s="8" t="s">
        <v>323</v>
      </c>
      <c r="J1581" s="16" t="s">
        <v>7868</v>
      </c>
      <c r="K1581" s="2" t="s">
        <v>7869</v>
      </c>
      <c r="L1581" s="8" t="s">
        <v>7870</v>
      </c>
      <c r="M1581" s="8" t="s">
        <v>27</v>
      </c>
      <c r="N1581" s="8" t="s">
        <v>7871</v>
      </c>
      <c r="O1581" s="8" t="s">
        <v>1018</v>
      </c>
      <c r="P1581" s="8" t="s">
        <v>405</v>
      </c>
      <c r="Q1581" s="12" t="s">
        <v>7872</v>
      </c>
      <c r="R1581" s="8" t="s">
        <v>100</v>
      </c>
      <c r="S1581" s="7" t="s">
        <v>28</v>
      </c>
      <c r="T1581" s="6"/>
      <c r="U1581" s="8"/>
    </row>
    <row r="1582" spans="1:34" ht="13.5" customHeight="1">
      <c r="A1582" s="8" t="s">
        <v>7879</v>
      </c>
      <c r="B1582" s="16">
        <v>37</v>
      </c>
      <c r="C1582" s="8" t="s">
        <v>20</v>
      </c>
      <c r="D1582" s="8" t="s">
        <v>85</v>
      </c>
      <c r="E1582" s="8" t="s">
        <v>7880</v>
      </c>
      <c r="F1582" s="17">
        <v>41869</v>
      </c>
      <c r="G1582" s="8" t="s">
        <v>7881</v>
      </c>
      <c r="H1582" s="8" t="s">
        <v>98</v>
      </c>
      <c r="I1582" s="8" t="s">
        <v>45</v>
      </c>
      <c r="J1582" s="16" t="s">
        <v>3718</v>
      </c>
      <c r="K1582" s="2" t="s">
        <v>98</v>
      </c>
      <c r="L1582" s="8" t="s">
        <v>99</v>
      </c>
      <c r="M1582" s="8" t="s">
        <v>27</v>
      </c>
      <c r="N1582" s="8" t="s">
        <v>7882</v>
      </c>
      <c r="O1582" s="8" t="s">
        <v>1018</v>
      </c>
      <c r="P1582" s="8" t="s">
        <v>405</v>
      </c>
      <c r="Q1582" s="12" t="str">
        <f>HYPERLINK("http://homicide.latimes.com/post/andre-maurice-jones/","http://homicide.latimes.com/post/andre-maurice-jones/")</f>
        <v>http://homicide.latimes.com/post/andre-maurice-jones/</v>
      </c>
      <c r="R1582" s="8" t="s">
        <v>100</v>
      </c>
      <c r="S1582" s="7" t="s">
        <v>28</v>
      </c>
      <c r="T1582" s="6"/>
      <c r="U1582" s="8"/>
    </row>
    <row r="1583" spans="1:34" ht="13.5" customHeight="1">
      <c r="A1583" s="8" t="s">
        <v>7892</v>
      </c>
      <c r="B1583" s="16">
        <v>53</v>
      </c>
      <c r="C1583" s="8" t="s">
        <v>20</v>
      </c>
      <c r="D1583" s="8" t="s">
        <v>37</v>
      </c>
      <c r="F1583" s="17">
        <v>41869</v>
      </c>
      <c r="G1583" s="8" t="s">
        <v>7893</v>
      </c>
      <c r="H1583" s="8" t="s">
        <v>1924</v>
      </c>
      <c r="I1583" s="8" t="s">
        <v>45</v>
      </c>
      <c r="J1583" s="16" t="s">
        <v>7894</v>
      </c>
      <c r="K1583" s="2" t="s">
        <v>7895</v>
      </c>
      <c r="L1583" s="8" t="s">
        <v>1926</v>
      </c>
      <c r="M1583" s="8" t="s">
        <v>27</v>
      </c>
      <c r="N1583" s="8" t="s">
        <v>7896</v>
      </c>
      <c r="O1583" s="8" t="s">
        <v>554</v>
      </c>
      <c r="P1583" s="8" t="s">
        <v>405</v>
      </c>
      <c r="Q1583" s="12" t="s">
        <v>7897</v>
      </c>
      <c r="R1583" s="8" t="s">
        <v>559</v>
      </c>
      <c r="S1583" s="7" t="s">
        <v>28</v>
      </c>
      <c r="T1583" s="6"/>
      <c r="U1583" s="8"/>
      <c r="V1583" s="8"/>
      <c r="W1583" s="8"/>
      <c r="X1583" s="8"/>
    </row>
    <row r="1584" spans="1:34" ht="13.5" customHeight="1">
      <c r="A1584" s="8" t="s">
        <v>7883</v>
      </c>
      <c r="B1584" s="16">
        <v>31</v>
      </c>
      <c r="C1584" s="8" t="s">
        <v>20</v>
      </c>
      <c r="D1584" s="8" t="s">
        <v>37</v>
      </c>
      <c r="E1584" s="8" t="s">
        <v>7884</v>
      </c>
      <c r="F1584" s="17">
        <v>41869</v>
      </c>
      <c r="G1584" s="8" t="s">
        <v>7885</v>
      </c>
      <c r="H1584" s="8" t="s">
        <v>7886</v>
      </c>
      <c r="I1584" s="8" t="s">
        <v>44</v>
      </c>
      <c r="J1584" s="16" t="s">
        <v>7887</v>
      </c>
      <c r="K1584" s="2" t="s">
        <v>7888</v>
      </c>
      <c r="L1584" s="8" t="s">
        <v>7889</v>
      </c>
      <c r="M1584" s="8" t="s">
        <v>2312</v>
      </c>
      <c r="N1584" s="8" t="s">
        <v>7890</v>
      </c>
      <c r="O1584" s="8" t="s">
        <v>554</v>
      </c>
      <c r="P1584" s="8" t="s">
        <v>405</v>
      </c>
      <c r="Q1584" s="12" t="s">
        <v>7891</v>
      </c>
      <c r="R1584" s="8" t="s">
        <v>100</v>
      </c>
      <c r="S1584" s="7" t="s">
        <v>18</v>
      </c>
      <c r="T1584" s="6"/>
      <c r="U1584" s="8"/>
    </row>
    <row r="1585" spans="1:24" ht="13.5" customHeight="1">
      <c r="A1585" s="8" t="s">
        <v>7873</v>
      </c>
      <c r="B1585" s="16">
        <v>38</v>
      </c>
      <c r="C1585" s="8" t="s">
        <v>20</v>
      </c>
      <c r="D1585" s="8" t="s">
        <v>85</v>
      </c>
      <c r="F1585" s="17">
        <v>41869</v>
      </c>
      <c r="G1585" s="8" t="s">
        <v>7874</v>
      </c>
      <c r="H1585" s="8" t="s">
        <v>7875</v>
      </c>
      <c r="I1585" s="8" t="s">
        <v>45</v>
      </c>
      <c r="J1585" s="16" t="s">
        <v>7876</v>
      </c>
      <c r="K1585" s="2" t="s">
        <v>98</v>
      </c>
      <c r="L1585" s="8" t="s">
        <v>418</v>
      </c>
      <c r="M1585" s="8" t="s">
        <v>27</v>
      </c>
      <c r="N1585" s="8" t="s">
        <v>7877</v>
      </c>
      <c r="O1585" s="8" t="s">
        <v>1018</v>
      </c>
      <c r="P1585" s="8" t="s">
        <v>405</v>
      </c>
      <c r="Q1585" s="12" t="s">
        <v>7878</v>
      </c>
      <c r="R1585" s="8" t="s">
        <v>100</v>
      </c>
      <c r="S1585" s="7" t="s">
        <v>28</v>
      </c>
      <c r="T1585" s="6"/>
      <c r="U1585" s="8"/>
    </row>
    <row r="1586" spans="1:24" ht="13.5" customHeight="1">
      <c r="A1586" s="8" t="s">
        <v>7898</v>
      </c>
      <c r="B1586" s="16">
        <v>44</v>
      </c>
      <c r="C1586" s="8" t="s">
        <v>20</v>
      </c>
      <c r="D1586" s="8" t="s">
        <v>85</v>
      </c>
      <c r="F1586" s="17">
        <v>41868</v>
      </c>
      <c r="G1586" s="8" t="s">
        <v>7899</v>
      </c>
      <c r="H1586" s="8" t="s">
        <v>579</v>
      </c>
      <c r="I1586" s="8" t="s">
        <v>73</v>
      </c>
      <c r="J1586" s="16" t="s">
        <v>3050</v>
      </c>
      <c r="K1586" s="2" t="s">
        <v>580</v>
      </c>
      <c r="L1586" s="8" t="s">
        <v>581</v>
      </c>
      <c r="M1586" s="8" t="s">
        <v>395</v>
      </c>
      <c r="N1586" s="8" t="s">
        <v>7900</v>
      </c>
      <c r="O1586" s="8" t="s">
        <v>4742</v>
      </c>
      <c r="P1586" s="8" t="s">
        <v>405</v>
      </c>
      <c r="Q1586" s="12" t="s">
        <v>7901</v>
      </c>
      <c r="R1586" s="8" t="s">
        <v>100</v>
      </c>
      <c r="S1586" s="7" t="s">
        <v>18</v>
      </c>
      <c r="T1586" s="6"/>
      <c r="U1586" s="8"/>
    </row>
    <row r="1587" spans="1:24" ht="13.5" customHeight="1">
      <c r="A1587" s="8" t="s">
        <v>7902</v>
      </c>
      <c r="B1587" s="16">
        <v>52</v>
      </c>
      <c r="C1587" s="8" t="s">
        <v>20</v>
      </c>
      <c r="D1587" s="8" t="s">
        <v>37</v>
      </c>
      <c r="E1587" s="8" t="s">
        <v>7903</v>
      </c>
      <c r="F1587" s="17">
        <v>41868</v>
      </c>
      <c r="G1587" s="8" t="s">
        <v>7904</v>
      </c>
      <c r="H1587" s="8" t="s">
        <v>7905</v>
      </c>
      <c r="I1587" s="8" t="s">
        <v>4424</v>
      </c>
      <c r="J1587" s="16" t="s">
        <v>7906</v>
      </c>
      <c r="K1587" s="2" t="s">
        <v>7907</v>
      </c>
      <c r="L1587" s="8" t="s">
        <v>4427</v>
      </c>
      <c r="M1587" s="8" t="s">
        <v>27</v>
      </c>
      <c r="N1587" s="8" t="s">
        <v>7908</v>
      </c>
      <c r="O1587" s="8" t="s">
        <v>1018</v>
      </c>
      <c r="P1587" s="8" t="s">
        <v>405</v>
      </c>
      <c r="Q1587" s="12" t="s">
        <v>7909</v>
      </c>
      <c r="R1587" s="8" t="s">
        <v>100</v>
      </c>
      <c r="S1587" s="7" t="s">
        <v>28</v>
      </c>
      <c r="T1587" s="6"/>
      <c r="U1587" s="8"/>
    </row>
    <row r="1588" spans="1:24" ht="13.5" customHeight="1">
      <c r="A1588" s="8" t="s">
        <v>7910</v>
      </c>
      <c r="B1588" s="16">
        <v>38</v>
      </c>
      <c r="C1588" s="8" t="s">
        <v>20</v>
      </c>
      <c r="D1588" s="8" t="s">
        <v>85</v>
      </c>
      <c r="F1588" s="17">
        <v>41867</v>
      </c>
      <c r="G1588" s="8" t="s">
        <v>7911</v>
      </c>
      <c r="H1588" s="8" t="s">
        <v>7912</v>
      </c>
      <c r="I1588" s="8" t="s">
        <v>52</v>
      </c>
      <c r="J1588" s="16" t="s">
        <v>7913</v>
      </c>
      <c r="K1588" s="2" t="s">
        <v>2403</v>
      </c>
      <c r="L1588" s="8" t="s">
        <v>7914</v>
      </c>
      <c r="M1588" s="8" t="s">
        <v>27</v>
      </c>
      <c r="N1588" s="8" t="s">
        <v>7915</v>
      </c>
      <c r="O1588" s="8" t="s">
        <v>1018</v>
      </c>
      <c r="P1588" s="8" t="s">
        <v>405</v>
      </c>
      <c r="Q1588" s="12" t="s">
        <v>7916</v>
      </c>
      <c r="R1588" s="8" t="s">
        <v>100</v>
      </c>
      <c r="S1588" s="7" t="s">
        <v>28</v>
      </c>
      <c r="T1588" s="6"/>
      <c r="U1588" s="8"/>
    </row>
    <row r="1589" spans="1:24" ht="13.5" customHeight="1">
      <c r="A1589" s="8" t="s">
        <v>7917</v>
      </c>
      <c r="B1589" s="16">
        <v>28</v>
      </c>
      <c r="C1589" s="8" t="s">
        <v>20</v>
      </c>
      <c r="D1589" s="8" t="s">
        <v>37</v>
      </c>
      <c r="E1589" s="8" t="s">
        <v>7918</v>
      </c>
      <c r="F1589" s="17">
        <v>41866</v>
      </c>
      <c r="G1589" s="8" t="s">
        <v>7919</v>
      </c>
      <c r="H1589" s="8" t="s">
        <v>391</v>
      </c>
      <c r="I1589" s="8" t="s">
        <v>323</v>
      </c>
      <c r="J1589" s="16" t="s">
        <v>7920</v>
      </c>
      <c r="K1589" s="2" t="s">
        <v>2708</v>
      </c>
      <c r="L1589" s="8" t="s">
        <v>7921</v>
      </c>
      <c r="M1589" s="8" t="s">
        <v>27</v>
      </c>
      <c r="N1589" s="8" t="s">
        <v>7922</v>
      </c>
      <c r="O1589" s="8" t="s">
        <v>1018</v>
      </c>
      <c r="P1589" s="8" t="s">
        <v>405</v>
      </c>
      <c r="Q1589" s="12" t="s">
        <v>7923</v>
      </c>
      <c r="R1589" s="8" t="s">
        <v>559</v>
      </c>
      <c r="S1589" s="7" t="s">
        <v>18</v>
      </c>
      <c r="T1589" s="6"/>
      <c r="U1589" s="8"/>
    </row>
    <row r="1590" spans="1:24" ht="13.5" customHeight="1">
      <c r="A1590" s="8" t="s">
        <v>7934</v>
      </c>
      <c r="B1590" s="16">
        <v>19</v>
      </c>
      <c r="C1590" s="8" t="s">
        <v>115</v>
      </c>
      <c r="D1590" s="8" t="s">
        <v>37</v>
      </c>
      <c r="E1590" s="8" t="s">
        <v>7935</v>
      </c>
      <c r="F1590" s="17">
        <v>41865</v>
      </c>
      <c r="G1590" s="8" t="s">
        <v>7936</v>
      </c>
      <c r="H1590" s="8" t="s">
        <v>612</v>
      </c>
      <c r="I1590" s="8" t="s">
        <v>45</v>
      </c>
      <c r="J1590" s="16" t="s">
        <v>7937</v>
      </c>
      <c r="K1590" s="2" t="s">
        <v>613</v>
      </c>
      <c r="L1590" s="8" t="s">
        <v>735</v>
      </c>
      <c r="M1590" s="8" t="s">
        <v>27</v>
      </c>
      <c r="N1590" s="8" t="s">
        <v>7938</v>
      </c>
      <c r="O1590" s="8" t="s">
        <v>1018</v>
      </c>
      <c r="P1590" s="8" t="s">
        <v>405</v>
      </c>
      <c r="Q1590" s="12" t="s">
        <v>7939</v>
      </c>
      <c r="R1590" s="8" t="s">
        <v>559</v>
      </c>
      <c r="S1590" s="7" t="s">
        <v>35</v>
      </c>
      <c r="T1590" s="6"/>
      <c r="U1590" s="8"/>
    </row>
    <row r="1591" spans="1:24" ht="13.5" customHeight="1">
      <c r="A1591" s="8" t="s">
        <v>7928</v>
      </c>
      <c r="B1591" s="16">
        <v>50</v>
      </c>
      <c r="C1591" s="8" t="s">
        <v>115</v>
      </c>
      <c r="D1591" s="8" t="s">
        <v>85</v>
      </c>
      <c r="E1591" s="8" t="s">
        <v>7929</v>
      </c>
      <c r="F1591" s="17">
        <v>41865</v>
      </c>
      <c r="G1591" s="8" t="s">
        <v>7930</v>
      </c>
      <c r="H1591" s="8" t="s">
        <v>638</v>
      </c>
      <c r="I1591" s="8" t="s">
        <v>124</v>
      </c>
      <c r="J1591" s="16" t="s">
        <v>7931</v>
      </c>
      <c r="K1591" s="2" t="s">
        <v>639</v>
      </c>
      <c r="L1591" s="8" t="s">
        <v>640</v>
      </c>
      <c r="M1591" s="8" t="s">
        <v>27</v>
      </c>
      <c r="N1591" s="8" t="s">
        <v>7932</v>
      </c>
      <c r="O1591" s="8" t="s">
        <v>404</v>
      </c>
      <c r="P1591" s="8" t="s">
        <v>405</v>
      </c>
      <c r="Q1591" s="12" t="s">
        <v>7933</v>
      </c>
      <c r="R1591" s="8" t="s">
        <v>559</v>
      </c>
      <c r="S1591" s="7" t="s">
        <v>28</v>
      </c>
      <c r="T1591" s="6"/>
      <c r="U1591" s="8"/>
      <c r="V1591" s="8"/>
      <c r="W1591" s="8"/>
      <c r="X1591" s="8"/>
    </row>
    <row r="1592" spans="1:24" ht="13.5" customHeight="1">
      <c r="A1592" s="8" t="s">
        <v>7940</v>
      </c>
      <c r="B1592" s="16">
        <v>52</v>
      </c>
      <c r="C1592" s="8" t="s">
        <v>20</v>
      </c>
      <c r="D1592" s="8" t="s">
        <v>37</v>
      </c>
      <c r="E1592" s="8" t="s">
        <v>7941</v>
      </c>
      <c r="F1592" s="17">
        <v>41865</v>
      </c>
      <c r="G1592" s="8" t="s">
        <v>7942</v>
      </c>
      <c r="H1592" s="8" t="s">
        <v>1351</v>
      </c>
      <c r="I1592" s="8" t="s">
        <v>367</v>
      </c>
      <c r="J1592" s="16" t="s">
        <v>7943</v>
      </c>
      <c r="K1592" s="2" t="s">
        <v>2316</v>
      </c>
      <c r="L1592" s="8" t="s">
        <v>7944</v>
      </c>
      <c r="M1592" s="8" t="s">
        <v>27</v>
      </c>
      <c r="N1592" s="8" t="s">
        <v>7945</v>
      </c>
      <c r="O1592" s="8" t="s">
        <v>29</v>
      </c>
      <c r="P1592" s="8" t="s">
        <v>405</v>
      </c>
      <c r="Q1592" s="12" t="s">
        <v>7946</v>
      </c>
      <c r="R1592" s="8" t="s">
        <v>29</v>
      </c>
      <c r="S1592" s="7" t="s">
        <v>28</v>
      </c>
      <c r="T1592" s="6"/>
      <c r="U1592" s="8"/>
    </row>
    <row r="1593" spans="1:24" ht="13.5" customHeight="1">
      <c r="A1593" s="8" t="s">
        <v>7924</v>
      </c>
      <c r="B1593" s="16">
        <v>16</v>
      </c>
      <c r="C1593" s="8" t="s">
        <v>20</v>
      </c>
      <c r="D1593" s="8" t="s">
        <v>85</v>
      </c>
      <c r="E1593" s="8" t="str">
        <f>HYPERLINK("http://homicides.suntimes.com/victims/wally-flex/","http://homicides.suntimes.com/victims/wally-flex/")</f>
        <v>http://homicides.suntimes.com/victims/wally-flex/</v>
      </c>
      <c r="F1593" s="17">
        <v>41865</v>
      </c>
      <c r="G1593" s="8" t="s">
        <v>7925</v>
      </c>
      <c r="H1593" s="8" t="s">
        <v>87</v>
      </c>
      <c r="I1593" s="8" t="s">
        <v>44</v>
      </c>
      <c r="J1593" s="16" t="s">
        <v>7926</v>
      </c>
      <c r="K1593" s="2" t="s">
        <v>88</v>
      </c>
      <c r="L1593" s="8" t="s">
        <v>89</v>
      </c>
      <c r="M1593" s="8" t="s">
        <v>383</v>
      </c>
      <c r="N1593" s="8" t="s">
        <v>7927</v>
      </c>
      <c r="O1593" s="8" t="s">
        <v>1018</v>
      </c>
      <c r="P1593" s="8" t="s">
        <v>405</v>
      </c>
      <c r="Q1593" s="12"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1593" s="8" t="s">
        <v>100</v>
      </c>
      <c r="S1593" s="7" t="s">
        <v>18</v>
      </c>
      <c r="T1593" s="6"/>
      <c r="U1593" s="8"/>
    </row>
    <row r="1594" spans="1:24" ht="13.5" customHeight="1">
      <c r="A1594" s="8" t="s">
        <v>7969</v>
      </c>
      <c r="B1594" s="16">
        <v>61</v>
      </c>
      <c r="C1594" s="8" t="s">
        <v>20</v>
      </c>
      <c r="D1594" s="8" t="s">
        <v>37</v>
      </c>
      <c r="E1594" s="8" t="s">
        <v>7970</v>
      </c>
      <c r="F1594" s="17">
        <v>41864</v>
      </c>
      <c r="G1594" s="8" t="s">
        <v>7971</v>
      </c>
      <c r="H1594" s="8" t="s">
        <v>7136</v>
      </c>
      <c r="I1594" s="8" t="s">
        <v>374</v>
      </c>
      <c r="J1594" s="16" t="s">
        <v>7137</v>
      </c>
      <c r="K1594" s="2" t="s">
        <v>7138</v>
      </c>
      <c r="L1594" s="8" t="s">
        <v>7139</v>
      </c>
      <c r="M1594" s="8" t="s">
        <v>27</v>
      </c>
      <c r="N1594" s="8" t="s">
        <v>7972</v>
      </c>
      <c r="O1594" s="8" t="s">
        <v>29</v>
      </c>
      <c r="P1594" s="8" t="s">
        <v>405</v>
      </c>
      <c r="Q1594" s="12" t="s">
        <v>7973</v>
      </c>
      <c r="R1594" s="8" t="s">
        <v>559</v>
      </c>
      <c r="S1594" s="7" t="s">
        <v>28</v>
      </c>
      <c r="T1594" s="6"/>
      <c r="U1594" s="8"/>
    </row>
    <row r="1595" spans="1:24" ht="13.5" customHeight="1">
      <c r="A1595" s="8" t="s">
        <v>7947</v>
      </c>
      <c r="B1595" s="16">
        <v>24</v>
      </c>
      <c r="C1595" s="8" t="s">
        <v>20</v>
      </c>
      <c r="D1595" s="8" t="s">
        <v>85</v>
      </c>
      <c r="E1595" s="8" t="s">
        <v>7948</v>
      </c>
      <c r="F1595" s="17">
        <v>41864</v>
      </c>
      <c r="G1595" s="8" t="s">
        <v>7949</v>
      </c>
      <c r="H1595" s="8" t="s">
        <v>7950</v>
      </c>
      <c r="I1595" s="8" t="s">
        <v>62</v>
      </c>
      <c r="J1595" s="16" t="s">
        <v>7951</v>
      </c>
      <c r="K1595" s="2" t="s">
        <v>7952</v>
      </c>
      <c r="L1595" s="8" t="s">
        <v>5704</v>
      </c>
      <c r="M1595" s="8" t="s">
        <v>27</v>
      </c>
      <c r="N1595" s="8" t="s">
        <v>7953</v>
      </c>
      <c r="O1595" s="8" t="s">
        <v>554</v>
      </c>
      <c r="P1595" s="8" t="s">
        <v>405</v>
      </c>
      <c r="Q1595" s="12" t="s">
        <v>7954</v>
      </c>
      <c r="R1595" s="8" t="s">
        <v>100</v>
      </c>
      <c r="S1595" s="7" t="s">
        <v>18</v>
      </c>
      <c r="T1595" s="6"/>
      <c r="U1595" s="8"/>
    </row>
    <row r="1596" spans="1:24" ht="13.5" customHeight="1">
      <c r="A1596" s="8" t="s">
        <v>7961</v>
      </c>
      <c r="B1596" s="16">
        <v>21</v>
      </c>
      <c r="C1596" s="8" t="s">
        <v>20</v>
      </c>
      <c r="D1596" s="8" t="s">
        <v>48</v>
      </c>
      <c r="F1596" s="17">
        <v>41864</v>
      </c>
      <c r="G1596" s="8" t="s">
        <v>7962</v>
      </c>
      <c r="H1596" s="8" t="s">
        <v>1720</v>
      </c>
      <c r="I1596" s="8" t="s">
        <v>212</v>
      </c>
      <c r="J1596" s="16" t="s">
        <v>1721</v>
      </c>
      <c r="K1596" s="2" t="s">
        <v>1722</v>
      </c>
      <c r="L1596" s="8" t="s">
        <v>1723</v>
      </c>
      <c r="M1596" s="8" t="s">
        <v>27</v>
      </c>
      <c r="N1596" s="8" t="s">
        <v>7963</v>
      </c>
      <c r="O1596" s="8" t="s">
        <v>1018</v>
      </c>
      <c r="P1596" s="8" t="s">
        <v>405</v>
      </c>
      <c r="Q1596" s="12"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1596" s="8" t="s">
        <v>559</v>
      </c>
      <c r="S1596" s="7" t="s">
        <v>35</v>
      </c>
      <c r="T1596" s="6"/>
      <c r="U1596" s="8"/>
    </row>
    <row r="1597" spans="1:24" ht="13.5" customHeight="1">
      <c r="A1597" s="8" t="s">
        <v>7974</v>
      </c>
      <c r="B1597" s="16">
        <v>21</v>
      </c>
      <c r="C1597" s="8" t="s">
        <v>20</v>
      </c>
      <c r="D1597" s="8" t="s">
        <v>37</v>
      </c>
      <c r="E1597" s="8" t="s">
        <v>7975</v>
      </c>
      <c r="F1597" s="17">
        <v>41864</v>
      </c>
      <c r="G1597" s="8" t="s">
        <v>7976</v>
      </c>
      <c r="H1597" s="8" t="s">
        <v>434</v>
      </c>
      <c r="I1597" s="8" t="s">
        <v>435</v>
      </c>
      <c r="J1597" s="16" t="s">
        <v>7977</v>
      </c>
      <c r="K1597" s="2" t="s">
        <v>437</v>
      </c>
      <c r="L1597" s="8" t="s">
        <v>1426</v>
      </c>
      <c r="M1597" s="8" t="s">
        <v>383</v>
      </c>
      <c r="N1597" s="8" t="s">
        <v>7978</v>
      </c>
      <c r="O1597" s="8" t="s">
        <v>1018</v>
      </c>
      <c r="P1597" s="8" t="s">
        <v>405</v>
      </c>
      <c r="Q1597" s="12" t="s">
        <v>7979</v>
      </c>
      <c r="R1597" s="8" t="s">
        <v>100</v>
      </c>
      <c r="S1597" s="7" t="s">
        <v>383</v>
      </c>
      <c r="T1597" s="6"/>
      <c r="U1597" s="8"/>
    </row>
    <row r="1598" spans="1:24" ht="13.5" customHeight="1">
      <c r="A1598" s="8" t="s">
        <v>7955</v>
      </c>
      <c r="B1598" s="16">
        <v>40</v>
      </c>
      <c r="C1598" s="8" t="s">
        <v>20</v>
      </c>
      <c r="D1598" s="8" t="s">
        <v>48</v>
      </c>
      <c r="E1598" s="8" t="s">
        <v>7956</v>
      </c>
      <c r="F1598" s="17">
        <v>41864</v>
      </c>
      <c r="G1598" s="8" t="s">
        <v>7957</v>
      </c>
      <c r="H1598" s="8" t="s">
        <v>731</v>
      </c>
      <c r="I1598" s="8" t="s">
        <v>73</v>
      </c>
      <c r="J1598" s="16" t="s">
        <v>7958</v>
      </c>
      <c r="K1598" s="2" t="s">
        <v>562</v>
      </c>
      <c r="L1598" s="8" t="s">
        <v>732</v>
      </c>
      <c r="M1598" s="8" t="s">
        <v>27</v>
      </c>
      <c r="N1598" s="8" t="s">
        <v>7959</v>
      </c>
      <c r="P1598" s="8" t="s">
        <v>405</v>
      </c>
      <c r="Q1598" s="12" t="s">
        <v>7960</v>
      </c>
      <c r="R1598" s="8" t="s">
        <v>972</v>
      </c>
      <c r="S1598" s="7" t="s">
        <v>28</v>
      </c>
      <c r="T1598" s="6"/>
      <c r="U1598" s="8"/>
    </row>
    <row r="1599" spans="1:24" ht="13.5" customHeight="1">
      <c r="A1599" s="8" t="s">
        <v>7986</v>
      </c>
      <c r="B1599" s="16">
        <v>20</v>
      </c>
      <c r="C1599" s="8" t="s">
        <v>115</v>
      </c>
      <c r="D1599" s="8" t="s">
        <v>37</v>
      </c>
      <c r="E1599" s="8" t="s">
        <v>7987</v>
      </c>
      <c r="F1599" s="17">
        <v>41864</v>
      </c>
      <c r="G1599" s="8" t="s">
        <v>7988</v>
      </c>
      <c r="H1599" s="8" t="s">
        <v>6714</v>
      </c>
      <c r="I1599" s="8" t="s">
        <v>73</v>
      </c>
      <c r="J1599" s="16" t="s">
        <v>7713</v>
      </c>
      <c r="K1599" s="2" t="s">
        <v>6714</v>
      </c>
      <c r="L1599" s="8" t="s">
        <v>7714</v>
      </c>
      <c r="M1599" s="8" t="s">
        <v>383</v>
      </c>
      <c r="N1599" s="8" t="s">
        <v>7989</v>
      </c>
      <c r="O1599" s="8" t="s">
        <v>3421</v>
      </c>
      <c r="P1599" s="8" t="s">
        <v>405</v>
      </c>
      <c r="Q1599" s="12" t="s">
        <v>7990</v>
      </c>
      <c r="R1599" s="8" t="s">
        <v>100</v>
      </c>
      <c r="S1599" s="7" t="s">
        <v>18</v>
      </c>
      <c r="T1599" s="6"/>
      <c r="U1599" s="8"/>
    </row>
    <row r="1600" spans="1:24" ht="13.5" customHeight="1">
      <c r="A1600" s="8" t="s">
        <v>7980</v>
      </c>
      <c r="B1600" s="16">
        <v>35</v>
      </c>
      <c r="C1600" s="8" t="s">
        <v>20</v>
      </c>
      <c r="D1600" s="8" t="s">
        <v>37</v>
      </c>
      <c r="F1600" s="17">
        <v>41864</v>
      </c>
      <c r="G1600" s="8" t="s">
        <v>7981</v>
      </c>
      <c r="H1600" s="8" t="s">
        <v>93</v>
      </c>
      <c r="I1600" s="8" t="s">
        <v>94</v>
      </c>
      <c r="J1600" s="16" t="s">
        <v>7982</v>
      </c>
      <c r="K1600" s="2" t="s">
        <v>95</v>
      </c>
      <c r="L1600" s="8" t="s">
        <v>7983</v>
      </c>
      <c r="M1600" s="8" t="s">
        <v>27</v>
      </c>
      <c r="N1600" s="8" t="s">
        <v>7984</v>
      </c>
      <c r="O1600" s="8" t="s">
        <v>404</v>
      </c>
      <c r="P1600" s="8" t="s">
        <v>405</v>
      </c>
      <c r="Q1600" s="12" t="s">
        <v>7985</v>
      </c>
      <c r="R1600" s="8" t="s">
        <v>559</v>
      </c>
      <c r="S1600" s="7" t="s">
        <v>28</v>
      </c>
      <c r="T1600" s="6"/>
      <c r="U1600" s="8"/>
    </row>
    <row r="1601" spans="1:21" ht="13.5" customHeight="1">
      <c r="A1601" s="8" t="s">
        <v>7964</v>
      </c>
      <c r="B1601" s="16">
        <v>30</v>
      </c>
      <c r="C1601" s="8" t="s">
        <v>20</v>
      </c>
      <c r="D1601" s="8" t="s">
        <v>48</v>
      </c>
      <c r="E1601" s="8" t="s">
        <v>7965</v>
      </c>
      <c r="F1601" s="17">
        <v>41864</v>
      </c>
      <c r="G1601" s="8" t="s">
        <v>7966</v>
      </c>
      <c r="H1601" s="8" t="s">
        <v>731</v>
      </c>
      <c r="I1601" s="8" t="s">
        <v>73</v>
      </c>
      <c r="J1601" s="16" t="s">
        <v>2956</v>
      </c>
      <c r="K1601" s="2" t="s">
        <v>562</v>
      </c>
      <c r="L1601" s="8" t="s">
        <v>732</v>
      </c>
      <c r="M1601" s="8" t="s">
        <v>27</v>
      </c>
      <c r="N1601" s="8" t="s">
        <v>7967</v>
      </c>
      <c r="O1601" s="8" t="s">
        <v>4742</v>
      </c>
      <c r="P1601" s="8" t="s">
        <v>405</v>
      </c>
      <c r="Q1601" s="12" t="s">
        <v>7968</v>
      </c>
      <c r="R1601" s="8" t="s">
        <v>100</v>
      </c>
      <c r="S1601" s="7" t="s">
        <v>28</v>
      </c>
      <c r="T1601" s="6"/>
      <c r="U1601" s="8"/>
    </row>
    <row r="1602" spans="1:21" ht="13.5" customHeight="1">
      <c r="A1602" s="8" t="s">
        <v>7991</v>
      </c>
      <c r="B1602" s="16">
        <v>36</v>
      </c>
      <c r="C1602" s="8" t="s">
        <v>20</v>
      </c>
      <c r="D1602" s="8" t="s">
        <v>85</v>
      </c>
      <c r="E1602" s="8" t="s">
        <v>7992</v>
      </c>
      <c r="F1602" s="17">
        <v>41863</v>
      </c>
      <c r="G1602" s="8" t="s">
        <v>7993</v>
      </c>
      <c r="H1602" s="8" t="s">
        <v>7994</v>
      </c>
      <c r="I1602" s="8" t="s">
        <v>45</v>
      </c>
      <c r="J1602" s="16" t="s">
        <v>7995</v>
      </c>
      <c r="K1602" s="2" t="s">
        <v>313</v>
      </c>
      <c r="L1602" s="8" t="s">
        <v>7996</v>
      </c>
      <c r="M1602" s="8" t="s">
        <v>395</v>
      </c>
      <c r="N1602" s="8" t="s">
        <v>7997</v>
      </c>
      <c r="O1602" s="8" t="s">
        <v>1018</v>
      </c>
      <c r="P1602" s="8" t="s">
        <v>405</v>
      </c>
      <c r="Q1602" s="12" t="s">
        <v>7998</v>
      </c>
      <c r="R1602" s="8" t="s">
        <v>100</v>
      </c>
      <c r="S1602" s="7" t="s">
        <v>18</v>
      </c>
      <c r="T1602" s="6"/>
      <c r="U1602" s="8"/>
    </row>
    <row r="1603" spans="1:21" ht="13.5" customHeight="1">
      <c r="A1603" s="8" t="s">
        <v>7999</v>
      </c>
      <c r="B1603" s="16">
        <v>22</v>
      </c>
      <c r="C1603" s="8" t="s">
        <v>20</v>
      </c>
      <c r="D1603" s="8" t="s">
        <v>48</v>
      </c>
      <c r="E1603" s="8" t="s">
        <v>8000</v>
      </c>
      <c r="F1603" s="17">
        <v>41863</v>
      </c>
      <c r="G1603" s="8" t="s">
        <v>8001</v>
      </c>
      <c r="H1603" s="8" t="s">
        <v>8002</v>
      </c>
      <c r="I1603" s="8" t="s">
        <v>45</v>
      </c>
      <c r="J1603" s="16" t="s">
        <v>8003</v>
      </c>
      <c r="K1603" s="2" t="s">
        <v>98</v>
      </c>
      <c r="L1603" s="8" t="s">
        <v>99</v>
      </c>
      <c r="M1603" s="8" t="s">
        <v>27</v>
      </c>
      <c r="N1603" s="8" t="s">
        <v>8004</v>
      </c>
      <c r="O1603" s="8" t="s">
        <v>4742</v>
      </c>
      <c r="P1603" s="8" t="s">
        <v>405</v>
      </c>
      <c r="Q1603" s="12" t="s">
        <v>8005</v>
      </c>
      <c r="R1603" s="8" t="s">
        <v>100</v>
      </c>
      <c r="S1603" s="7" t="s">
        <v>28</v>
      </c>
      <c r="T1603" s="6"/>
      <c r="U1603" s="8"/>
    </row>
    <row r="1604" spans="1:21" ht="13.5" customHeight="1">
      <c r="A1604" s="8" t="s">
        <v>8020</v>
      </c>
      <c r="B1604" s="16">
        <v>59</v>
      </c>
      <c r="C1604" s="8" t="s">
        <v>20</v>
      </c>
      <c r="D1604" s="8" t="s">
        <v>37</v>
      </c>
      <c r="E1604" s="8"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1604" s="17">
        <v>41863</v>
      </c>
      <c r="G1604" s="8" t="s">
        <v>8021</v>
      </c>
      <c r="H1604" s="8" t="s">
        <v>8022</v>
      </c>
      <c r="I1604" s="8" t="s">
        <v>427</v>
      </c>
      <c r="J1604" s="16" t="s">
        <v>8023</v>
      </c>
      <c r="K1604" s="2" t="s">
        <v>4461</v>
      </c>
      <c r="L1604" s="8" t="s">
        <v>586</v>
      </c>
      <c r="M1604" s="8" t="s">
        <v>383</v>
      </c>
      <c r="N1604" s="8" t="s">
        <v>8024</v>
      </c>
      <c r="O1604" s="8" t="s">
        <v>1018</v>
      </c>
      <c r="P1604" s="8" t="s">
        <v>405</v>
      </c>
      <c r="Q1604" s="12" t="s">
        <v>8025</v>
      </c>
      <c r="R1604" s="8" t="s">
        <v>100</v>
      </c>
      <c r="S1604" s="7" t="s">
        <v>28</v>
      </c>
      <c r="T1604" s="6"/>
      <c r="U1604" s="8"/>
    </row>
    <row r="1605" spans="1:21" ht="13.5" customHeight="1">
      <c r="A1605" s="8" t="s">
        <v>8006</v>
      </c>
      <c r="B1605" s="16">
        <v>30</v>
      </c>
      <c r="C1605" s="8" t="s">
        <v>20</v>
      </c>
      <c r="D1605" s="8" t="s">
        <v>141</v>
      </c>
      <c r="F1605" s="17">
        <v>41863</v>
      </c>
      <c r="G1605" s="8" t="s">
        <v>8007</v>
      </c>
      <c r="H1605" s="8" t="s">
        <v>1156</v>
      </c>
      <c r="I1605" s="8" t="s">
        <v>675</v>
      </c>
      <c r="J1605" s="16" t="s">
        <v>8008</v>
      </c>
      <c r="K1605" s="2" t="s">
        <v>8009</v>
      </c>
      <c r="L1605" s="8" t="s">
        <v>8010</v>
      </c>
      <c r="M1605" s="8" t="s">
        <v>27</v>
      </c>
      <c r="N1605" s="8" t="s">
        <v>8011</v>
      </c>
      <c r="O1605" s="8" t="s">
        <v>1018</v>
      </c>
      <c r="P1605" s="8" t="s">
        <v>405</v>
      </c>
      <c r="Q1605" s="12" t="str">
        <f>HYPERLINK("http://neshobademocrat.com/main.asp?SectionID=2&amp;SubSectionID=297&amp;ArticleID=33427","http://neshobademocrat.com/main.asp?SectionID=2&amp;SubSectionID=297&amp;ArticleID=33427")</f>
        <v>http://neshobademocrat.com/main.asp?SectionID=2&amp;SubSectionID=297&amp;ArticleID=33427</v>
      </c>
      <c r="R1605" s="8" t="s">
        <v>29</v>
      </c>
      <c r="S1605" s="7" t="s">
        <v>28</v>
      </c>
      <c r="T1605" s="6"/>
      <c r="U1605" s="8"/>
    </row>
    <row r="1606" spans="1:21" ht="13.5" customHeight="1">
      <c r="A1606" s="8" t="s">
        <v>8012</v>
      </c>
      <c r="B1606" s="16">
        <v>54</v>
      </c>
      <c r="C1606" s="8" t="s">
        <v>20</v>
      </c>
      <c r="D1606" s="8" t="s">
        <v>37</v>
      </c>
      <c r="F1606" s="17">
        <v>41863</v>
      </c>
      <c r="G1606" s="8" t="s">
        <v>8013</v>
      </c>
      <c r="H1606" s="8" t="s">
        <v>8014</v>
      </c>
      <c r="I1606" s="8" t="s">
        <v>57</v>
      </c>
      <c r="J1606" s="16" t="s">
        <v>8015</v>
      </c>
      <c r="K1606" s="2" t="s">
        <v>8016</v>
      </c>
      <c r="L1606" s="8" t="s">
        <v>8017</v>
      </c>
      <c r="M1606" s="8" t="s">
        <v>27</v>
      </c>
      <c r="N1606" s="8" t="s">
        <v>8018</v>
      </c>
      <c r="O1606" s="8" t="s">
        <v>554</v>
      </c>
      <c r="P1606" s="8" t="s">
        <v>405</v>
      </c>
      <c r="Q1606" s="12" t="s">
        <v>8019</v>
      </c>
      <c r="R1606" s="8" t="s">
        <v>559</v>
      </c>
      <c r="S1606" s="7" t="s">
        <v>28</v>
      </c>
      <c r="T1606" s="6"/>
      <c r="U1606" s="8"/>
    </row>
    <row r="1607" spans="1:21" ht="13.5" customHeight="1">
      <c r="A1607" s="8" t="s">
        <v>8070</v>
      </c>
      <c r="B1607" s="16">
        <v>26</v>
      </c>
      <c r="C1607" s="8" t="s">
        <v>20</v>
      </c>
      <c r="D1607" s="8" t="s">
        <v>37</v>
      </c>
      <c r="E1607" s="8" t="s">
        <v>8071</v>
      </c>
      <c r="F1607" s="17">
        <v>41862</v>
      </c>
      <c r="G1607" s="8" t="s">
        <v>8072</v>
      </c>
      <c r="H1607" s="8" t="s">
        <v>288</v>
      </c>
      <c r="I1607" s="8" t="s">
        <v>73</v>
      </c>
      <c r="J1607" s="16" t="s">
        <v>8073</v>
      </c>
      <c r="K1607" s="2" t="s">
        <v>288</v>
      </c>
      <c r="L1607" s="8" t="s">
        <v>289</v>
      </c>
      <c r="M1607" s="8" t="s">
        <v>27</v>
      </c>
      <c r="N1607" s="8" t="s">
        <v>8074</v>
      </c>
      <c r="O1607" s="8" t="s">
        <v>29</v>
      </c>
      <c r="P1607" s="8" t="s">
        <v>405</v>
      </c>
      <c r="Q1607" s="12" t="s">
        <v>8075</v>
      </c>
      <c r="R1607" s="8" t="s">
        <v>559</v>
      </c>
      <c r="S1607" s="7" t="s">
        <v>18</v>
      </c>
      <c r="T1607" s="6"/>
      <c r="U1607" s="8"/>
    </row>
    <row r="1608" spans="1:21" ht="13.5" customHeight="1">
      <c r="A1608" s="8" t="s">
        <v>8026</v>
      </c>
      <c r="B1608" s="16">
        <v>27</v>
      </c>
      <c r="C1608" s="8" t="s">
        <v>20</v>
      </c>
      <c r="D1608" s="8" t="s">
        <v>85</v>
      </c>
      <c r="E1608" s="8" t="str">
        <f>HYPERLINK("http://kbmt.images.worldnow.com/images/4452029_G.jpg","http://kbmt.images.worldnow.com/images/4452029_G.jpg")</f>
        <v>http://kbmt.images.worldnow.com/images/4452029_G.jpg</v>
      </c>
      <c r="F1608" s="17">
        <v>41862</v>
      </c>
      <c r="G1608" s="8" t="s">
        <v>8027</v>
      </c>
      <c r="H1608" s="8" t="s">
        <v>8028</v>
      </c>
      <c r="I1608" s="8" t="s">
        <v>73</v>
      </c>
      <c r="J1608" s="16">
        <v>77640</v>
      </c>
      <c r="K1608" s="2" t="s">
        <v>1795</v>
      </c>
      <c r="L1608" s="8" t="s">
        <v>8029</v>
      </c>
      <c r="M1608" s="8" t="s">
        <v>395</v>
      </c>
      <c r="N1608" s="8" t="s">
        <v>8030</v>
      </c>
      <c r="O1608" s="8" t="s">
        <v>404</v>
      </c>
      <c r="P1608" s="8" t="s">
        <v>405</v>
      </c>
      <c r="Q1608" s="12"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1608" s="8" t="s">
        <v>972</v>
      </c>
      <c r="S1608" s="7" t="s">
        <v>18</v>
      </c>
      <c r="T1608" s="6"/>
      <c r="U1608" s="8"/>
    </row>
    <row r="1609" spans="1:21" ht="13.5" customHeight="1">
      <c r="A1609" s="8" t="s">
        <v>8052</v>
      </c>
      <c r="B1609" s="16">
        <v>67</v>
      </c>
      <c r="C1609" s="8" t="s">
        <v>20</v>
      </c>
      <c r="D1609" s="8" t="s">
        <v>85</v>
      </c>
      <c r="E1609" s="8" t="s">
        <v>8053</v>
      </c>
      <c r="F1609" s="17">
        <v>41862</v>
      </c>
      <c r="G1609" s="8" t="s">
        <v>8054</v>
      </c>
      <c r="H1609" s="8" t="s">
        <v>1317</v>
      </c>
      <c r="I1609" s="8" t="s">
        <v>73</v>
      </c>
      <c r="J1609" s="16" t="s">
        <v>8055</v>
      </c>
      <c r="K1609" s="2" t="s">
        <v>5543</v>
      </c>
      <c r="L1609" s="8" t="s">
        <v>8056</v>
      </c>
      <c r="M1609" s="8" t="s">
        <v>27</v>
      </c>
      <c r="N1609" s="8" t="s">
        <v>8057</v>
      </c>
      <c r="O1609" s="8" t="s">
        <v>29</v>
      </c>
      <c r="P1609" s="8" t="s">
        <v>405</v>
      </c>
      <c r="Q1609" s="12"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1609" s="8" t="s">
        <v>29</v>
      </c>
      <c r="S1609" s="7" t="s">
        <v>28</v>
      </c>
      <c r="T1609" s="6"/>
      <c r="U1609" s="8"/>
    </row>
    <row r="1610" spans="1:21" ht="13.5" customHeight="1">
      <c r="A1610" s="8" t="s">
        <v>8031</v>
      </c>
      <c r="B1610" s="16">
        <v>25</v>
      </c>
      <c r="C1610" s="8" t="s">
        <v>20</v>
      </c>
      <c r="D1610" s="8" t="s">
        <v>85</v>
      </c>
      <c r="E1610" s="8" t="s">
        <v>8032</v>
      </c>
      <c r="F1610" s="17">
        <v>41862</v>
      </c>
      <c r="G1610" s="8" t="s">
        <v>8033</v>
      </c>
      <c r="H1610" s="8" t="s">
        <v>98</v>
      </c>
      <c r="I1610" s="8" t="s">
        <v>45</v>
      </c>
      <c r="J1610" s="16" t="s">
        <v>8034</v>
      </c>
      <c r="K1610" s="2" t="s">
        <v>98</v>
      </c>
      <c r="L1610" s="8" t="s">
        <v>99</v>
      </c>
      <c r="M1610" s="8" t="s">
        <v>27</v>
      </c>
      <c r="N1610" s="8" t="s">
        <v>8035</v>
      </c>
      <c r="O1610" s="8" t="s">
        <v>4742</v>
      </c>
      <c r="P1610" s="8" t="s">
        <v>405</v>
      </c>
      <c r="Q1610" s="12" t="s">
        <v>8036</v>
      </c>
      <c r="R1610" s="8" t="s">
        <v>559</v>
      </c>
      <c r="S1610" s="7" t="s">
        <v>18</v>
      </c>
      <c r="T1610" s="6"/>
      <c r="U1610" s="8"/>
    </row>
    <row r="1611" spans="1:21" ht="13.5" customHeight="1">
      <c r="A1611" s="8" t="s">
        <v>8058</v>
      </c>
      <c r="B1611" s="16">
        <v>18</v>
      </c>
      <c r="C1611" s="8" t="s">
        <v>20</v>
      </c>
      <c r="D1611" s="8" t="s">
        <v>48</v>
      </c>
      <c r="F1611" s="17">
        <v>41862</v>
      </c>
      <c r="G1611" s="8" t="s">
        <v>8059</v>
      </c>
      <c r="H1611" s="8" t="s">
        <v>288</v>
      </c>
      <c r="I1611" s="8" t="s">
        <v>73</v>
      </c>
      <c r="J1611" s="16" t="s">
        <v>8060</v>
      </c>
      <c r="K1611" s="2" t="s">
        <v>288</v>
      </c>
      <c r="L1611" s="8" t="s">
        <v>289</v>
      </c>
      <c r="M1611" s="8" t="s">
        <v>27</v>
      </c>
      <c r="N1611" s="8" t="s">
        <v>8061</v>
      </c>
      <c r="O1611" s="8" t="s">
        <v>4742</v>
      </c>
      <c r="P1611" s="8" t="s">
        <v>405</v>
      </c>
      <c r="Q1611" s="12" t="s">
        <v>8062</v>
      </c>
      <c r="R1611" s="8" t="s">
        <v>100</v>
      </c>
      <c r="S1611" s="7" t="s">
        <v>28</v>
      </c>
      <c r="T1611" s="6"/>
      <c r="U1611" s="8"/>
    </row>
    <row r="1612" spans="1:21" ht="13.5" customHeight="1">
      <c r="A1612" s="8" t="s">
        <v>8063</v>
      </c>
      <c r="B1612" s="16">
        <v>53</v>
      </c>
      <c r="C1612" s="8" t="s">
        <v>20</v>
      </c>
      <c r="D1612" s="8" t="s">
        <v>30</v>
      </c>
      <c r="F1612" s="17">
        <v>41862</v>
      </c>
      <c r="G1612" s="8" t="s">
        <v>8064</v>
      </c>
      <c r="H1612" s="8" t="s">
        <v>8065</v>
      </c>
      <c r="I1612" s="8" t="s">
        <v>25</v>
      </c>
      <c r="J1612" s="16" t="s">
        <v>8066</v>
      </c>
      <c r="K1612" s="2" t="s">
        <v>8067</v>
      </c>
      <c r="L1612" s="8" t="s">
        <v>8068</v>
      </c>
      <c r="M1612" s="8" t="s">
        <v>27</v>
      </c>
      <c r="N1612" s="8" t="s">
        <v>8069</v>
      </c>
      <c r="O1612" s="8" t="s">
        <v>1018</v>
      </c>
      <c r="P1612" s="8" t="s">
        <v>405</v>
      </c>
      <c r="Q1612" s="12" t="str">
        <f>HYPERLINK("http://kpel965.com/la-state-police-handling-shooting-involving-crowley-police-officers/","http://kpel965.com/la-state-police-handling-shooting-involving-crowley-police-officers/")</f>
        <v>http://kpel965.com/la-state-police-handling-shooting-involving-crowley-police-officers/</v>
      </c>
      <c r="R1612" s="8" t="s">
        <v>100</v>
      </c>
      <c r="S1612" s="7" t="s">
        <v>28</v>
      </c>
      <c r="T1612" s="6"/>
      <c r="U1612" s="8"/>
    </row>
    <row r="1613" spans="1:21" ht="13.5" customHeight="1">
      <c r="A1613" s="8" t="s">
        <v>8037</v>
      </c>
      <c r="B1613" s="16">
        <v>34</v>
      </c>
      <c r="C1613" s="8" t="s">
        <v>20</v>
      </c>
      <c r="D1613" s="8" t="s">
        <v>85</v>
      </c>
      <c r="E1613" s="8" t="s">
        <v>8038</v>
      </c>
      <c r="F1613" s="17">
        <v>41862</v>
      </c>
      <c r="G1613" s="8" t="s">
        <v>8039</v>
      </c>
      <c r="H1613" s="8" t="s">
        <v>8040</v>
      </c>
      <c r="I1613" s="8" t="s">
        <v>25</v>
      </c>
      <c r="J1613" s="16">
        <v>71040</v>
      </c>
      <c r="K1613" s="2" t="s">
        <v>8041</v>
      </c>
      <c r="L1613" s="8" t="s">
        <v>8042</v>
      </c>
      <c r="M1613" s="8" t="s">
        <v>2312</v>
      </c>
      <c r="N1613" s="8" t="s">
        <v>8043</v>
      </c>
      <c r="O1613" s="8" t="s">
        <v>404</v>
      </c>
      <c r="P1613" s="8" t="s">
        <v>405</v>
      </c>
      <c r="Q1613" s="12"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1613" s="8" t="s">
        <v>100</v>
      </c>
      <c r="S1613" s="7" t="s">
        <v>18</v>
      </c>
      <c r="T1613" s="6"/>
      <c r="U1613" s="8"/>
    </row>
    <row r="1614" spans="1:21" ht="13.5" customHeight="1">
      <c r="A1614" s="8" t="s">
        <v>8044</v>
      </c>
      <c r="B1614" s="16">
        <v>52</v>
      </c>
      <c r="C1614" s="8" t="s">
        <v>20</v>
      </c>
      <c r="D1614" s="8" t="s">
        <v>85</v>
      </c>
      <c r="E1614" s="8" t="s">
        <v>8045</v>
      </c>
      <c r="F1614" s="17">
        <v>41862</v>
      </c>
      <c r="G1614" s="8" t="s">
        <v>8046</v>
      </c>
      <c r="H1614" s="8" t="s">
        <v>8047</v>
      </c>
      <c r="I1614" s="8" t="s">
        <v>675</v>
      </c>
      <c r="J1614" s="16" t="s">
        <v>8048</v>
      </c>
      <c r="K1614" s="2" t="s">
        <v>2179</v>
      </c>
      <c r="L1614" s="8" t="s">
        <v>8049</v>
      </c>
      <c r="M1614" s="8" t="s">
        <v>27</v>
      </c>
      <c r="N1614" s="8" t="s">
        <v>8050</v>
      </c>
      <c r="O1614" s="8" t="s">
        <v>1018</v>
      </c>
      <c r="P1614" s="8" t="s">
        <v>405</v>
      </c>
      <c r="Q1614" s="12" t="s">
        <v>8051</v>
      </c>
      <c r="R1614" s="8" t="s">
        <v>100</v>
      </c>
      <c r="S1614" s="7" t="s">
        <v>28</v>
      </c>
      <c r="T1614" s="6"/>
      <c r="U1614" s="8"/>
    </row>
    <row r="1615" spans="1:21" ht="13.5" customHeight="1">
      <c r="A1615" s="8" t="s">
        <v>8084</v>
      </c>
      <c r="B1615" s="16" t="s">
        <v>29</v>
      </c>
      <c r="C1615" s="8" t="s">
        <v>20</v>
      </c>
      <c r="D1615" s="8" t="s">
        <v>48</v>
      </c>
      <c r="F1615" s="17">
        <v>41861</v>
      </c>
      <c r="G1615" s="8" t="s">
        <v>8078</v>
      </c>
      <c r="H1615" s="8" t="s">
        <v>8079</v>
      </c>
      <c r="I1615" s="8" t="s">
        <v>73</v>
      </c>
      <c r="J1615" s="16" t="s">
        <v>8080</v>
      </c>
      <c r="K1615" s="2" t="s">
        <v>5351</v>
      </c>
      <c r="L1615" s="8" t="s">
        <v>8081</v>
      </c>
      <c r="M1615" s="8" t="s">
        <v>383</v>
      </c>
      <c r="N1615" s="8" t="s">
        <v>8082</v>
      </c>
      <c r="O1615" s="8" t="s">
        <v>1018</v>
      </c>
      <c r="P1615" s="8" t="s">
        <v>405</v>
      </c>
      <c r="Q1615" s="12" t="s">
        <v>8083</v>
      </c>
      <c r="R1615" s="8" t="s">
        <v>100</v>
      </c>
      <c r="S1615" s="7" t="s">
        <v>383</v>
      </c>
      <c r="T1615" s="6"/>
      <c r="U1615" s="8"/>
    </row>
    <row r="1616" spans="1:21" ht="13.5" customHeight="1">
      <c r="A1616" s="8" t="s">
        <v>8100</v>
      </c>
      <c r="B1616" s="16">
        <v>51</v>
      </c>
      <c r="C1616" s="8" t="s">
        <v>20</v>
      </c>
      <c r="D1616" s="8" t="s">
        <v>37</v>
      </c>
      <c r="E1616" s="8" t="s">
        <v>8101</v>
      </c>
      <c r="F1616" s="17">
        <v>41861</v>
      </c>
      <c r="G1616" s="8" t="s">
        <v>8094</v>
      </c>
      <c r="H1616" s="8" t="s">
        <v>8095</v>
      </c>
      <c r="I1616" s="8" t="s">
        <v>427</v>
      </c>
      <c r="J1616" s="16" t="s">
        <v>8096</v>
      </c>
      <c r="K1616" s="2" t="s">
        <v>5008</v>
      </c>
      <c r="L1616" s="8" t="s">
        <v>8097</v>
      </c>
      <c r="M1616" s="8" t="s">
        <v>27</v>
      </c>
      <c r="N1616" s="8" t="s">
        <v>8098</v>
      </c>
      <c r="O1616" s="8" t="s">
        <v>1018</v>
      </c>
      <c r="P1616" s="8" t="s">
        <v>405</v>
      </c>
      <c r="Q1616" s="12" t="s">
        <v>8099</v>
      </c>
      <c r="R1616" s="8" t="s">
        <v>29</v>
      </c>
      <c r="S1616" s="7" t="s">
        <v>18</v>
      </c>
      <c r="T1616" s="6"/>
      <c r="U1616" s="8"/>
    </row>
    <row r="1617" spans="1:21" ht="13.5" customHeight="1">
      <c r="A1617" s="8" t="s">
        <v>8076</v>
      </c>
      <c r="B1617" s="16">
        <v>23</v>
      </c>
      <c r="C1617" s="8" t="s">
        <v>20</v>
      </c>
      <c r="D1617" s="8" t="s">
        <v>48</v>
      </c>
      <c r="E1617" s="8" t="s">
        <v>8077</v>
      </c>
      <c r="F1617" s="17">
        <v>41861</v>
      </c>
      <c r="G1617" s="8" t="s">
        <v>8078</v>
      </c>
      <c r="H1617" s="8" t="s">
        <v>8079</v>
      </c>
      <c r="I1617" s="8" t="s">
        <v>73</v>
      </c>
      <c r="J1617" s="16" t="s">
        <v>8080</v>
      </c>
      <c r="K1617" s="2" t="s">
        <v>5351</v>
      </c>
      <c r="L1617" s="8" t="s">
        <v>8081</v>
      </c>
      <c r="M1617" s="8" t="s">
        <v>383</v>
      </c>
      <c r="N1617" s="8" t="s">
        <v>8082</v>
      </c>
      <c r="O1617" s="8" t="s">
        <v>1018</v>
      </c>
      <c r="P1617" s="8" t="s">
        <v>405</v>
      </c>
      <c r="Q1617" s="12" t="s">
        <v>8083</v>
      </c>
      <c r="R1617" s="8" t="s">
        <v>100</v>
      </c>
      <c r="S1617" s="7" t="s">
        <v>383</v>
      </c>
      <c r="T1617" s="6"/>
      <c r="U1617" s="8"/>
    </row>
    <row r="1618" spans="1:21" ht="13.5" customHeight="1">
      <c r="A1618" s="8" t="s">
        <v>8092</v>
      </c>
      <c r="B1618" s="16">
        <v>49</v>
      </c>
      <c r="C1618" s="8" t="s">
        <v>115</v>
      </c>
      <c r="D1618" s="8" t="s">
        <v>37</v>
      </c>
      <c r="E1618" s="8" t="s">
        <v>8093</v>
      </c>
      <c r="F1618" s="17">
        <v>41861</v>
      </c>
      <c r="G1618" s="8" t="s">
        <v>8094</v>
      </c>
      <c r="H1618" s="8" t="s">
        <v>8095</v>
      </c>
      <c r="I1618" s="8" t="s">
        <v>427</v>
      </c>
      <c r="J1618" s="16" t="s">
        <v>8096</v>
      </c>
      <c r="K1618" s="2" t="s">
        <v>5008</v>
      </c>
      <c r="L1618" s="8" t="s">
        <v>8097</v>
      </c>
      <c r="M1618" s="8" t="s">
        <v>27</v>
      </c>
      <c r="N1618" s="8" t="s">
        <v>8098</v>
      </c>
      <c r="O1618" s="8" t="s">
        <v>1018</v>
      </c>
      <c r="P1618" s="8" t="s">
        <v>405</v>
      </c>
      <c r="Q1618" s="12" t="s">
        <v>8099</v>
      </c>
      <c r="R1618" s="8" t="s">
        <v>29</v>
      </c>
      <c r="S1618" s="7" t="s">
        <v>18</v>
      </c>
      <c r="T1618" s="6"/>
      <c r="U1618" s="8"/>
    </row>
    <row r="1619" spans="1:21" ht="13.5" customHeight="1">
      <c r="A1619" s="8" t="s">
        <v>8085</v>
      </c>
      <c r="B1619" s="16">
        <v>45</v>
      </c>
      <c r="C1619" s="8" t="s">
        <v>20</v>
      </c>
      <c r="D1619" s="8" t="s">
        <v>37</v>
      </c>
      <c r="F1619" s="17">
        <v>41861</v>
      </c>
      <c r="G1619" s="8" t="s">
        <v>8086</v>
      </c>
      <c r="H1619" s="8" t="s">
        <v>8087</v>
      </c>
      <c r="I1619" s="8" t="s">
        <v>306</v>
      </c>
      <c r="J1619" s="16" t="s">
        <v>8088</v>
      </c>
      <c r="K1619" s="2" t="s">
        <v>1221</v>
      </c>
      <c r="L1619" s="8" t="s">
        <v>8089</v>
      </c>
      <c r="M1619" s="8" t="s">
        <v>27</v>
      </c>
      <c r="N1619" s="8" t="s">
        <v>8090</v>
      </c>
      <c r="O1619" s="8" t="s">
        <v>4742</v>
      </c>
      <c r="P1619" s="8" t="s">
        <v>405</v>
      </c>
      <c r="Q1619" s="12" t="s">
        <v>8091</v>
      </c>
      <c r="R1619" s="8" t="s">
        <v>2224</v>
      </c>
      <c r="S1619" s="7" t="s">
        <v>28</v>
      </c>
      <c r="T1619" s="6"/>
      <c r="U1619" s="8"/>
    </row>
    <row r="1620" spans="1:21" ht="13.5" customHeight="1">
      <c r="A1620" s="8" t="s">
        <v>8115</v>
      </c>
      <c r="B1620" s="16">
        <v>41</v>
      </c>
      <c r="C1620" s="8" t="s">
        <v>20</v>
      </c>
      <c r="D1620" s="8" t="s">
        <v>48</v>
      </c>
      <c r="F1620" s="17">
        <v>41860</v>
      </c>
      <c r="G1620" s="8" t="s">
        <v>8116</v>
      </c>
      <c r="H1620" s="8" t="s">
        <v>8117</v>
      </c>
      <c r="I1620" s="8" t="s">
        <v>45</v>
      </c>
      <c r="J1620" s="16" t="s">
        <v>8118</v>
      </c>
      <c r="K1620" s="2" t="s">
        <v>98</v>
      </c>
      <c r="L1620" s="8" t="s">
        <v>418</v>
      </c>
      <c r="M1620" s="8" t="s">
        <v>27</v>
      </c>
      <c r="N1620" s="8" t="s">
        <v>8119</v>
      </c>
      <c r="O1620" s="8" t="s">
        <v>1018</v>
      </c>
      <c r="P1620" s="8" t="s">
        <v>405</v>
      </c>
      <c r="Q1620" s="12" t="s">
        <v>8120</v>
      </c>
      <c r="R1620" s="8" t="s">
        <v>100</v>
      </c>
      <c r="S1620" s="7" t="s">
        <v>28</v>
      </c>
      <c r="T1620" s="6"/>
      <c r="U1620" s="8"/>
    </row>
    <row r="1621" spans="1:21" ht="13.5" customHeight="1">
      <c r="A1621" s="8" t="s">
        <v>8121</v>
      </c>
      <c r="B1621" s="16">
        <v>20</v>
      </c>
      <c r="C1621" s="8" t="s">
        <v>20</v>
      </c>
      <c r="D1621" s="8" t="s">
        <v>37</v>
      </c>
      <c r="E1621" s="8" t="s">
        <v>8122</v>
      </c>
      <c r="F1621" s="17">
        <v>41860</v>
      </c>
      <c r="G1621" s="8" t="s">
        <v>8123</v>
      </c>
      <c r="H1621" s="8" t="s">
        <v>242</v>
      </c>
      <c r="I1621" s="8" t="s">
        <v>243</v>
      </c>
      <c r="J1621" s="16" t="s">
        <v>8124</v>
      </c>
      <c r="K1621" s="2" t="s">
        <v>617</v>
      </c>
      <c r="L1621" s="8" t="s">
        <v>244</v>
      </c>
      <c r="M1621" s="8" t="s">
        <v>27</v>
      </c>
      <c r="N1621" s="8" t="s">
        <v>8125</v>
      </c>
      <c r="O1621" s="8" t="s">
        <v>404</v>
      </c>
      <c r="P1621" s="8" t="s">
        <v>405</v>
      </c>
      <c r="Q1621" s="12" t="s">
        <v>8126</v>
      </c>
      <c r="R1621" s="8" t="s">
        <v>100</v>
      </c>
      <c r="S1621" s="7" t="s">
        <v>18</v>
      </c>
      <c r="T1621" s="6"/>
      <c r="U1621" s="8"/>
    </row>
    <row r="1622" spans="1:21" ht="13.5" customHeight="1">
      <c r="A1622" s="8" t="s">
        <v>8127</v>
      </c>
      <c r="B1622" s="16">
        <v>40</v>
      </c>
      <c r="C1622" s="8" t="s">
        <v>20</v>
      </c>
      <c r="D1622" s="8" t="s">
        <v>37</v>
      </c>
      <c r="E1622" s="8" t="s">
        <v>8128</v>
      </c>
      <c r="F1622" s="17">
        <v>41860</v>
      </c>
      <c r="G1622" s="8" t="s">
        <v>8129</v>
      </c>
      <c r="H1622" s="8" t="s">
        <v>8130</v>
      </c>
      <c r="I1622" s="8" t="s">
        <v>408</v>
      </c>
      <c r="J1622" s="16" t="s">
        <v>8131</v>
      </c>
      <c r="K1622" s="2" t="s">
        <v>1620</v>
      </c>
      <c r="L1622" s="8" t="s">
        <v>9453</v>
      </c>
      <c r="M1622" s="8" t="s">
        <v>27</v>
      </c>
      <c r="N1622" s="8" t="s">
        <v>8132</v>
      </c>
      <c r="O1622" s="8" t="s">
        <v>1018</v>
      </c>
      <c r="P1622" s="8" t="s">
        <v>405</v>
      </c>
      <c r="Q1622" s="12" t="s">
        <v>8133</v>
      </c>
      <c r="R1622" s="8" t="s">
        <v>100</v>
      </c>
      <c r="S1622" s="7" t="s">
        <v>28</v>
      </c>
      <c r="T1622" s="6"/>
      <c r="U1622" s="8"/>
    </row>
    <row r="1623" spans="1:21" ht="13.5" customHeight="1">
      <c r="A1623" s="8" t="s">
        <v>8134</v>
      </c>
      <c r="B1623" s="16">
        <v>23</v>
      </c>
      <c r="C1623" s="8" t="s">
        <v>20</v>
      </c>
      <c r="D1623" s="8" t="s">
        <v>37</v>
      </c>
      <c r="E1623" s="8" t="s">
        <v>8135</v>
      </c>
      <c r="F1623" s="17">
        <v>41860</v>
      </c>
      <c r="G1623" s="8" t="s">
        <v>8136</v>
      </c>
      <c r="H1623" s="8" t="s">
        <v>8137</v>
      </c>
      <c r="I1623" s="8" t="s">
        <v>986</v>
      </c>
      <c r="J1623" s="16" t="s">
        <v>8138</v>
      </c>
      <c r="K1623" s="2" t="s">
        <v>8139</v>
      </c>
      <c r="L1623" s="8" t="s">
        <v>8140</v>
      </c>
      <c r="M1623" s="8" t="s">
        <v>27</v>
      </c>
      <c r="N1623" s="8" t="s">
        <v>8141</v>
      </c>
      <c r="O1623" s="8" t="s">
        <v>1018</v>
      </c>
      <c r="P1623" s="8" t="s">
        <v>405</v>
      </c>
      <c r="Q1623" s="12" t="s">
        <v>8142</v>
      </c>
      <c r="R1623" s="8" t="s">
        <v>100</v>
      </c>
      <c r="S1623" s="7" t="s">
        <v>28</v>
      </c>
      <c r="T1623" s="6"/>
      <c r="U1623" s="8"/>
    </row>
    <row r="1624" spans="1:21" ht="13.5" customHeight="1">
      <c r="A1624" s="8" t="s">
        <v>8102</v>
      </c>
      <c r="B1624" s="16">
        <v>22</v>
      </c>
      <c r="C1624" s="8" t="s">
        <v>20</v>
      </c>
      <c r="D1624" s="8" t="s">
        <v>85</v>
      </c>
      <c r="F1624" s="17">
        <v>41860</v>
      </c>
      <c r="G1624" s="8" t="s">
        <v>8103</v>
      </c>
      <c r="H1624" s="8" t="s">
        <v>8104</v>
      </c>
      <c r="I1624" s="8" t="s">
        <v>44</v>
      </c>
      <c r="J1624" s="16" t="s">
        <v>8105</v>
      </c>
      <c r="K1624" s="2" t="s">
        <v>88</v>
      </c>
      <c r="L1624" s="8" t="s">
        <v>89</v>
      </c>
      <c r="M1624" s="8" t="s">
        <v>27</v>
      </c>
      <c r="N1624" s="8" t="s">
        <v>8106</v>
      </c>
      <c r="O1624" s="8" t="s">
        <v>554</v>
      </c>
      <c r="P1624" s="8" t="s">
        <v>405</v>
      </c>
      <c r="Q1624" s="12" t="s">
        <v>8107</v>
      </c>
      <c r="R1624" s="8" t="s">
        <v>29</v>
      </c>
      <c r="S1624" s="7" t="s">
        <v>28</v>
      </c>
      <c r="T1624" s="6"/>
      <c r="U1624" s="8"/>
    </row>
    <row r="1625" spans="1:21" ht="13.5" customHeight="1">
      <c r="A1625" s="8" t="s">
        <v>8108</v>
      </c>
      <c r="B1625" s="16">
        <v>18</v>
      </c>
      <c r="C1625" s="8" t="s">
        <v>20</v>
      </c>
      <c r="D1625" s="8" t="s">
        <v>85</v>
      </c>
      <c r="E1625" s="8" t="s">
        <v>8109</v>
      </c>
      <c r="F1625" s="17">
        <v>41860</v>
      </c>
      <c r="G1625" s="8" t="s">
        <v>8110</v>
      </c>
      <c r="H1625" s="8" t="s">
        <v>8111</v>
      </c>
      <c r="I1625" s="8" t="s">
        <v>435</v>
      </c>
      <c r="J1625" s="16" t="s">
        <v>2827</v>
      </c>
      <c r="K1625" s="2" t="s">
        <v>717</v>
      </c>
      <c r="L1625" s="8" t="s">
        <v>8112</v>
      </c>
      <c r="M1625" s="8" t="s">
        <v>27</v>
      </c>
      <c r="N1625" s="8" t="s">
        <v>8113</v>
      </c>
      <c r="O1625" s="8" t="s">
        <v>554</v>
      </c>
      <c r="P1625" s="8" t="s">
        <v>405</v>
      </c>
      <c r="Q1625" s="12" t="s">
        <v>8114</v>
      </c>
      <c r="R1625" s="8" t="s">
        <v>100</v>
      </c>
      <c r="S1625" s="7" t="s">
        <v>18</v>
      </c>
      <c r="T1625" s="6"/>
      <c r="U1625" s="8"/>
    </row>
    <row r="1626" spans="1:21" ht="13.5" customHeight="1">
      <c r="A1626" s="8" t="s">
        <v>8155</v>
      </c>
      <c r="B1626" s="16">
        <v>26</v>
      </c>
      <c r="C1626" s="8" t="s">
        <v>20</v>
      </c>
      <c r="D1626" s="8" t="s">
        <v>37</v>
      </c>
      <c r="E1626" s="8" t="s">
        <v>8156</v>
      </c>
      <c r="F1626" s="17">
        <v>41859</v>
      </c>
      <c r="G1626" s="8" t="s">
        <v>8157</v>
      </c>
      <c r="H1626" s="8" t="s">
        <v>1311</v>
      </c>
      <c r="I1626" s="8" t="s">
        <v>212</v>
      </c>
      <c r="J1626" s="16" t="s">
        <v>8158</v>
      </c>
      <c r="K1626" s="2" t="s">
        <v>1311</v>
      </c>
      <c r="L1626" s="8" t="s">
        <v>8159</v>
      </c>
      <c r="M1626" s="8" t="s">
        <v>27</v>
      </c>
      <c r="N1626" s="8" t="s">
        <v>8160</v>
      </c>
      <c r="O1626" s="8" t="s">
        <v>554</v>
      </c>
      <c r="P1626" s="8" t="s">
        <v>405</v>
      </c>
      <c r="Q1626" s="12" t="s">
        <v>8161</v>
      </c>
      <c r="R1626" s="8" t="s">
        <v>100</v>
      </c>
      <c r="S1626" s="7" t="s">
        <v>28</v>
      </c>
      <c r="T1626" s="6"/>
      <c r="U1626" s="8"/>
    </row>
    <row r="1627" spans="1:21" ht="13.5" customHeight="1">
      <c r="A1627" s="8" t="s">
        <v>8143</v>
      </c>
      <c r="B1627" s="16">
        <v>38</v>
      </c>
      <c r="C1627" s="8" t="s">
        <v>20</v>
      </c>
      <c r="D1627" s="8" t="s">
        <v>48</v>
      </c>
      <c r="F1627" s="17">
        <v>41859</v>
      </c>
      <c r="G1627" s="8" t="s">
        <v>8144</v>
      </c>
      <c r="H1627" s="8" t="s">
        <v>8145</v>
      </c>
      <c r="I1627" s="8" t="s">
        <v>408</v>
      </c>
      <c r="J1627" s="16" t="s">
        <v>8146</v>
      </c>
      <c r="K1627" s="2" t="s">
        <v>8147</v>
      </c>
      <c r="L1627" s="8" t="s">
        <v>8148</v>
      </c>
      <c r="M1627" s="8" t="s">
        <v>395</v>
      </c>
      <c r="N1627" s="8" t="s">
        <v>8149</v>
      </c>
      <c r="O1627" s="8" t="s">
        <v>404</v>
      </c>
      <c r="P1627" s="8" t="s">
        <v>405</v>
      </c>
      <c r="Q1627" s="12" t="s">
        <v>8150</v>
      </c>
      <c r="R1627" s="8" t="s">
        <v>100</v>
      </c>
      <c r="S1627" s="7" t="s">
        <v>18</v>
      </c>
      <c r="T1627" s="6"/>
      <c r="U1627" s="8"/>
    </row>
    <row r="1628" spans="1:21" ht="13.5" customHeight="1">
      <c r="A1628" s="8" t="s">
        <v>3288</v>
      </c>
      <c r="B1628" s="16">
        <v>31</v>
      </c>
      <c r="C1628" s="8" t="s">
        <v>20</v>
      </c>
      <c r="D1628" s="8" t="s">
        <v>30</v>
      </c>
      <c r="F1628" s="17">
        <v>41859</v>
      </c>
      <c r="G1628" s="8" t="s">
        <v>8151</v>
      </c>
      <c r="H1628" s="8" t="s">
        <v>448</v>
      </c>
      <c r="I1628" s="8" t="s">
        <v>57</v>
      </c>
      <c r="J1628" s="16" t="s">
        <v>8152</v>
      </c>
      <c r="K1628" s="2" t="s">
        <v>1139</v>
      </c>
      <c r="L1628" s="8" t="s">
        <v>2196</v>
      </c>
      <c r="M1628" s="8" t="s">
        <v>27</v>
      </c>
      <c r="N1628" s="8" t="s">
        <v>8153</v>
      </c>
      <c r="O1628" s="8" t="s">
        <v>1018</v>
      </c>
      <c r="P1628" s="8" t="s">
        <v>405</v>
      </c>
      <c r="Q1628" s="12" t="s">
        <v>8154</v>
      </c>
      <c r="R1628" s="8" t="s">
        <v>100</v>
      </c>
      <c r="S1628" s="7" t="s">
        <v>28</v>
      </c>
      <c r="T1628" s="6"/>
      <c r="U1628" s="8"/>
    </row>
    <row r="1629" spans="1:21" ht="13.5" customHeight="1">
      <c r="A1629" s="8" t="s">
        <v>8162</v>
      </c>
      <c r="B1629" s="16">
        <v>23</v>
      </c>
      <c r="C1629" s="8" t="s">
        <v>20</v>
      </c>
      <c r="D1629" s="8" t="s">
        <v>37</v>
      </c>
      <c r="E1629" s="8" t="s">
        <v>8163</v>
      </c>
      <c r="F1629" s="17">
        <v>41859</v>
      </c>
      <c r="G1629" s="8" t="s">
        <v>8164</v>
      </c>
      <c r="H1629" s="8" t="s">
        <v>599</v>
      </c>
      <c r="I1629" s="8" t="s">
        <v>73</v>
      </c>
      <c r="J1629" s="16" t="s">
        <v>8165</v>
      </c>
      <c r="K1629" s="2" t="s">
        <v>600</v>
      </c>
      <c r="L1629" s="8" t="s">
        <v>601</v>
      </c>
      <c r="M1629" s="8" t="s">
        <v>27</v>
      </c>
      <c r="N1629" s="8" t="s">
        <v>8166</v>
      </c>
      <c r="O1629" s="8" t="s">
        <v>404</v>
      </c>
      <c r="P1629" s="8" t="s">
        <v>405</v>
      </c>
      <c r="Q1629" s="12" t="s">
        <v>8167</v>
      </c>
      <c r="R1629" s="8" t="s">
        <v>559</v>
      </c>
      <c r="S1629" s="7" t="s">
        <v>28</v>
      </c>
      <c r="T1629" s="6"/>
      <c r="U1629" s="8"/>
    </row>
    <row r="1630" spans="1:21" ht="13.5" customHeight="1">
      <c r="A1630" s="8" t="s">
        <v>8168</v>
      </c>
      <c r="B1630" s="16">
        <v>17</v>
      </c>
      <c r="C1630" s="8" t="s">
        <v>20</v>
      </c>
      <c r="D1630" s="8" t="s">
        <v>85</v>
      </c>
      <c r="E1630" s="8" t="s">
        <v>8169</v>
      </c>
      <c r="F1630" s="17">
        <v>41858</v>
      </c>
      <c r="G1630" s="8" t="s">
        <v>8170</v>
      </c>
      <c r="H1630" s="8" t="s">
        <v>8171</v>
      </c>
      <c r="I1630" s="8" t="s">
        <v>57</v>
      </c>
      <c r="J1630" s="16" t="s">
        <v>8172</v>
      </c>
      <c r="K1630" s="2" t="s">
        <v>607</v>
      </c>
      <c r="L1630" s="8" t="s">
        <v>8173</v>
      </c>
      <c r="M1630" s="8" t="s">
        <v>383</v>
      </c>
      <c r="N1630" s="8" t="s">
        <v>8174</v>
      </c>
      <c r="O1630" s="8" t="s">
        <v>1018</v>
      </c>
      <c r="P1630" s="8" t="s">
        <v>405</v>
      </c>
      <c r="Q1630" s="12" t="s">
        <v>8175</v>
      </c>
      <c r="R1630" s="8" t="s">
        <v>100</v>
      </c>
      <c r="S1630" s="7" t="s">
        <v>383</v>
      </c>
      <c r="T1630" s="6"/>
      <c r="U1630" s="8"/>
    </row>
    <row r="1631" spans="1:21" ht="13.5" customHeight="1">
      <c r="A1631" s="8" t="s">
        <v>8176</v>
      </c>
      <c r="B1631" s="16">
        <v>20</v>
      </c>
      <c r="C1631" s="8" t="s">
        <v>20</v>
      </c>
      <c r="D1631" s="8" t="s">
        <v>48</v>
      </c>
      <c r="F1631" s="17">
        <v>41858</v>
      </c>
      <c r="G1631" s="8" t="s">
        <v>8177</v>
      </c>
      <c r="H1631" s="8" t="s">
        <v>8178</v>
      </c>
      <c r="I1631" s="8" t="s">
        <v>45</v>
      </c>
      <c r="J1631" s="16" t="s">
        <v>8179</v>
      </c>
      <c r="K1631" s="2" t="s">
        <v>1658</v>
      </c>
      <c r="L1631" s="8" t="s">
        <v>8180</v>
      </c>
      <c r="M1631" s="8" t="s">
        <v>27</v>
      </c>
      <c r="N1631" s="8" t="s">
        <v>8181</v>
      </c>
      <c r="O1631" s="8" t="s">
        <v>1018</v>
      </c>
      <c r="P1631" s="8" t="s">
        <v>405</v>
      </c>
      <c r="Q1631" s="12" t="s">
        <v>8182</v>
      </c>
      <c r="R1631" s="8" t="s">
        <v>29</v>
      </c>
      <c r="S1631" s="7" t="s">
        <v>28</v>
      </c>
      <c r="T1631" s="6"/>
      <c r="U1631" s="8"/>
    </row>
    <row r="1632" spans="1:21" ht="13.5" customHeight="1">
      <c r="A1632" s="8" t="s">
        <v>8189</v>
      </c>
      <c r="B1632" s="16">
        <v>51</v>
      </c>
      <c r="C1632" s="8" t="s">
        <v>20</v>
      </c>
      <c r="D1632" s="8" t="s">
        <v>48</v>
      </c>
      <c r="E1632" s="8" t="s">
        <v>8190</v>
      </c>
      <c r="F1632" s="17">
        <v>41857</v>
      </c>
      <c r="G1632" s="8" t="s">
        <v>8191</v>
      </c>
      <c r="H1632" s="8" t="s">
        <v>8192</v>
      </c>
      <c r="I1632" s="8" t="s">
        <v>878</v>
      </c>
      <c r="J1632" s="16" t="s">
        <v>8193</v>
      </c>
      <c r="K1632" s="2" t="s">
        <v>2388</v>
      </c>
      <c r="L1632" s="8" t="s">
        <v>3626</v>
      </c>
      <c r="M1632" s="8" t="s">
        <v>27</v>
      </c>
      <c r="N1632" s="8" t="s">
        <v>8194</v>
      </c>
      <c r="O1632" s="8" t="s">
        <v>1018</v>
      </c>
      <c r="P1632" s="8" t="s">
        <v>405</v>
      </c>
      <c r="Q1632" s="12" t="s">
        <v>8195</v>
      </c>
      <c r="R1632" s="8" t="s">
        <v>100</v>
      </c>
      <c r="S1632" s="7" t="s">
        <v>383</v>
      </c>
      <c r="T1632" s="6"/>
      <c r="U1632" s="8"/>
    </row>
    <row r="1633" spans="1:34" ht="13.5" customHeight="1">
      <c r="A1633" s="8" t="s">
        <v>8183</v>
      </c>
      <c r="B1633" s="16">
        <v>26</v>
      </c>
      <c r="C1633" s="8" t="s">
        <v>20</v>
      </c>
      <c r="D1633" s="8" t="s">
        <v>85</v>
      </c>
      <c r="E1633" s="8" t="s">
        <v>8184</v>
      </c>
      <c r="F1633" s="17">
        <v>41857</v>
      </c>
      <c r="G1633" s="8" t="s">
        <v>8185</v>
      </c>
      <c r="H1633" s="8" t="s">
        <v>686</v>
      </c>
      <c r="I1633" s="8" t="s">
        <v>45</v>
      </c>
      <c r="J1633" s="16" t="s">
        <v>8186</v>
      </c>
      <c r="K1633" s="2" t="s">
        <v>687</v>
      </c>
      <c r="L1633" s="8" t="s">
        <v>688</v>
      </c>
      <c r="M1633" s="8" t="s">
        <v>27</v>
      </c>
      <c r="N1633" s="8" t="s">
        <v>8187</v>
      </c>
      <c r="O1633" s="8" t="s">
        <v>554</v>
      </c>
      <c r="P1633" s="8" t="s">
        <v>405</v>
      </c>
      <c r="Q1633" s="12" t="s">
        <v>8188</v>
      </c>
      <c r="R1633" s="8" t="s">
        <v>29</v>
      </c>
      <c r="S1633" s="7" t="s">
        <v>18</v>
      </c>
      <c r="T1633" s="6"/>
      <c r="U1633" s="8"/>
      <c r="Y1633" s="8"/>
      <c r="Z1633" s="8"/>
      <c r="AA1633" s="8"/>
      <c r="AB1633" s="8"/>
      <c r="AC1633" s="8"/>
      <c r="AD1633" s="8"/>
      <c r="AE1633" s="8"/>
      <c r="AF1633" s="8"/>
      <c r="AG1633" s="8"/>
      <c r="AH1633" s="8"/>
    </row>
    <row r="1634" spans="1:34" ht="13.5" customHeight="1">
      <c r="A1634" s="8" t="s">
        <v>8196</v>
      </c>
      <c r="B1634" s="16">
        <v>19</v>
      </c>
      <c r="C1634" s="8" t="s">
        <v>20</v>
      </c>
      <c r="D1634" s="8" t="s">
        <v>85</v>
      </c>
      <c r="E1634" s="8" t="s">
        <v>8197</v>
      </c>
      <c r="F1634" s="17">
        <v>41856</v>
      </c>
      <c r="G1634" s="8" t="s">
        <v>8198</v>
      </c>
      <c r="H1634" s="8" t="s">
        <v>2513</v>
      </c>
      <c r="I1634" s="8" t="s">
        <v>399</v>
      </c>
      <c r="J1634" s="16" t="s">
        <v>4203</v>
      </c>
      <c r="K1634" s="2" t="s">
        <v>2513</v>
      </c>
      <c r="L1634" s="8" t="s">
        <v>3419</v>
      </c>
      <c r="M1634" s="8" t="s">
        <v>27</v>
      </c>
      <c r="N1634" s="8" t="s">
        <v>8199</v>
      </c>
      <c r="O1634" s="8" t="s">
        <v>1804</v>
      </c>
      <c r="P1634" s="8" t="s">
        <v>1171</v>
      </c>
      <c r="Q1634" s="12" t="s">
        <v>8200</v>
      </c>
      <c r="R1634" s="8" t="s">
        <v>100</v>
      </c>
      <c r="S1634" s="7" t="s">
        <v>18</v>
      </c>
      <c r="T1634" s="6"/>
      <c r="U1634" s="8"/>
    </row>
    <row r="1635" spans="1:34" ht="13.5" customHeight="1">
      <c r="A1635" s="8" t="s">
        <v>8230</v>
      </c>
      <c r="B1635" s="16">
        <v>40</v>
      </c>
      <c r="C1635" s="8" t="s">
        <v>20</v>
      </c>
      <c r="D1635" s="8" t="s">
        <v>30</v>
      </c>
      <c r="F1635" s="17">
        <v>41856</v>
      </c>
      <c r="G1635" s="8" t="s">
        <v>8231</v>
      </c>
      <c r="H1635" s="8" t="s">
        <v>2838</v>
      </c>
      <c r="I1635" s="8" t="s">
        <v>62</v>
      </c>
      <c r="J1635" s="16" t="s">
        <v>2839</v>
      </c>
      <c r="K1635" s="2" t="s">
        <v>2840</v>
      </c>
      <c r="L1635" s="8" t="s">
        <v>8232</v>
      </c>
      <c r="M1635" s="8" t="s">
        <v>27</v>
      </c>
      <c r="N1635" s="8" t="s">
        <v>8233</v>
      </c>
      <c r="O1635" s="8" t="s">
        <v>1018</v>
      </c>
      <c r="P1635" s="8" t="s">
        <v>405</v>
      </c>
      <c r="Q1635" s="12" t="str">
        <f>HYPERLINK("http://www.newsherald.com/news/crime-public-safety/man-shot-during-standoff-dies-1.357594","http://www.newsherald.com/news/crime-public-safety/man-shot-during-standoff-dies-1.357594")</f>
        <v>http://www.newsherald.com/news/crime-public-safety/man-shot-during-standoff-dies-1.357594</v>
      </c>
      <c r="R1635" s="8" t="s">
        <v>100</v>
      </c>
      <c r="S1635" s="7" t="s">
        <v>28</v>
      </c>
      <c r="T1635" s="6"/>
      <c r="U1635" s="8"/>
    </row>
    <row r="1636" spans="1:34" ht="13.5" customHeight="1">
      <c r="A1636" s="8" t="s">
        <v>8214</v>
      </c>
      <c r="B1636" s="16">
        <v>35</v>
      </c>
      <c r="C1636" s="8" t="s">
        <v>20</v>
      </c>
      <c r="D1636" s="8" t="s">
        <v>85</v>
      </c>
      <c r="E1636" s="8" t="s">
        <v>8215</v>
      </c>
      <c r="F1636" s="17">
        <v>41856</v>
      </c>
      <c r="G1636" s="8" t="s">
        <v>8216</v>
      </c>
      <c r="H1636" s="8" t="s">
        <v>8217</v>
      </c>
      <c r="I1636" s="8" t="s">
        <v>62</v>
      </c>
      <c r="J1636" s="16" t="s">
        <v>8218</v>
      </c>
      <c r="K1636" s="2" t="s">
        <v>163</v>
      </c>
      <c r="L1636" s="8" t="s">
        <v>164</v>
      </c>
      <c r="M1636" s="8" t="s">
        <v>27</v>
      </c>
      <c r="N1636" s="8" t="s">
        <v>8219</v>
      </c>
      <c r="O1636" s="8" t="s">
        <v>1018</v>
      </c>
      <c r="P1636" s="8" t="s">
        <v>405</v>
      </c>
      <c r="Q1636" s="12" t="str">
        <f>HYPERLINK("http://www.local10.com/news/1-killed-in-policeinvolved-shooting-in-miami-springs/26847256","http://www.local10.com/news/1-killed-in-policeinvolved-shooting-in-miami-springs/26847256")</f>
        <v>http://www.local10.com/news/1-killed-in-policeinvolved-shooting-in-miami-springs/26847256</v>
      </c>
      <c r="R1636" s="8" t="s">
        <v>29</v>
      </c>
      <c r="S1636" s="7" t="s">
        <v>18</v>
      </c>
      <c r="T1636" s="6"/>
      <c r="U1636" s="8"/>
    </row>
    <row r="1637" spans="1:34" ht="13.5" customHeight="1">
      <c r="A1637" s="8" t="s">
        <v>8220</v>
      </c>
      <c r="B1637" s="16">
        <v>37</v>
      </c>
      <c r="C1637" s="8" t="s">
        <v>20</v>
      </c>
      <c r="D1637" s="8" t="s">
        <v>85</v>
      </c>
      <c r="F1637" s="17">
        <v>41856</v>
      </c>
      <c r="G1637" s="8" t="s">
        <v>8221</v>
      </c>
      <c r="H1637" s="8" t="s">
        <v>551</v>
      </c>
      <c r="I1637" s="8" t="s">
        <v>69</v>
      </c>
      <c r="J1637" s="16" t="s">
        <v>8222</v>
      </c>
      <c r="K1637" s="2" t="s">
        <v>552</v>
      </c>
      <c r="L1637" s="8" t="s">
        <v>553</v>
      </c>
      <c r="M1637" s="8" t="s">
        <v>27</v>
      </c>
      <c r="N1637" s="8" t="s">
        <v>8223</v>
      </c>
      <c r="O1637" s="8" t="s">
        <v>1018</v>
      </c>
      <c r="P1637" s="8" t="s">
        <v>405</v>
      </c>
      <c r="Q1637" s="12"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1637" s="8" t="s">
        <v>100</v>
      </c>
      <c r="S1637" s="7" t="s">
        <v>28</v>
      </c>
      <c r="T1637" s="6"/>
      <c r="U1637" s="8"/>
    </row>
    <row r="1638" spans="1:34" ht="13.5" customHeight="1">
      <c r="A1638" s="8" t="s">
        <v>8224</v>
      </c>
      <c r="B1638" s="16">
        <v>55</v>
      </c>
      <c r="C1638" s="8" t="s">
        <v>20</v>
      </c>
      <c r="D1638" s="8" t="s">
        <v>30</v>
      </c>
      <c r="F1638" s="17">
        <v>41856</v>
      </c>
      <c r="G1638" s="8" t="s">
        <v>8225</v>
      </c>
      <c r="H1638" s="8" t="s">
        <v>6645</v>
      </c>
      <c r="I1638" s="8" t="s">
        <v>247</v>
      </c>
      <c r="J1638" s="16" t="s">
        <v>8226</v>
      </c>
      <c r="K1638" s="2" t="s">
        <v>119</v>
      </c>
      <c r="L1638" s="8" t="s">
        <v>8227</v>
      </c>
      <c r="M1638" s="8" t="s">
        <v>27</v>
      </c>
      <c r="N1638" s="8" t="s">
        <v>8228</v>
      </c>
      <c r="O1638" s="8" t="s">
        <v>554</v>
      </c>
      <c r="P1638" s="8" t="s">
        <v>405</v>
      </c>
      <c r="Q1638" s="12" t="s">
        <v>8229</v>
      </c>
      <c r="R1638" s="8" t="s">
        <v>29</v>
      </c>
      <c r="S1638" s="7" t="s">
        <v>28</v>
      </c>
      <c r="T1638" s="6"/>
      <c r="U1638" s="8"/>
    </row>
    <row r="1639" spans="1:34" ht="13.5" customHeight="1">
      <c r="A1639" s="8" t="s">
        <v>8201</v>
      </c>
      <c r="B1639" s="16">
        <v>22</v>
      </c>
      <c r="C1639" s="8" t="s">
        <v>20</v>
      </c>
      <c r="D1639" s="8" t="s">
        <v>85</v>
      </c>
      <c r="E1639" s="8" t="s">
        <v>8202</v>
      </c>
      <c r="F1639" s="17">
        <v>41856</v>
      </c>
      <c r="G1639" s="8" t="s">
        <v>8203</v>
      </c>
      <c r="H1639" s="8" t="s">
        <v>8204</v>
      </c>
      <c r="I1639" s="8" t="s">
        <v>69</v>
      </c>
      <c r="J1639" s="16" t="s">
        <v>8205</v>
      </c>
      <c r="K1639" s="2" t="s">
        <v>5008</v>
      </c>
      <c r="L1639" s="8" t="s">
        <v>8206</v>
      </c>
      <c r="M1639" s="8" t="s">
        <v>27</v>
      </c>
      <c r="N1639" s="8" t="s">
        <v>8207</v>
      </c>
      <c r="O1639" s="8" t="s">
        <v>554</v>
      </c>
      <c r="P1639" s="8" t="s">
        <v>405</v>
      </c>
      <c r="Q1639" s="12" t="s">
        <v>8208</v>
      </c>
      <c r="R1639" s="8" t="s">
        <v>100</v>
      </c>
      <c r="S1639" s="7" t="s">
        <v>18</v>
      </c>
      <c r="T1639" s="6"/>
      <c r="U1639" s="8"/>
    </row>
    <row r="1640" spans="1:34" ht="13.5" customHeight="1">
      <c r="A1640" s="8" t="s">
        <v>8209</v>
      </c>
      <c r="B1640" s="16">
        <v>38</v>
      </c>
      <c r="C1640" s="8" t="s">
        <v>20</v>
      </c>
      <c r="D1640" s="8" t="s">
        <v>85</v>
      </c>
      <c r="E1640" s="8" t="s">
        <v>8210</v>
      </c>
      <c r="F1640" s="17">
        <v>41856</v>
      </c>
      <c r="G1640" s="8" t="s">
        <v>8211</v>
      </c>
      <c r="H1640" s="8" t="s">
        <v>1608</v>
      </c>
      <c r="I1640" s="8" t="s">
        <v>52</v>
      </c>
      <c r="J1640" s="16" t="s">
        <v>4754</v>
      </c>
      <c r="K1640" s="2" t="s">
        <v>4755</v>
      </c>
      <c r="L1640" s="8" t="s">
        <v>2799</v>
      </c>
      <c r="M1640" s="8" t="s">
        <v>27</v>
      </c>
      <c r="N1640" s="8" t="s">
        <v>8212</v>
      </c>
      <c r="P1640" s="8" t="s">
        <v>405</v>
      </c>
      <c r="Q1640" s="12" t="s">
        <v>8213</v>
      </c>
      <c r="R1640" s="8" t="s">
        <v>100</v>
      </c>
      <c r="S1640" s="7" t="s">
        <v>18</v>
      </c>
      <c r="T1640" s="6"/>
      <c r="U1640" s="8"/>
    </row>
    <row r="1641" spans="1:34" ht="13.5" customHeight="1">
      <c r="A1641" s="8" t="s">
        <v>8234</v>
      </c>
      <c r="B1641" s="16">
        <v>17</v>
      </c>
      <c r="C1641" s="8" t="s">
        <v>20</v>
      </c>
      <c r="D1641" s="8" t="s">
        <v>85</v>
      </c>
      <c r="E1641" s="8" t="s">
        <v>8235</v>
      </c>
      <c r="F1641" s="17">
        <v>41855</v>
      </c>
      <c r="G1641" s="8" t="s">
        <v>8236</v>
      </c>
      <c r="H1641" s="8" t="s">
        <v>119</v>
      </c>
      <c r="I1641" s="8" t="s">
        <v>3709</v>
      </c>
      <c r="J1641" s="16" t="s">
        <v>8237</v>
      </c>
      <c r="K1641" s="2" t="s">
        <v>3711</v>
      </c>
      <c r="L1641" s="8" t="s">
        <v>19944</v>
      </c>
      <c r="M1641" s="8" t="s">
        <v>383</v>
      </c>
      <c r="N1641" s="8" t="s">
        <v>8238</v>
      </c>
      <c r="O1641" s="8" t="s">
        <v>1018</v>
      </c>
      <c r="P1641" s="8" t="s">
        <v>405</v>
      </c>
      <c r="Q1641" s="12" t="s">
        <v>8239</v>
      </c>
      <c r="R1641" s="8" t="s">
        <v>100</v>
      </c>
      <c r="S1641" s="7" t="s">
        <v>18</v>
      </c>
      <c r="T1641" s="6"/>
      <c r="U1641" s="8"/>
    </row>
    <row r="1642" spans="1:34" ht="13.5" customHeight="1">
      <c r="A1642" s="8" t="s">
        <v>8240</v>
      </c>
      <c r="B1642" s="16">
        <v>28</v>
      </c>
      <c r="C1642" s="8" t="s">
        <v>20</v>
      </c>
      <c r="D1642" s="8" t="s">
        <v>48</v>
      </c>
      <c r="E1642" s="8" t="s">
        <v>8241</v>
      </c>
      <c r="F1642" s="17">
        <v>41855</v>
      </c>
      <c r="G1642" s="8" t="s">
        <v>8242</v>
      </c>
      <c r="H1642" s="8" t="s">
        <v>930</v>
      </c>
      <c r="I1642" s="8" t="s">
        <v>198</v>
      </c>
      <c r="J1642" s="16" t="s">
        <v>5492</v>
      </c>
      <c r="K1642" s="2" t="s">
        <v>471</v>
      </c>
      <c r="L1642" s="8" t="s">
        <v>8243</v>
      </c>
      <c r="M1642" s="8" t="s">
        <v>27</v>
      </c>
      <c r="N1642" s="8" t="s">
        <v>8244</v>
      </c>
      <c r="O1642" s="8" t="s">
        <v>1018</v>
      </c>
      <c r="P1642" s="8" t="s">
        <v>405</v>
      </c>
      <c r="Q1642" s="12" t="s">
        <v>8245</v>
      </c>
      <c r="R1642" s="8" t="s">
        <v>100</v>
      </c>
      <c r="S1642" s="7" t="s">
        <v>383</v>
      </c>
      <c r="T1642" s="6"/>
      <c r="U1642" s="8"/>
    </row>
    <row r="1643" spans="1:34" ht="13.5" customHeight="1">
      <c r="A1643" s="8" t="s">
        <v>8269</v>
      </c>
      <c r="B1643" s="16">
        <v>19</v>
      </c>
      <c r="C1643" s="8" t="s">
        <v>20</v>
      </c>
      <c r="D1643" s="8" t="s">
        <v>37</v>
      </c>
      <c r="E1643" s="8"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1643" s="17">
        <v>41854</v>
      </c>
      <c r="G1643" s="8" t="s">
        <v>8270</v>
      </c>
      <c r="H1643" s="8" t="s">
        <v>657</v>
      </c>
      <c r="I1643" s="8" t="s">
        <v>62</v>
      </c>
      <c r="J1643" s="16" t="s">
        <v>8271</v>
      </c>
      <c r="K1643" s="2" t="s">
        <v>658</v>
      </c>
      <c r="L1643" s="8" t="s">
        <v>659</v>
      </c>
      <c r="M1643" s="8" t="s">
        <v>383</v>
      </c>
      <c r="N1643" s="8" t="s">
        <v>8272</v>
      </c>
      <c r="O1643" s="8" t="s">
        <v>1018</v>
      </c>
      <c r="P1643" s="8" t="s">
        <v>405</v>
      </c>
      <c r="Q1643" s="12" t="s">
        <v>8273</v>
      </c>
      <c r="R1643" s="8" t="s">
        <v>100</v>
      </c>
      <c r="S1643" s="7" t="s">
        <v>383</v>
      </c>
      <c r="T1643" s="6"/>
      <c r="U1643" s="8"/>
    </row>
    <row r="1644" spans="1:34" ht="13.5" customHeight="1">
      <c r="A1644" s="8" t="s">
        <v>8251</v>
      </c>
      <c r="B1644" s="16">
        <v>23</v>
      </c>
      <c r="C1644" s="8" t="s">
        <v>20</v>
      </c>
      <c r="D1644" s="8" t="s">
        <v>85</v>
      </c>
      <c r="E1644" s="8" t="s">
        <v>8252</v>
      </c>
      <c r="F1644" s="17">
        <v>41854</v>
      </c>
      <c r="G1644" s="8" t="s">
        <v>8253</v>
      </c>
      <c r="H1644" s="8" t="s">
        <v>607</v>
      </c>
      <c r="I1644" s="8" t="s">
        <v>45</v>
      </c>
      <c r="J1644" s="16" t="s">
        <v>5663</v>
      </c>
      <c r="K1644" s="2" t="s">
        <v>608</v>
      </c>
      <c r="L1644" s="8" t="s">
        <v>252</v>
      </c>
      <c r="M1644" s="8" t="s">
        <v>27</v>
      </c>
      <c r="N1644" s="8" t="s">
        <v>8254</v>
      </c>
      <c r="O1644" s="8" t="s">
        <v>1018</v>
      </c>
      <c r="P1644" s="8" t="s">
        <v>405</v>
      </c>
      <c r="Q1644" s="12" t="s">
        <v>8255</v>
      </c>
      <c r="R1644" s="8" t="s">
        <v>100</v>
      </c>
      <c r="S1644" s="7" t="s">
        <v>18</v>
      </c>
      <c r="T1644" s="6"/>
      <c r="U1644" s="8"/>
      <c r="Y1644" s="8"/>
      <c r="Z1644" s="8"/>
      <c r="AA1644" s="8"/>
      <c r="AB1644" s="8"/>
      <c r="AC1644" s="8"/>
      <c r="AD1644" s="8"/>
      <c r="AE1644" s="8"/>
      <c r="AF1644" s="8"/>
      <c r="AG1644" s="8"/>
      <c r="AH1644" s="8"/>
    </row>
    <row r="1645" spans="1:34" ht="13.5" customHeight="1">
      <c r="A1645" s="8" t="s">
        <v>8279</v>
      </c>
      <c r="B1645" s="16">
        <v>49</v>
      </c>
      <c r="C1645" s="8" t="s">
        <v>20</v>
      </c>
      <c r="D1645" s="8" t="s">
        <v>37</v>
      </c>
      <c r="E1645" s="8" t="s">
        <v>8280</v>
      </c>
      <c r="F1645" s="17">
        <v>41854</v>
      </c>
      <c r="G1645" s="8" t="s">
        <v>8281</v>
      </c>
      <c r="H1645" s="8" t="s">
        <v>8282</v>
      </c>
      <c r="I1645" s="8" t="s">
        <v>4424</v>
      </c>
      <c r="J1645" s="16" t="s">
        <v>8283</v>
      </c>
      <c r="K1645" s="2" t="s">
        <v>7068</v>
      </c>
      <c r="L1645" s="8" t="s">
        <v>4427</v>
      </c>
      <c r="M1645" s="8" t="s">
        <v>27</v>
      </c>
      <c r="N1645" s="8" t="s">
        <v>8284</v>
      </c>
      <c r="O1645" s="8" t="s">
        <v>1018</v>
      </c>
      <c r="P1645" s="8" t="s">
        <v>405</v>
      </c>
      <c r="Q1645" s="12"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1645" s="8" t="s">
        <v>100</v>
      </c>
      <c r="S1645" s="7" t="s">
        <v>28</v>
      </c>
      <c r="T1645" s="6"/>
      <c r="U1645" s="8"/>
    </row>
    <row r="1646" spans="1:34" ht="13.5" customHeight="1">
      <c r="A1646" s="8" t="s">
        <v>8256</v>
      </c>
      <c r="B1646" s="16">
        <v>42</v>
      </c>
      <c r="C1646" s="8" t="s">
        <v>115</v>
      </c>
      <c r="D1646" s="8" t="s">
        <v>48</v>
      </c>
      <c r="E1646" s="8" t="s">
        <v>8257</v>
      </c>
      <c r="F1646" s="17">
        <v>41854</v>
      </c>
      <c r="G1646" s="8" t="s">
        <v>8258</v>
      </c>
      <c r="H1646" s="8" t="s">
        <v>686</v>
      </c>
      <c r="I1646" s="8" t="s">
        <v>45</v>
      </c>
      <c r="J1646" s="16" t="s">
        <v>8186</v>
      </c>
      <c r="K1646" s="2" t="s">
        <v>687</v>
      </c>
      <c r="L1646" s="8" t="s">
        <v>755</v>
      </c>
      <c r="M1646" s="8" t="s">
        <v>27</v>
      </c>
      <c r="N1646" s="8" t="s">
        <v>8259</v>
      </c>
      <c r="P1646" s="8" t="s">
        <v>405</v>
      </c>
      <c r="Q1646" s="12" t="s">
        <v>8260</v>
      </c>
      <c r="R1646" s="8" t="s">
        <v>29</v>
      </c>
      <c r="S1646" s="7" t="s">
        <v>18</v>
      </c>
      <c r="T1646" s="6"/>
      <c r="U1646" s="8"/>
    </row>
    <row r="1647" spans="1:34" ht="13.5" customHeight="1">
      <c r="A1647" s="8" t="s">
        <v>8261</v>
      </c>
      <c r="B1647" s="16">
        <v>27</v>
      </c>
      <c r="C1647" s="8" t="s">
        <v>20</v>
      </c>
      <c r="D1647" s="8" t="s">
        <v>37</v>
      </c>
      <c r="E1647" s="8" t="s">
        <v>8262</v>
      </c>
      <c r="F1647" s="17">
        <v>41854</v>
      </c>
      <c r="G1647" s="8" t="s">
        <v>8263</v>
      </c>
      <c r="H1647" s="8" t="s">
        <v>8264</v>
      </c>
      <c r="I1647" s="8" t="s">
        <v>374</v>
      </c>
      <c r="J1647" s="16" t="s">
        <v>8265</v>
      </c>
      <c r="K1647" s="2" t="s">
        <v>5608</v>
      </c>
      <c r="L1647" s="8" t="s">
        <v>8266</v>
      </c>
      <c r="M1647" s="8" t="s">
        <v>27</v>
      </c>
      <c r="N1647" s="8" t="s">
        <v>8267</v>
      </c>
      <c r="O1647" s="8" t="s">
        <v>1018</v>
      </c>
      <c r="P1647" s="8" t="s">
        <v>405</v>
      </c>
      <c r="Q1647" s="12" t="s">
        <v>8268</v>
      </c>
      <c r="R1647" s="8" t="s">
        <v>100</v>
      </c>
      <c r="S1647" s="7" t="s">
        <v>28</v>
      </c>
      <c r="T1647" s="6"/>
      <c r="U1647" s="8"/>
    </row>
    <row r="1648" spans="1:34" ht="13.5" customHeight="1">
      <c r="A1648" s="8" t="s">
        <v>8274</v>
      </c>
      <c r="B1648" s="16">
        <v>49</v>
      </c>
      <c r="C1648" s="8" t="s">
        <v>20</v>
      </c>
      <c r="D1648" s="8" t="s">
        <v>37</v>
      </c>
      <c r="E1648" s="8" t="s">
        <v>8275</v>
      </c>
      <c r="F1648" s="17">
        <v>41854</v>
      </c>
      <c r="G1648" s="8" t="s">
        <v>8276</v>
      </c>
      <c r="H1648" s="8" t="s">
        <v>731</v>
      </c>
      <c r="I1648" s="8" t="s">
        <v>73</v>
      </c>
      <c r="J1648" s="16">
        <v>77041</v>
      </c>
      <c r="K1648" s="2" t="s">
        <v>562</v>
      </c>
      <c r="L1648" s="8" t="s">
        <v>563</v>
      </c>
      <c r="M1648" s="8" t="s">
        <v>27</v>
      </c>
      <c r="N1648" s="8" t="s">
        <v>8277</v>
      </c>
      <c r="O1648" s="8" t="s">
        <v>1018</v>
      </c>
      <c r="P1648" s="8" t="s">
        <v>405</v>
      </c>
      <c r="Q1648" s="12" t="s">
        <v>8278</v>
      </c>
      <c r="S1648" s="7" t="s">
        <v>28</v>
      </c>
      <c r="T1648" s="6"/>
      <c r="U1648" s="8"/>
    </row>
    <row r="1649" spans="1:39" ht="13.5" customHeight="1">
      <c r="A1649" s="8" t="s">
        <v>8246</v>
      </c>
      <c r="B1649" s="16">
        <v>20</v>
      </c>
      <c r="C1649" s="8" t="s">
        <v>20</v>
      </c>
      <c r="D1649" s="8" t="s">
        <v>21</v>
      </c>
      <c r="F1649" s="17">
        <v>41854</v>
      </c>
      <c r="G1649" s="8" t="s">
        <v>8247</v>
      </c>
      <c r="H1649" s="8" t="s">
        <v>3637</v>
      </c>
      <c r="I1649" s="8" t="s">
        <v>135</v>
      </c>
      <c r="J1649" s="16" t="s">
        <v>8248</v>
      </c>
      <c r="K1649" s="2" t="s">
        <v>3639</v>
      </c>
      <c r="L1649" s="8" t="s">
        <v>4976</v>
      </c>
      <c r="M1649" s="8" t="s">
        <v>27</v>
      </c>
      <c r="N1649" s="8" t="s">
        <v>8249</v>
      </c>
      <c r="O1649" s="8" t="s">
        <v>1018</v>
      </c>
      <c r="P1649" s="8" t="s">
        <v>405</v>
      </c>
      <c r="Q1649" s="12" t="s">
        <v>8250</v>
      </c>
      <c r="R1649" s="8" t="s">
        <v>100</v>
      </c>
      <c r="S1649" s="7" t="s">
        <v>28</v>
      </c>
      <c r="T1649" s="6"/>
      <c r="U1649" s="8"/>
      <c r="AI1649" s="8"/>
      <c r="AJ1649" s="8"/>
      <c r="AK1649" s="8"/>
      <c r="AL1649" s="8"/>
      <c r="AM1649" s="8"/>
    </row>
    <row r="1650" spans="1:39" ht="13.5" customHeight="1">
      <c r="A1650" s="8" t="s">
        <v>8290</v>
      </c>
      <c r="B1650" s="16">
        <v>24</v>
      </c>
      <c r="C1650" s="8" t="s">
        <v>20</v>
      </c>
      <c r="D1650" s="8" t="s">
        <v>48</v>
      </c>
      <c r="E1650" s="8" t="s">
        <v>8291</v>
      </c>
      <c r="F1650" s="17">
        <v>41853</v>
      </c>
      <c r="G1650" s="8" t="s">
        <v>8292</v>
      </c>
      <c r="H1650" s="8" t="s">
        <v>8293</v>
      </c>
      <c r="I1650" s="8" t="s">
        <v>45</v>
      </c>
      <c r="J1650" s="16" t="s">
        <v>8294</v>
      </c>
      <c r="K1650" s="2" t="s">
        <v>98</v>
      </c>
      <c r="L1650" s="8" t="s">
        <v>418</v>
      </c>
      <c r="M1650" s="8" t="s">
        <v>27</v>
      </c>
      <c r="N1650" s="8" t="s">
        <v>8295</v>
      </c>
      <c r="O1650" s="8" t="s">
        <v>1018</v>
      </c>
      <c r="P1650" s="8" t="s">
        <v>405</v>
      </c>
      <c r="Q1650" s="12" t="s">
        <v>8296</v>
      </c>
      <c r="R1650" s="8" t="s">
        <v>100</v>
      </c>
      <c r="S1650" s="7" t="s">
        <v>28</v>
      </c>
      <c r="T1650" s="6"/>
      <c r="U1650" s="8"/>
    </row>
    <row r="1651" spans="1:39" ht="13.5" customHeight="1">
      <c r="A1651" s="8" t="s">
        <v>8301</v>
      </c>
      <c r="B1651" s="16">
        <v>28</v>
      </c>
      <c r="C1651" s="8" t="s">
        <v>20</v>
      </c>
      <c r="D1651" s="8" t="s">
        <v>48</v>
      </c>
      <c r="F1651" s="17">
        <v>41853</v>
      </c>
      <c r="G1651" s="8" t="s">
        <v>8302</v>
      </c>
      <c r="H1651" s="8" t="s">
        <v>8303</v>
      </c>
      <c r="I1651" s="8" t="s">
        <v>124</v>
      </c>
      <c r="J1651" s="16" t="s">
        <v>8304</v>
      </c>
      <c r="K1651" s="2" t="s">
        <v>8305</v>
      </c>
      <c r="L1651" s="8" t="s">
        <v>8306</v>
      </c>
      <c r="M1651" s="8" t="s">
        <v>27</v>
      </c>
      <c r="N1651" s="8" t="s">
        <v>8307</v>
      </c>
      <c r="O1651" s="8" t="s">
        <v>1018</v>
      </c>
      <c r="P1651" s="8" t="s">
        <v>405</v>
      </c>
      <c r="Q1651" s="12" t="s">
        <v>8308</v>
      </c>
      <c r="S1651" s="7" t="s">
        <v>28</v>
      </c>
      <c r="T1651" s="6"/>
      <c r="U1651" s="8"/>
    </row>
    <row r="1652" spans="1:39" ht="13.5" customHeight="1">
      <c r="A1652" s="8" t="s">
        <v>8297</v>
      </c>
      <c r="B1652" s="16">
        <v>23</v>
      </c>
      <c r="C1652" s="8" t="s">
        <v>20</v>
      </c>
      <c r="D1652" s="8" t="s">
        <v>48</v>
      </c>
      <c r="F1652" s="17">
        <v>41853</v>
      </c>
      <c r="G1652" s="8" t="s">
        <v>8298</v>
      </c>
      <c r="H1652" s="8" t="s">
        <v>638</v>
      </c>
      <c r="I1652" s="8" t="s">
        <v>124</v>
      </c>
      <c r="J1652" s="16" t="s">
        <v>6244</v>
      </c>
      <c r="K1652" s="2" t="s">
        <v>639</v>
      </c>
      <c r="L1652" s="8" t="s">
        <v>640</v>
      </c>
      <c r="M1652" s="8" t="s">
        <v>27</v>
      </c>
      <c r="N1652" s="8" t="s">
        <v>8299</v>
      </c>
      <c r="O1652" s="8" t="s">
        <v>1018</v>
      </c>
      <c r="P1652" s="8" t="s">
        <v>405</v>
      </c>
      <c r="Q1652" s="12" t="s">
        <v>8300</v>
      </c>
      <c r="R1652" s="8" t="s">
        <v>100</v>
      </c>
      <c r="S1652" s="7" t="s">
        <v>28</v>
      </c>
      <c r="T1652" s="6"/>
      <c r="U1652" s="8"/>
      <c r="V1652" s="8"/>
      <c r="W1652" s="8"/>
      <c r="X1652" s="8"/>
    </row>
    <row r="1653" spans="1:39" ht="13.5" customHeight="1">
      <c r="A1653" s="8" t="s">
        <v>8285</v>
      </c>
      <c r="B1653" s="16">
        <v>37</v>
      </c>
      <c r="C1653" s="8" t="s">
        <v>20</v>
      </c>
      <c r="D1653" s="8" t="s">
        <v>48</v>
      </c>
      <c r="E1653" s="8" t="s">
        <v>8286</v>
      </c>
      <c r="F1653" s="17">
        <v>41853</v>
      </c>
      <c r="G1653" s="8" t="s">
        <v>8287</v>
      </c>
      <c r="H1653" s="8" t="s">
        <v>98</v>
      </c>
      <c r="I1653" s="8" t="s">
        <v>45</v>
      </c>
      <c r="J1653" s="16" t="s">
        <v>8034</v>
      </c>
      <c r="K1653" s="2" t="s">
        <v>98</v>
      </c>
      <c r="L1653" s="8" t="s">
        <v>99</v>
      </c>
      <c r="M1653" s="8" t="s">
        <v>3189</v>
      </c>
      <c r="N1653" s="8" t="s">
        <v>8288</v>
      </c>
      <c r="O1653" s="8" t="s">
        <v>404</v>
      </c>
      <c r="P1653" s="8" t="s">
        <v>405</v>
      </c>
      <c r="Q1653" s="12" t="s">
        <v>8289</v>
      </c>
      <c r="R1653" s="8" t="s">
        <v>559</v>
      </c>
      <c r="S1653" s="7" t="s">
        <v>18</v>
      </c>
      <c r="T1653" s="6"/>
      <c r="U1653" s="8"/>
    </row>
    <row r="1654" spans="1:39" ht="13.5" customHeight="1">
      <c r="A1654" s="8" t="s">
        <v>8309</v>
      </c>
      <c r="B1654" s="16">
        <v>40</v>
      </c>
      <c r="C1654" s="8" t="s">
        <v>20</v>
      </c>
      <c r="D1654" s="8" t="s">
        <v>37</v>
      </c>
      <c r="F1654" s="17">
        <v>41853</v>
      </c>
      <c r="G1654" s="8" t="s">
        <v>8310</v>
      </c>
      <c r="H1654" s="8" t="s">
        <v>1777</v>
      </c>
      <c r="I1654" s="8" t="s">
        <v>45</v>
      </c>
      <c r="J1654" s="16" t="s">
        <v>8311</v>
      </c>
      <c r="K1654" s="2" t="s">
        <v>1779</v>
      </c>
      <c r="L1654" s="8" t="s">
        <v>965</v>
      </c>
      <c r="M1654" s="8" t="s">
        <v>27</v>
      </c>
      <c r="N1654" s="8" t="s">
        <v>8312</v>
      </c>
      <c r="O1654" s="8" t="s">
        <v>1018</v>
      </c>
      <c r="P1654" s="8" t="s">
        <v>405</v>
      </c>
      <c r="Q1654" s="12" t="s">
        <v>8313</v>
      </c>
      <c r="R1654" s="8" t="s">
        <v>100</v>
      </c>
      <c r="S1654" s="7" t="s">
        <v>28</v>
      </c>
      <c r="T1654" s="6"/>
      <c r="U1654" s="8"/>
    </row>
    <row r="1655" spans="1:39" ht="13.5" customHeight="1">
      <c r="A1655" s="8" t="s">
        <v>8332</v>
      </c>
      <c r="B1655" s="16">
        <v>54</v>
      </c>
      <c r="C1655" s="8" t="s">
        <v>20</v>
      </c>
      <c r="D1655" s="8" t="s">
        <v>48</v>
      </c>
      <c r="F1655" s="17">
        <v>41852</v>
      </c>
      <c r="G1655" s="8" t="s">
        <v>8333</v>
      </c>
      <c r="H1655" s="8" t="s">
        <v>497</v>
      </c>
      <c r="I1655" s="8" t="s">
        <v>370</v>
      </c>
      <c r="J1655" s="16" t="s">
        <v>8334</v>
      </c>
      <c r="K1655" s="2" t="s">
        <v>497</v>
      </c>
      <c r="L1655" s="8" t="s">
        <v>499</v>
      </c>
      <c r="M1655" s="8" t="s">
        <v>383</v>
      </c>
      <c r="N1655" s="8" t="s">
        <v>8335</v>
      </c>
      <c r="O1655" s="8" t="s">
        <v>1018</v>
      </c>
      <c r="P1655" s="8" t="s">
        <v>405</v>
      </c>
      <c r="Q1655" s="12" t="s">
        <v>8336</v>
      </c>
      <c r="R1655" s="8" t="s">
        <v>100</v>
      </c>
      <c r="S1655" s="7" t="s">
        <v>28</v>
      </c>
      <c r="T1655" s="6"/>
      <c r="U1655" s="8"/>
    </row>
    <row r="1656" spans="1:39" ht="13.5" customHeight="1">
      <c r="A1656" s="8" t="s">
        <v>8314</v>
      </c>
      <c r="B1656" s="16">
        <v>27</v>
      </c>
      <c r="C1656" s="8" t="s">
        <v>20</v>
      </c>
      <c r="D1656" s="8" t="s">
        <v>85</v>
      </c>
      <c r="F1656" s="17">
        <v>41852</v>
      </c>
      <c r="G1656" s="8" t="s">
        <v>8315</v>
      </c>
      <c r="H1656" s="8" t="s">
        <v>8316</v>
      </c>
      <c r="I1656" s="8" t="s">
        <v>175</v>
      </c>
      <c r="J1656" s="16" t="s">
        <v>8317</v>
      </c>
      <c r="K1656" s="2" t="s">
        <v>1572</v>
      </c>
      <c r="L1656" s="8" t="s">
        <v>8318</v>
      </c>
      <c r="M1656" s="8" t="s">
        <v>27</v>
      </c>
      <c r="N1656" s="8" t="s">
        <v>8319</v>
      </c>
      <c r="O1656" s="8" t="s">
        <v>1018</v>
      </c>
      <c r="P1656" s="8" t="s">
        <v>405</v>
      </c>
      <c r="Q1656" s="12" t="str">
        <f>HYPERLINK("http://www.ajc.com/news/news/police-investigating-shooting-in-east-point/ngsX4/","http://www.ajc.com/news/news/police-investigating-shooting-in-east-point/ngsX4/")</f>
        <v>http://www.ajc.com/news/news/police-investigating-shooting-in-east-point/ngsX4/</v>
      </c>
      <c r="R1656" s="8" t="s">
        <v>100</v>
      </c>
      <c r="S1656" s="7" t="s">
        <v>28</v>
      </c>
      <c r="T1656" s="6"/>
      <c r="U1656" s="8"/>
    </row>
    <row r="1657" spans="1:39" ht="13.5" customHeight="1">
      <c r="A1657" s="8" t="s">
        <v>8320</v>
      </c>
      <c r="B1657" s="16">
        <v>42</v>
      </c>
      <c r="C1657" s="8" t="s">
        <v>20</v>
      </c>
      <c r="D1657" s="8" t="s">
        <v>85</v>
      </c>
      <c r="F1657" s="17">
        <v>41852</v>
      </c>
      <c r="G1657" s="8" t="s">
        <v>8321</v>
      </c>
      <c r="H1657" s="8" t="s">
        <v>8322</v>
      </c>
      <c r="I1657" s="8" t="s">
        <v>81</v>
      </c>
      <c r="J1657" s="16" t="s">
        <v>8323</v>
      </c>
      <c r="K1657" s="2" t="s">
        <v>1520</v>
      </c>
      <c r="L1657" s="8" t="s">
        <v>8324</v>
      </c>
      <c r="M1657" s="8" t="s">
        <v>27</v>
      </c>
      <c r="N1657" s="8" t="s">
        <v>8325</v>
      </c>
      <c r="O1657" s="8" t="s">
        <v>1018</v>
      </c>
      <c r="P1657" s="8" t="s">
        <v>405</v>
      </c>
      <c r="Q1657" s="12" t="s">
        <v>8326</v>
      </c>
      <c r="R1657" s="8" t="s">
        <v>29</v>
      </c>
      <c r="S1657" s="7" t="s">
        <v>35</v>
      </c>
      <c r="T1657" s="6"/>
      <c r="U1657" s="8"/>
    </row>
    <row r="1658" spans="1:39" ht="13.5" customHeight="1">
      <c r="A1658" s="8" t="s">
        <v>8327</v>
      </c>
      <c r="B1658" s="16">
        <v>54</v>
      </c>
      <c r="C1658" s="8" t="s">
        <v>20</v>
      </c>
      <c r="D1658" s="8" t="s">
        <v>48</v>
      </c>
      <c r="E1658" s="8" t="s">
        <v>8328</v>
      </c>
      <c r="F1658" s="17">
        <v>41852</v>
      </c>
      <c r="G1658" s="8" t="s">
        <v>8329</v>
      </c>
      <c r="H1658" s="8" t="s">
        <v>8293</v>
      </c>
      <c r="I1658" s="8" t="s">
        <v>45</v>
      </c>
      <c r="J1658" s="16" t="s">
        <v>8294</v>
      </c>
      <c r="K1658" s="2" t="s">
        <v>98</v>
      </c>
      <c r="L1658" s="8" t="s">
        <v>418</v>
      </c>
      <c r="M1658" s="8" t="s">
        <v>27</v>
      </c>
      <c r="N1658" s="8" t="s">
        <v>8330</v>
      </c>
      <c r="O1658" s="8" t="s">
        <v>1018</v>
      </c>
      <c r="P1658" s="8" t="s">
        <v>405</v>
      </c>
      <c r="Q1658" s="12" t="s">
        <v>8331</v>
      </c>
      <c r="R1658" s="8" t="s">
        <v>100</v>
      </c>
      <c r="S1658" s="7" t="s">
        <v>18</v>
      </c>
      <c r="T1658" s="6"/>
      <c r="U1658" s="8"/>
    </row>
    <row r="1659" spans="1:39" ht="13.5" customHeight="1">
      <c r="A1659" s="8" t="s">
        <v>3288</v>
      </c>
      <c r="B1659" s="16">
        <v>41</v>
      </c>
      <c r="C1659" s="8" t="s">
        <v>20</v>
      </c>
      <c r="D1659" s="8" t="s">
        <v>30</v>
      </c>
      <c r="F1659" s="17">
        <v>41852</v>
      </c>
      <c r="G1659" s="8" t="s">
        <v>8337</v>
      </c>
      <c r="H1659" s="8" t="s">
        <v>1110</v>
      </c>
      <c r="I1659" s="8" t="s">
        <v>408</v>
      </c>
      <c r="J1659" s="16" t="s">
        <v>8338</v>
      </c>
      <c r="K1659" s="2" t="s">
        <v>1110</v>
      </c>
      <c r="L1659" s="8" t="s">
        <v>1111</v>
      </c>
      <c r="M1659" s="8" t="s">
        <v>27</v>
      </c>
      <c r="N1659" s="8" t="s">
        <v>8339</v>
      </c>
      <c r="O1659" s="8" t="s">
        <v>1018</v>
      </c>
      <c r="P1659" s="8" t="s">
        <v>405</v>
      </c>
      <c r="Q1659" s="12" t="s">
        <v>8340</v>
      </c>
      <c r="R1659" s="8" t="s">
        <v>100</v>
      </c>
      <c r="S1659" s="7" t="s">
        <v>28</v>
      </c>
      <c r="T1659" s="6"/>
      <c r="U1659" s="8"/>
    </row>
    <row r="1660" spans="1:39" ht="13.5" customHeight="1">
      <c r="A1660" s="8" t="s">
        <v>8341</v>
      </c>
      <c r="B1660" s="16">
        <v>50</v>
      </c>
      <c r="C1660" s="8" t="s">
        <v>20</v>
      </c>
      <c r="D1660" s="8" t="s">
        <v>37</v>
      </c>
      <c r="E1660" s="8" t="s">
        <v>8342</v>
      </c>
      <c r="F1660" s="17">
        <v>41851</v>
      </c>
      <c r="G1660" s="8" t="s">
        <v>8343</v>
      </c>
      <c r="H1660" s="8" t="s">
        <v>579</v>
      </c>
      <c r="I1660" s="8" t="s">
        <v>73</v>
      </c>
      <c r="J1660" s="16" t="s">
        <v>8344</v>
      </c>
      <c r="K1660" s="2" t="s">
        <v>580</v>
      </c>
      <c r="L1660" s="8" t="s">
        <v>581</v>
      </c>
      <c r="M1660" s="8" t="s">
        <v>27</v>
      </c>
      <c r="N1660" s="8" t="s">
        <v>8345</v>
      </c>
      <c r="O1660" s="8" t="s">
        <v>1018</v>
      </c>
      <c r="P1660" s="8" t="s">
        <v>405</v>
      </c>
      <c r="Q1660" s="12" t="s">
        <v>8346</v>
      </c>
      <c r="R1660" s="8" t="s">
        <v>100</v>
      </c>
      <c r="S1660" s="7" t="s">
        <v>28</v>
      </c>
      <c r="T1660" s="6"/>
      <c r="U1660" s="8"/>
    </row>
    <row r="1661" spans="1:39" ht="13.5" customHeight="1">
      <c r="A1661" s="8" t="s">
        <v>8362</v>
      </c>
      <c r="B1661" s="16">
        <v>41</v>
      </c>
      <c r="C1661" s="8" t="s">
        <v>20</v>
      </c>
      <c r="D1661" s="8" t="s">
        <v>37</v>
      </c>
      <c r="E1661" s="8" t="s">
        <v>8363</v>
      </c>
      <c r="F1661" s="17">
        <v>41850</v>
      </c>
      <c r="G1661" s="8" t="s">
        <v>8364</v>
      </c>
      <c r="H1661" s="8" t="s">
        <v>6022</v>
      </c>
      <c r="I1661" s="8" t="s">
        <v>370</v>
      </c>
      <c r="J1661" s="16" t="s">
        <v>8365</v>
      </c>
      <c r="K1661" s="2" t="s">
        <v>3187</v>
      </c>
      <c r="L1661" s="8" t="s">
        <v>6573</v>
      </c>
      <c r="M1661" s="8" t="s">
        <v>27</v>
      </c>
      <c r="N1661" s="8" t="s">
        <v>8366</v>
      </c>
      <c r="O1661" s="8" t="s">
        <v>1018</v>
      </c>
      <c r="P1661" s="8" t="s">
        <v>405</v>
      </c>
      <c r="Q1661" s="12" t="s">
        <v>8367</v>
      </c>
      <c r="R1661" s="8" t="s">
        <v>29</v>
      </c>
      <c r="S1661" s="7" t="s">
        <v>28</v>
      </c>
      <c r="T1661" s="6"/>
      <c r="U1661" s="8"/>
    </row>
    <row r="1662" spans="1:39" ht="13.5" customHeight="1">
      <c r="A1662" s="8" t="s">
        <v>8347</v>
      </c>
      <c r="B1662" s="16">
        <v>32</v>
      </c>
      <c r="C1662" s="8" t="s">
        <v>20</v>
      </c>
      <c r="D1662" s="8" t="s">
        <v>85</v>
      </c>
      <c r="F1662" s="17">
        <v>41850</v>
      </c>
      <c r="G1662" s="8" t="s">
        <v>8348</v>
      </c>
      <c r="H1662" s="8" t="s">
        <v>5357</v>
      </c>
      <c r="I1662" s="8" t="s">
        <v>247</v>
      </c>
      <c r="J1662" s="16" t="s">
        <v>6474</v>
      </c>
      <c r="K1662" s="2" t="s">
        <v>5357</v>
      </c>
      <c r="L1662" s="8" t="s">
        <v>8349</v>
      </c>
      <c r="M1662" s="8" t="s">
        <v>27</v>
      </c>
      <c r="N1662" s="8" t="s">
        <v>8350</v>
      </c>
      <c r="O1662" s="8" t="s">
        <v>554</v>
      </c>
      <c r="P1662" s="8" t="s">
        <v>405</v>
      </c>
      <c r="Q1662" s="12" t="s">
        <v>8351</v>
      </c>
      <c r="R1662" s="8" t="s">
        <v>100</v>
      </c>
      <c r="S1662" s="7" t="s">
        <v>18</v>
      </c>
      <c r="T1662" s="6"/>
      <c r="U1662" s="8"/>
    </row>
    <row r="1663" spans="1:39" ht="13.5" customHeight="1">
      <c r="A1663" s="8" t="s">
        <v>8357</v>
      </c>
      <c r="B1663" s="16">
        <v>42</v>
      </c>
      <c r="C1663" s="8" t="s">
        <v>20</v>
      </c>
      <c r="D1663" s="8" t="s">
        <v>30</v>
      </c>
      <c r="F1663" s="17">
        <v>41850</v>
      </c>
      <c r="G1663" s="8" t="s">
        <v>8358</v>
      </c>
      <c r="H1663" s="8" t="s">
        <v>1220</v>
      </c>
      <c r="I1663" s="8" t="s">
        <v>306</v>
      </c>
      <c r="J1663" s="16" t="s">
        <v>8359</v>
      </c>
      <c r="K1663" s="2" t="s">
        <v>1221</v>
      </c>
      <c r="L1663" s="8" t="s">
        <v>1222</v>
      </c>
      <c r="M1663" s="8" t="s">
        <v>27</v>
      </c>
      <c r="N1663" s="8" t="s">
        <v>8360</v>
      </c>
      <c r="O1663" s="8" t="s">
        <v>29</v>
      </c>
      <c r="P1663" s="8" t="s">
        <v>405</v>
      </c>
      <c r="Q1663" s="12" t="s">
        <v>8361</v>
      </c>
      <c r="R1663" s="8" t="s">
        <v>972</v>
      </c>
      <c r="S1663" s="7" t="s">
        <v>28</v>
      </c>
      <c r="T1663" s="6"/>
      <c r="U1663" s="8"/>
    </row>
    <row r="1664" spans="1:39" ht="13.5" customHeight="1">
      <c r="A1664" s="8" t="s">
        <v>8352</v>
      </c>
      <c r="B1664" s="16">
        <v>52</v>
      </c>
      <c r="C1664" s="8" t="s">
        <v>20</v>
      </c>
      <c r="D1664" s="8" t="s">
        <v>30</v>
      </c>
      <c r="F1664" s="17">
        <v>41850</v>
      </c>
      <c r="G1664" s="8" t="s">
        <v>8353</v>
      </c>
      <c r="H1664" s="8" t="s">
        <v>2388</v>
      </c>
      <c r="I1664" s="8" t="s">
        <v>878</v>
      </c>
      <c r="J1664" s="16" t="s">
        <v>8354</v>
      </c>
      <c r="K1664" s="2" t="s">
        <v>2388</v>
      </c>
      <c r="L1664" s="8" t="s">
        <v>3626</v>
      </c>
      <c r="M1664" s="8" t="s">
        <v>27</v>
      </c>
      <c r="N1664" s="8" t="s">
        <v>8355</v>
      </c>
      <c r="O1664" s="8" t="s">
        <v>404</v>
      </c>
      <c r="P1664" s="8" t="s">
        <v>405</v>
      </c>
      <c r="Q1664" s="12" t="s">
        <v>8356</v>
      </c>
      <c r="R1664" s="8" t="s">
        <v>972</v>
      </c>
      <c r="S1664" s="7" t="s">
        <v>28</v>
      </c>
      <c r="T1664" s="6"/>
      <c r="U1664" s="8"/>
    </row>
    <row r="1665" spans="1:21" ht="13.5" customHeight="1">
      <c r="A1665" s="8" t="s">
        <v>8378</v>
      </c>
      <c r="B1665" s="16">
        <v>34</v>
      </c>
      <c r="C1665" s="8" t="s">
        <v>20</v>
      </c>
      <c r="D1665" s="8" t="s">
        <v>30</v>
      </c>
      <c r="F1665" s="17">
        <v>41849</v>
      </c>
      <c r="G1665" s="8" t="s">
        <v>8379</v>
      </c>
      <c r="H1665" s="8" t="s">
        <v>4406</v>
      </c>
      <c r="I1665" s="8" t="s">
        <v>306</v>
      </c>
      <c r="J1665" s="16" t="s">
        <v>4407</v>
      </c>
      <c r="K1665" s="2" t="s">
        <v>1301</v>
      </c>
      <c r="L1665" s="8" t="s">
        <v>4408</v>
      </c>
      <c r="M1665" s="8" t="s">
        <v>27</v>
      </c>
      <c r="N1665" s="8" t="s">
        <v>8380</v>
      </c>
      <c r="O1665" s="8" t="s">
        <v>1018</v>
      </c>
      <c r="P1665" s="8" t="s">
        <v>405</v>
      </c>
      <c r="Q1665" s="12" t="str">
        <f>HYPERLINK("http://www.tri-cityherald.com/2014/07/29/3083195_pasco-man-with-knife-killed-by.html?rh=1","http://www.tri-cityherald.com/2014/07/29/3083195_pasco-man-with-knife-killed-by.html?rh=1")</f>
        <v>http://www.tri-cityherald.com/2014/07/29/3083195_pasco-man-with-knife-killed-by.html?rh=1</v>
      </c>
      <c r="R1665" s="8" t="s">
        <v>29</v>
      </c>
      <c r="S1665" s="7" t="s">
        <v>28</v>
      </c>
      <c r="T1665" s="6"/>
      <c r="U1665" s="8"/>
    </row>
    <row r="1666" spans="1:21" ht="13.5" customHeight="1">
      <c r="A1666" s="8" t="s">
        <v>8396</v>
      </c>
      <c r="B1666" s="16">
        <v>27</v>
      </c>
      <c r="C1666" s="8" t="s">
        <v>20</v>
      </c>
      <c r="D1666" s="8" t="s">
        <v>37</v>
      </c>
      <c r="E1666" s="8" t="s">
        <v>8397</v>
      </c>
      <c r="F1666" s="17">
        <v>41849</v>
      </c>
      <c r="G1666" s="8" t="s">
        <v>8398</v>
      </c>
      <c r="H1666" s="8" t="s">
        <v>661</v>
      </c>
      <c r="I1666" s="8" t="s">
        <v>272</v>
      </c>
      <c r="J1666" s="16" t="s">
        <v>8399</v>
      </c>
      <c r="K1666" s="2" t="s">
        <v>574</v>
      </c>
      <c r="L1666" s="8" t="s">
        <v>575</v>
      </c>
      <c r="M1666" s="8" t="s">
        <v>27</v>
      </c>
      <c r="N1666" s="8" t="s">
        <v>8400</v>
      </c>
      <c r="O1666" s="8" t="s">
        <v>1018</v>
      </c>
      <c r="P1666" s="8" t="s">
        <v>405</v>
      </c>
      <c r="Q1666" s="12" t="s">
        <v>8401</v>
      </c>
      <c r="R1666" s="8" t="s">
        <v>29</v>
      </c>
      <c r="S1666" s="7" t="s">
        <v>28</v>
      </c>
      <c r="T1666" s="6"/>
      <c r="U1666" s="8"/>
    </row>
    <row r="1667" spans="1:21" ht="13.5" customHeight="1">
      <c r="A1667" s="8" t="s">
        <v>8372</v>
      </c>
      <c r="B1667" s="16">
        <v>36</v>
      </c>
      <c r="C1667" s="8" t="s">
        <v>20</v>
      </c>
      <c r="D1667" s="8" t="s">
        <v>48</v>
      </c>
      <c r="E1667" s="8" t="s">
        <v>8373</v>
      </c>
      <c r="F1667" s="17">
        <v>41849</v>
      </c>
      <c r="H1667" s="8" t="s">
        <v>8374</v>
      </c>
      <c r="I1667" s="8" t="s">
        <v>73</v>
      </c>
      <c r="J1667" s="16">
        <v>77024</v>
      </c>
      <c r="K1667" s="2" t="s">
        <v>562</v>
      </c>
      <c r="L1667" s="8" t="s">
        <v>8375</v>
      </c>
      <c r="M1667" s="8" t="s">
        <v>27</v>
      </c>
      <c r="N1667" s="8" t="s">
        <v>8376</v>
      </c>
      <c r="P1667" s="8" t="s">
        <v>405</v>
      </c>
      <c r="Q1667" s="12" t="s">
        <v>8377</v>
      </c>
      <c r="S1667" s="7" t="s">
        <v>28</v>
      </c>
      <c r="T1667" s="6"/>
      <c r="U1667" s="8"/>
    </row>
    <row r="1668" spans="1:21" ht="13.5" customHeight="1">
      <c r="A1668" s="8" t="s">
        <v>8368</v>
      </c>
      <c r="B1668" s="16">
        <v>51</v>
      </c>
      <c r="C1668" s="8" t="s">
        <v>20</v>
      </c>
      <c r="D1668" s="8" t="s">
        <v>48</v>
      </c>
      <c r="F1668" s="17">
        <v>41849</v>
      </c>
      <c r="G1668" s="8" t="s">
        <v>8369</v>
      </c>
      <c r="H1668" s="8" t="s">
        <v>1290</v>
      </c>
      <c r="I1668" s="8" t="s">
        <v>272</v>
      </c>
      <c r="J1668" s="16" t="s">
        <v>8370</v>
      </c>
      <c r="K1668" s="2" t="s">
        <v>574</v>
      </c>
      <c r="L1668" s="8" t="s">
        <v>1497</v>
      </c>
      <c r="M1668" s="8" t="s">
        <v>27</v>
      </c>
      <c r="N1668" s="8" t="s">
        <v>8371</v>
      </c>
      <c r="O1668" s="8" t="s">
        <v>1018</v>
      </c>
      <c r="P1668" s="8" t="s">
        <v>405</v>
      </c>
      <c r="Q1668" s="12" t="str">
        <f>HYPERLINK("http://www.8newsnow.com/story/26137424/breaking-news-police-investigate-officer-involved-shooting","http://www.8newsnow.com/story/26137424/breaking-news-police-investigate-officer-involved-shooting")</f>
        <v>http://www.8newsnow.com/story/26137424/breaking-news-police-investigate-officer-involved-shooting</v>
      </c>
      <c r="R1668" s="8" t="s">
        <v>100</v>
      </c>
      <c r="S1668" s="7" t="s">
        <v>28</v>
      </c>
      <c r="T1668" s="6"/>
      <c r="U1668" s="8"/>
    </row>
    <row r="1669" spans="1:21" ht="13.5" customHeight="1">
      <c r="A1669" s="8" t="s">
        <v>8381</v>
      </c>
      <c r="B1669" s="16">
        <v>25</v>
      </c>
      <c r="C1669" s="8" t="s">
        <v>20</v>
      </c>
      <c r="D1669" s="8" t="s">
        <v>37</v>
      </c>
      <c r="F1669" s="17">
        <v>41849</v>
      </c>
      <c r="G1669" s="8" t="s">
        <v>8382</v>
      </c>
      <c r="H1669" s="8" t="s">
        <v>8383</v>
      </c>
      <c r="I1669" s="8" t="s">
        <v>44</v>
      </c>
      <c r="J1669" s="16" t="s">
        <v>8384</v>
      </c>
      <c r="K1669" s="2" t="s">
        <v>4236</v>
      </c>
      <c r="L1669" s="8" t="s">
        <v>8385</v>
      </c>
      <c r="M1669" s="8" t="s">
        <v>27</v>
      </c>
      <c r="N1669" s="8" t="s">
        <v>8386</v>
      </c>
      <c r="O1669" s="8" t="s">
        <v>1018</v>
      </c>
      <c r="P1669" s="8" t="s">
        <v>405</v>
      </c>
      <c r="Q1669" s="12" t="s">
        <v>8387</v>
      </c>
      <c r="R1669" s="8" t="s">
        <v>29</v>
      </c>
      <c r="S1669" s="7" t="s">
        <v>28</v>
      </c>
      <c r="T1669" s="6"/>
      <c r="U1669" s="8"/>
    </row>
    <row r="1670" spans="1:21" ht="13.5" customHeight="1">
      <c r="A1670" s="8" t="s">
        <v>8388</v>
      </c>
      <c r="B1670" s="16">
        <v>26</v>
      </c>
      <c r="C1670" s="8" t="s">
        <v>20</v>
      </c>
      <c r="D1670" s="8" t="s">
        <v>37</v>
      </c>
      <c r="E1670" s="8" t="s">
        <v>8389</v>
      </c>
      <c r="F1670" s="17">
        <v>41849</v>
      </c>
      <c r="G1670" s="8" t="s">
        <v>8390</v>
      </c>
      <c r="H1670" s="8" t="s">
        <v>8391</v>
      </c>
      <c r="I1670" s="8" t="s">
        <v>1092</v>
      </c>
      <c r="J1670" s="16" t="s">
        <v>8392</v>
      </c>
      <c r="K1670" s="2" t="s">
        <v>1152</v>
      </c>
      <c r="L1670" s="8" t="s">
        <v>8393</v>
      </c>
      <c r="M1670" s="8" t="s">
        <v>27</v>
      </c>
      <c r="N1670" s="8" t="s">
        <v>8394</v>
      </c>
      <c r="O1670" s="8" t="s">
        <v>1018</v>
      </c>
      <c r="P1670" s="8" t="s">
        <v>405</v>
      </c>
      <c r="Q1670" s="12" t="s">
        <v>8395</v>
      </c>
      <c r="R1670" s="8" t="s">
        <v>100</v>
      </c>
      <c r="S1670" s="7" t="s">
        <v>28</v>
      </c>
      <c r="T1670" s="6"/>
      <c r="U1670" s="8"/>
    </row>
    <row r="1671" spans="1:21" ht="13.5" customHeight="1">
      <c r="A1671" s="8" t="s">
        <v>8415</v>
      </c>
      <c r="B1671" s="16">
        <v>32</v>
      </c>
      <c r="C1671" s="8" t="s">
        <v>20</v>
      </c>
      <c r="D1671" s="8" t="s">
        <v>37</v>
      </c>
      <c r="E1671" s="8" t="s">
        <v>8416</v>
      </c>
      <c r="F1671" s="17">
        <v>41848</v>
      </c>
      <c r="G1671" s="8" t="s">
        <v>8417</v>
      </c>
      <c r="H1671" s="8" t="s">
        <v>762</v>
      </c>
      <c r="I1671" s="8" t="s">
        <v>427</v>
      </c>
      <c r="J1671" s="16" t="s">
        <v>8418</v>
      </c>
      <c r="K1671" s="2" t="s">
        <v>762</v>
      </c>
      <c r="L1671" s="8" t="s">
        <v>586</v>
      </c>
      <c r="M1671" s="8" t="s">
        <v>27</v>
      </c>
      <c r="N1671" s="8" t="s">
        <v>8419</v>
      </c>
      <c r="O1671" s="8" t="s">
        <v>1018</v>
      </c>
      <c r="P1671" s="8" t="s">
        <v>405</v>
      </c>
      <c r="Q1671" s="12" t="s">
        <v>8420</v>
      </c>
      <c r="R1671" s="8" t="s">
        <v>29</v>
      </c>
      <c r="S1671" s="7" t="s">
        <v>28</v>
      </c>
      <c r="T1671" s="6"/>
      <c r="U1671" s="8"/>
    </row>
    <row r="1672" spans="1:21" ht="13.5" customHeight="1">
      <c r="A1672" s="8" t="s">
        <v>8408</v>
      </c>
      <c r="B1672" s="16">
        <v>27</v>
      </c>
      <c r="C1672" s="8" t="s">
        <v>20</v>
      </c>
      <c r="D1672" s="8" t="s">
        <v>85</v>
      </c>
      <c r="E1672" s="8" t="s">
        <v>8409</v>
      </c>
      <c r="F1672" s="17">
        <v>41848</v>
      </c>
      <c r="G1672" s="8" t="s">
        <v>8410</v>
      </c>
      <c r="H1672" s="8" t="s">
        <v>3332</v>
      </c>
      <c r="I1672" s="8" t="s">
        <v>32</v>
      </c>
      <c r="J1672" s="16" t="s">
        <v>8411</v>
      </c>
      <c r="K1672" s="2" t="s">
        <v>3332</v>
      </c>
      <c r="L1672" s="8" t="s">
        <v>8412</v>
      </c>
      <c r="M1672" s="8" t="s">
        <v>27</v>
      </c>
      <c r="N1672" s="8" t="s">
        <v>8413</v>
      </c>
      <c r="O1672" s="8" t="s">
        <v>1018</v>
      </c>
      <c r="P1672" s="8" t="s">
        <v>405</v>
      </c>
      <c r="Q1672" s="12" t="s">
        <v>8414</v>
      </c>
      <c r="R1672" s="8" t="s">
        <v>100</v>
      </c>
      <c r="S1672" s="7" t="s">
        <v>28</v>
      </c>
      <c r="T1672" s="6"/>
      <c r="U1672" s="8"/>
    </row>
    <row r="1673" spans="1:21" ht="13.5" customHeight="1">
      <c r="A1673" s="8" t="s">
        <v>8402</v>
      </c>
      <c r="B1673" s="16">
        <v>53</v>
      </c>
      <c r="C1673" s="8" t="s">
        <v>20</v>
      </c>
      <c r="D1673" s="8" t="s">
        <v>85</v>
      </c>
      <c r="E1673" s="8" t="s">
        <v>8403</v>
      </c>
      <c r="F1673" s="17">
        <v>41848</v>
      </c>
      <c r="G1673" s="8" t="s">
        <v>8404</v>
      </c>
      <c r="H1673" s="8" t="s">
        <v>87</v>
      </c>
      <c r="I1673" s="8" t="s">
        <v>44</v>
      </c>
      <c r="J1673" s="16" t="s">
        <v>8405</v>
      </c>
      <c r="K1673" s="2" t="s">
        <v>88</v>
      </c>
      <c r="L1673" s="8" t="s">
        <v>89</v>
      </c>
      <c r="M1673" s="8" t="s">
        <v>27</v>
      </c>
      <c r="N1673" s="8" t="s">
        <v>8406</v>
      </c>
      <c r="O1673" s="8" t="s">
        <v>1018</v>
      </c>
      <c r="P1673" s="8" t="s">
        <v>405</v>
      </c>
      <c r="Q1673" s="12" t="s">
        <v>8407</v>
      </c>
      <c r="R1673" s="8" t="s">
        <v>29</v>
      </c>
      <c r="S1673" s="7" t="s">
        <v>18</v>
      </c>
      <c r="T1673" s="6"/>
      <c r="U1673" s="8"/>
    </row>
    <row r="1674" spans="1:21" ht="13.5" customHeight="1">
      <c r="A1674" s="8" t="s">
        <v>8438</v>
      </c>
      <c r="B1674" s="16">
        <v>33</v>
      </c>
      <c r="C1674" s="8" t="s">
        <v>20</v>
      </c>
      <c r="D1674" s="8" t="s">
        <v>37</v>
      </c>
      <c r="E1674" s="8" t="s">
        <v>8439</v>
      </c>
      <c r="F1674" s="17">
        <v>41847</v>
      </c>
      <c r="G1674" s="8" t="s">
        <v>8440</v>
      </c>
      <c r="H1674" s="8" t="s">
        <v>8441</v>
      </c>
      <c r="I1674" s="8" t="s">
        <v>73</v>
      </c>
      <c r="J1674" s="16" t="s">
        <v>8442</v>
      </c>
      <c r="K1674" s="2" t="s">
        <v>8443</v>
      </c>
      <c r="L1674" s="8" t="s">
        <v>8444</v>
      </c>
      <c r="M1674" s="8" t="s">
        <v>27</v>
      </c>
      <c r="N1674" s="8" t="s">
        <v>8445</v>
      </c>
      <c r="O1674" s="8" t="s">
        <v>1018</v>
      </c>
      <c r="P1674" s="8" t="s">
        <v>405</v>
      </c>
      <c r="Q1674" s="12" t="s">
        <v>8446</v>
      </c>
      <c r="R1674" s="8" t="s">
        <v>100</v>
      </c>
      <c r="S1674" s="7" t="s">
        <v>35</v>
      </c>
      <c r="T1674" s="6"/>
      <c r="U1674" s="8"/>
    </row>
    <row r="1675" spans="1:21" ht="13.5" customHeight="1">
      <c r="A1675" s="8" t="s">
        <v>8426</v>
      </c>
      <c r="B1675" s="16">
        <v>33</v>
      </c>
      <c r="C1675" s="8" t="s">
        <v>20</v>
      </c>
      <c r="D1675" s="8" t="s">
        <v>37</v>
      </c>
      <c r="E1675" s="8" t="s">
        <v>8427</v>
      </c>
      <c r="F1675" s="17">
        <v>41847</v>
      </c>
      <c r="G1675" s="8" t="s">
        <v>8428</v>
      </c>
      <c r="H1675" s="8" t="s">
        <v>7627</v>
      </c>
      <c r="I1675" s="8" t="s">
        <v>45</v>
      </c>
      <c r="J1675" s="16" t="s">
        <v>8429</v>
      </c>
      <c r="K1675" s="2" t="s">
        <v>7629</v>
      </c>
      <c r="L1675" s="8" t="s">
        <v>7630</v>
      </c>
      <c r="M1675" s="8" t="s">
        <v>8430</v>
      </c>
      <c r="N1675" s="8" t="s">
        <v>8431</v>
      </c>
      <c r="O1675" s="8" t="s">
        <v>404</v>
      </c>
      <c r="P1675" s="8" t="s">
        <v>405</v>
      </c>
      <c r="Q1675" s="12" t="s">
        <v>8432</v>
      </c>
      <c r="R1675" s="8" t="s">
        <v>559</v>
      </c>
      <c r="S1675" s="7" t="s">
        <v>18</v>
      </c>
      <c r="T1675" s="6"/>
      <c r="U1675" s="8"/>
    </row>
    <row r="1676" spans="1:21" ht="13.5" customHeight="1">
      <c r="A1676" s="8" t="s">
        <v>8421</v>
      </c>
      <c r="B1676" s="16">
        <v>57</v>
      </c>
      <c r="C1676" s="8" t="s">
        <v>20</v>
      </c>
      <c r="D1676" s="8" t="s">
        <v>30</v>
      </c>
      <c r="F1676" s="17">
        <v>41847</v>
      </c>
      <c r="G1676" s="8" t="s">
        <v>8422</v>
      </c>
      <c r="H1676" s="8" t="s">
        <v>98</v>
      </c>
      <c r="I1676" s="8" t="s">
        <v>45</v>
      </c>
      <c r="J1676" s="16" t="s">
        <v>8423</v>
      </c>
      <c r="K1676" s="2" t="s">
        <v>98</v>
      </c>
      <c r="L1676" s="8" t="s">
        <v>99</v>
      </c>
      <c r="M1676" s="8" t="s">
        <v>383</v>
      </c>
      <c r="N1676" s="8" t="s">
        <v>8424</v>
      </c>
      <c r="O1676" s="8" t="s">
        <v>1018</v>
      </c>
      <c r="P1676" s="8" t="s">
        <v>405</v>
      </c>
      <c r="Q1676" s="12" t="s">
        <v>8425</v>
      </c>
      <c r="R1676" s="8" t="s">
        <v>29</v>
      </c>
      <c r="S1676" s="7" t="s">
        <v>28</v>
      </c>
      <c r="T1676" s="6"/>
      <c r="U1676" s="8"/>
    </row>
    <row r="1677" spans="1:21" ht="13.5" customHeight="1">
      <c r="A1677" s="8" t="s">
        <v>8433</v>
      </c>
      <c r="B1677" s="16">
        <v>45</v>
      </c>
      <c r="C1677" s="8" t="s">
        <v>20</v>
      </c>
      <c r="D1677" s="8" t="s">
        <v>37</v>
      </c>
      <c r="E1677" s="8" t="s">
        <v>8434</v>
      </c>
      <c r="F1677" s="17">
        <v>41847</v>
      </c>
      <c r="G1677" s="8" t="s">
        <v>8435</v>
      </c>
      <c r="H1677" s="8" t="s">
        <v>391</v>
      </c>
      <c r="I1677" s="8" t="s">
        <v>323</v>
      </c>
      <c r="J1677" s="16" t="s">
        <v>8436</v>
      </c>
      <c r="K1677" s="2" t="s">
        <v>2708</v>
      </c>
      <c r="L1677" s="8" t="s">
        <v>7921</v>
      </c>
      <c r="M1677" s="8" t="s">
        <v>27</v>
      </c>
      <c r="N1677" s="8" t="s">
        <v>8437</v>
      </c>
      <c r="O1677" s="8" t="s">
        <v>1018</v>
      </c>
      <c r="P1677" s="8" t="s">
        <v>405</v>
      </c>
      <c r="Q1677" s="12"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1677" s="8" t="s">
        <v>100</v>
      </c>
      <c r="S1677" s="7" t="s">
        <v>28</v>
      </c>
      <c r="T1677" s="6"/>
      <c r="U1677" s="8"/>
    </row>
    <row r="1678" spans="1:21" ht="13.5" customHeight="1">
      <c r="A1678" s="8" t="s">
        <v>8455</v>
      </c>
      <c r="B1678" s="16">
        <v>95</v>
      </c>
      <c r="C1678" s="8" t="s">
        <v>20</v>
      </c>
      <c r="D1678" s="8" t="s">
        <v>37</v>
      </c>
      <c r="E1678" s="8" t="s">
        <v>8456</v>
      </c>
      <c r="F1678" s="17">
        <v>41846</v>
      </c>
      <c r="G1678" s="8" t="s">
        <v>8457</v>
      </c>
      <c r="H1678" s="8" t="s">
        <v>8458</v>
      </c>
      <c r="I1678" s="8" t="s">
        <v>44</v>
      </c>
      <c r="J1678" s="16" t="s">
        <v>8459</v>
      </c>
      <c r="K1678" s="2" t="s">
        <v>88</v>
      </c>
      <c r="L1678" s="8" t="s">
        <v>8460</v>
      </c>
      <c r="M1678" s="8" t="s">
        <v>8461</v>
      </c>
      <c r="N1678" s="8" t="s">
        <v>8462</v>
      </c>
      <c r="O1678" s="8" t="s">
        <v>7814</v>
      </c>
      <c r="P1678" s="8" t="s">
        <v>7814</v>
      </c>
      <c r="Q1678" s="12" t="s">
        <v>8463</v>
      </c>
      <c r="R1678" s="8" t="s">
        <v>29</v>
      </c>
      <c r="S1678" s="7" t="s">
        <v>28</v>
      </c>
      <c r="T1678" s="6"/>
      <c r="U1678" s="8"/>
    </row>
    <row r="1679" spans="1:21" ht="13.5" customHeight="1">
      <c r="A1679" s="8" t="s">
        <v>8447</v>
      </c>
      <c r="B1679" s="16">
        <v>37</v>
      </c>
      <c r="C1679" s="8" t="s">
        <v>20</v>
      </c>
      <c r="D1679" s="8" t="s">
        <v>85</v>
      </c>
      <c r="F1679" s="17">
        <v>41846</v>
      </c>
      <c r="G1679" s="8" t="s">
        <v>8448</v>
      </c>
      <c r="H1679" s="8" t="s">
        <v>8449</v>
      </c>
      <c r="I1679" s="8" t="s">
        <v>152</v>
      </c>
      <c r="J1679" s="16" t="s">
        <v>8450</v>
      </c>
      <c r="K1679" s="2" t="s">
        <v>8451</v>
      </c>
      <c r="L1679" s="8" t="s">
        <v>8452</v>
      </c>
      <c r="M1679" s="8" t="s">
        <v>27</v>
      </c>
      <c r="N1679" s="8" t="s">
        <v>8453</v>
      </c>
      <c r="O1679" s="8" t="s">
        <v>1018</v>
      </c>
      <c r="P1679" s="8" t="s">
        <v>405</v>
      </c>
      <c r="Q1679" s="12" t="s">
        <v>8454</v>
      </c>
      <c r="R1679" s="8" t="s">
        <v>29</v>
      </c>
      <c r="S1679" s="7" t="s">
        <v>28</v>
      </c>
      <c r="T1679" s="6"/>
      <c r="U1679" s="8"/>
    </row>
    <row r="1680" spans="1:21" ht="13.5" customHeight="1">
      <c r="A1680" s="8" t="s">
        <v>8464</v>
      </c>
      <c r="B1680" s="16">
        <v>33</v>
      </c>
      <c r="C1680" s="8" t="s">
        <v>20</v>
      </c>
      <c r="D1680" s="8" t="s">
        <v>48</v>
      </c>
      <c r="F1680" s="17">
        <v>41845</v>
      </c>
      <c r="G1680" s="8" t="s">
        <v>8465</v>
      </c>
      <c r="H1680" s="8" t="s">
        <v>6226</v>
      </c>
      <c r="I1680" s="8" t="s">
        <v>45</v>
      </c>
      <c r="J1680" s="16" t="s">
        <v>6227</v>
      </c>
      <c r="K1680" s="2" t="s">
        <v>98</v>
      </c>
      <c r="L1680" s="8" t="s">
        <v>99</v>
      </c>
      <c r="M1680" s="8" t="s">
        <v>27</v>
      </c>
      <c r="N1680" s="8" t="s">
        <v>8466</v>
      </c>
      <c r="O1680" s="8" t="s">
        <v>1018</v>
      </c>
      <c r="P1680" s="8" t="s">
        <v>405</v>
      </c>
      <c r="Q1680" s="12" t="s">
        <v>8467</v>
      </c>
      <c r="R1680" s="8" t="s">
        <v>100</v>
      </c>
      <c r="S1680" s="7" t="s">
        <v>18</v>
      </c>
      <c r="T1680" s="6"/>
      <c r="U1680" s="8"/>
    </row>
    <row r="1681" spans="1:34" ht="13.5" customHeight="1">
      <c r="A1681" s="8" t="s">
        <v>8474</v>
      </c>
      <c r="B1681" s="16">
        <v>31</v>
      </c>
      <c r="C1681" s="8" t="s">
        <v>20</v>
      </c>
      <c r="D1681" s="8" t="s">
        <v>37</v>
      </c>
      <c r="E1681" s="8" t="s">
        <v>8475</v>
      </c>
      <c r="F1681" s="17">
        <v>41845</v>
      </c>
      <c r="G1681" s="8" t="s">
        <v>8476</v>
      </c>
      <c r="H1681" s="8" t="s">
        <v>617</v>
      </c>
      <c r="I1681" s="8" t="s">
        <v>243</v>
      </c>
      <c r="J1681" s="16" t="s">
        <v>8477</v>
      </c>
      <c r="K1681" s="2" t="s">
        <v>617</v>
      </c>
      <c r="L1681" s="8" t="s">
        <v>8478</v>
      </c>
      <c r="M1681" s="8" t="s">
        <v>27</v>
      </c>
      <c r="N1681" s="8" t="s">
        <v>8479</v>
      </c>
      <c r="O1681" s="8" t="s">
        <v>554</v>
      </c>
      <c r="P1681" s="8" t="s">
        <v>405</v>
      </c>
      <c r="Q1681" s="12" t="str">
        <f>HYPERLINK("http://www.sltrib.com/news/justice/1618808-155/officers-shot-lister-police-gill-gun","http://www.sltrib.com/news/justice/1618808-155/officers-shot-lister-police-gill-gun")</f>
        <v>http://www.sltrib.com/news/justice/1618808-155/officers-shot-lister-police-gill-gun</v>
      </c>
      <c r="R1681" s="8" t="s">
        <v>972</v>
      </c>
      <c r="S1681" s="7" t="s">
        <v>28</v>
      </c>
      <c r="T1681" s="6"/>
      <c r="U1681" s="8"/>
    </row>
    <row r="1682" spans="1:34" ht="13.5" customHeight="1">
      <c r="A1682" s="8" t="s">
        <v>8468</v>
      </c>
      <c r="B1682" s="16">
        <v>33</v>
      </c>
      <c r="C1682" s="8" t="s">
        <v>20</v>
      </c>
      <c r="D1682" s="8" t="s">
        <v>37</v>
      </c>
      <c r="F1682" s="17">
        <v>41845</v>
      </c>
      <c r="G1682" s="8" t="s">
        <v>8469</v>
      </c>
      <c r="H1682" s="8" t="s">
        <v>1326</v>
      </c>
      <c r="I1682" s="8" t="s">
        <v>73</v>
      </c>
      <c r="J1682" s="16" t="s">
        <v>8470</v>
      </c>
      <c r="K1682" s="2" t="s">
        <v>1327</v>
      </c>
      <c r="L1682" s="8" t="s">
        <v>1328</v>
      </c>
      <c r="M1682" s="8" t="s">
        <v>8471</v>
      </c>
      <c r="N1682" s="8" t="s">
        <v>8472</v>
      </c>
      <c r="O1682" s="8" t="s">
        <v>29</v>
      </c>
      <c r="P1682" s="8" t="s">
        <v>405</v>
      </c>
      <c r="Q1682" s="12" t="s">
        <v>8473</v>
      </c>
      <c r="R1682" s="8" t="s">
        <v>559</v>
      </c>
      <c r="S1682" s="7" t="s">
        <v>28</v>
      </c>
      <c r="T1682" s="6"/>
      <c r="U1682" s="8"/>
      <c r="Y1682" s="8"/>
      <c r="Z1682" s="8"/>
      <c r="AA1682" s="8"/>
      <c r="AB1682" s="8"/>
      <c r="AC1682" s="8"/>
      <c r="AD1682" s="8"/>
      <c r="AE1682" s="8"/>
      <c r="AF1682" s="8"/>
      <c r="AG1682" s="8"/>
      <c r="AH1682" s="8"/>
    </row>
    <row r="1683" spans="1:34" ht="13.5" customHeight="1">
      <c r="A1683" s="8" t="s">
        <v>8480</v>
      </c>
      <c r="B1683" s="16">
        <v>37</v>
      </c>
      <c r="C1683" s="8" t="s">
        <v>115</v>
      </c>
      <c r="D1683" s="8" t="s">
        <v>37</v>
      </c>
      <c r="F1683" s="17">
        <v>41844</v>
      </c>
      <c r="G1683" s="8" t="s">
        <v>8481</v>
      </c>
      <c r="H1683" s="8" t="s">
        <v>8482</v>
      </c>
      <c r="I1683" s="8" t="s">
        <v>175</v>
      </c>
      <c r="J1683" s="16" t="s">
        <v>8483</v>
      </c>
      <c r="K1683" s="2" t="s">
        <v>8484</v>
      </c>
      <c r="L1683" s="8" t="s">
        <v>8485</v>
      </c>
      <c r="M1683" s="8" t="s">
        <v>27</v>
      </c>
      <c r="N1683" s="8" t="s">
        <v>8486</v>
      </c>
      <c r="O1683" s="8" t="s">
        <v>1018</v>
      </c>
      <c r="P1683" s="8" t="s">
        <v>405</v>
      </c>
      <c r="Q1683" s="12" t="s">
        <v>8487</v>
      </c>
      <c r="R1683" s="8" t="s">
        <v>29</v>
      </c>
      <c r="S1683" s="7" t="s">
        <v>28</v>
      </c>
      <c r="T1683" s="6"/>
      <c r="U1683" s="8"/>
    </row>
    <row r="1684" spans="1:34" ht="13.5" customHeight="1">
      <c r="A1684" s="8" t="s">
        <v>8495</v>
      </c>
      <c r="B1684" s="16">
        <v>17</v>
      </c>
      <c r="C1684" s="8" t="s">
        <v>20</v>
      </c>
      <c r="D1684" s="8" t="s">
        <v>37</v>
      </c>
      <c r="E1684" s="8" t="s">
        <v>8496</v>
      </c>
      <c r="F1684" s="17">
        <v>41843</v>
      </c>
      <c r="G1684" s="8" t="s">
        <v>8497</v>
      </c>
      <c r="H1684" s="8" t="s">
        <v>8498</v>
      </c>
      <c r="I1684" s="8" t="s">
        <v>62</v>
      </c>
      <c r="J1684" s="16" t="s">
        <v>8499</v>
      </c>
      <c r="K1684" s="2" t="s">
        <v>8500</v>
      </c>
      <c r="L1684" s="8" t="s">
        <v>8501</v>
      </c>
      <c r="M1684" s="8" t="s">
        <v>383</v>
      </c>
      <c r="N1684" s="8" t="s">
        <v>8502</v>
      </c>
      <c r="O1684" s="8" t="s">
        <v>1018</v>
      </c>
      <c r="P1684" s="8" t="s">
        <v>405</v>
      </c>
      <c r="Q1684" s="12" t="s">
        <v>8503</v>
      </c>
      <c r="R1684" s="8" t="s">
        <v>100</v>
      </c>
      <c r="S1684" s="7" t="s">
        <v>18</v>
      </c>
      <c r="T1684" s="6"/>
      <c r="U1684" s="8"/>
    </row>
    <row r="1685" spans="1:34" ht="13.5" customHeight="1">
      <c r="A1685" s="8" t="s">
        <v>8488</v>
      </c>
      <c r="B1685" s="16">
        <v>29</v>
      </c>
      <c r="C1685" s="8" t="s">
        <v>20</v>
      </c>
      <c r="D1685" s="8" t="s">
        <v>85</v>
      </c>
      <c r="E1685" s="8" t="s">
        <v>8489</v>
      </c>
      <c r="F1685" s="17">
        <v>41843</v>
      </c>
      <c r="G1685" s="8" t="s">
        <v>8490</v>
      </c>
      <c r="H1685" s="8" t="s">
        <v>8491</v>
      </c>
      <c r="I1685" s="8" t="s">
        <v>62</v>
      </c>
      <c r="J1685" s="16" t="s">
        <v>8492</v>
      </c>
      <c r="K1685" s="2" t="s">
        <v>1070</v>
      </c>
      <c r="L1685" s="8" t="s">
        <v>4480</v>
      </c>
      <c r="M1685" s="8" t="s">
        <v>27</v>
      </c>
      <c r="N1685" s="8" t="s">
        <v>8493</v>
      </c>
      <c r="O1685" s="8" t="s">
        <v>1018</v>
      </c>
      <c r="P1685" s="8" t="s">
        <v>405</v>
      </c>
      <c r="Q1685" s="12" t="s">
        <v>8494</v>
      </c>
      <c r="R1685" s="8" t="s">
        <v>100</v>
      </c>
      <c r="S1685" s="7" t="s">
        <v>28</v>
      </c>
      <c r="T1685" s="6"/>
      <c r="U1685" s="8"/>
    </row>
    <row r="1686" spans="1:34" ht="13.5" customHeight="1">
      <c r="A1686" s="8" t="s">
        <v>8518</v>
      </c>
      <c r="B1686" s="16">
        <v>19</v>
      </c>
      <c r="C1686" s="8" t="s">
        <v>20</v>
      </c>
      <c r="D1686" s="8" t="s">
        <v>85</v>
      </c>
      <c r="E1686" s="8" t="s">
        <v>8519</v>
      </c>
      <c r="F1686" s="17">
        <v>41842</v>
      </c>
      <c r="G1686" s="8" t="s">
        <v>8520</v>
      </c>
      <c r="H1686" s="8" t="s">
        <v>8521</v>
      </c>
      <c r="I1686" s="8" t="s">
        <v>52</v>
      </c>
      <c r="J1686" s="16" t="s">
        <v>8522</v>
      </c>
      <c r="K1686" s="2" t="s">
        <v>1608</v>
      </c>
      <c r="L1686" s="8" t="s">
        <v>234</v>
      </c>
      <c r="M1686" s="8" t="s">
        <v>27</v>
      </c>
      <c r="N1686" s="8" t="s">
        <v>8523</v>
      </c>
      <c r="O1686" s="8" t="s">
        <v>1018</v>
      </c>
      <c r="P1686" s="8" t="s">
        <v>405</v>
      </c>
      <c r="Q1686" s="12" t="s">
        <v>8524</v>
      </c>
      <c r="R1686" s="8" t="s">
        <v>100</v>
      </c>
      <c r="S1686" s="7" t="s">
        <v>18</v>
      </c>
      <c r="T1686" s="6"/>
      <c r="U1686" s="8"/>
      <c r="V1686" s="8"/>
      <c r="W1686" s="8"/>
      <c r="X1686" s="8"/>
    </row>
    <row r="1687" spans="1:34" ht="13.5" customHeight="1">
      <c r="A1687" s="8" t="s">
        <v>8504</v>
      </c>
      <c r="B1687" s="16">
        <v>29</v>
      </c>
      <c r="C1687" s="8" t="s">
        <v>20</v>
      </c>
      <c r="D1687" s="8" t="s">
        <v>85</v>
      </c>
      <c r="E1687" s="8" t="s">
        <v>8505</v>
      </c>
      <c r="F1687" s="17">
        <v>41842</v>
      </c>
      <c r="G1687" s="8" t="s">
        <v>8506</v>
      </c>
      <c r="H1687" s="8" t="s">
        <v>8507</v>
      </c>
      <c r="I1687" s="8" t="s">
        <v>175</v>
      </c>
      <c r="J1687" s="16" t="s">
        <v>8508</v>
      </c>
      <c r="K1687" s="2" t="s">
        <v>1128</v>
      </c>
      <c r="L1687" s="8" t="s">
        <v>8509</v>
      </c>
      <c r="M1687" s="8" t="s">
        <v>27</v>
      </c>
      <c r="N1687" s="8" t="s">
        <v>8510</v>
      </c>
      <c r="O1687" s="8" t="s">
        <v>404</v>
      </c>
      <c r="P1687" s="8" t="s">
        <v>405</v>
      </c>
      <c r="Q1687" s="12"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1687" s="8" t="s">
        <v>100</v>
      </c>
      <c r="S1687" s="7" t="s">
        <v>18</v>
      </c>
      <c r="T1687" s="6"/>
      <c r="U1687" s="8"/>
      <c r="Y1687" s="8"/>
      <c r="Z1687" s="8"/>
      <c r="AA1687" s="8"/>
      <c r="AB1687" s="8"/>
      <c r="AC1687" s="8"/>
      <c r="AD1687" s="8"/>
      <c r="AE1687" s="8"/>
      <c r="AF1687" s="8"/>
      <c r="AG1687" s="8"/>
      <c r="AH1687" s="8"/>
    </row>
    <row r="1688" spans="1:34" ht="13.5" customHeight="1">
      <c r="A1688" s="8" t="s">
        <v>8533</v>
      </c>
      <c r="B1688" s="16">
        <v>33</v>
      </c>
      <c r="C1688" s="8" t="s">
        <v>20</v>
      </c>
      <c r="D1688" s="8" t="s">
        <v>37</v>
      </c>
      <c r="E1688" s="8" t="s">
        <v>8534</v>
      </c>
      <c r="F1688" s="17">
        <v>41842</v>
      </c>
      <c r="G1688" s="8" t="s">
        <v>8535</v>
      </c>
      <c r="H1688" s="8" t="s">
        <v>930</v>
      </c>
      <c r="I1688" s="8" t="s">
        <v>198</v>
      </c>
      <c r="J1688" s="16" t="s">
        <v>8536</v>
      </c>
      <c r="K1688" s="2" t="s">
        <v>471</v>
      </c>
      <c r="L1688" s="8" t="s">
        <v>5024</v>
      </c>
      <c r="M1688" s="8" t="s">
        <v>27</v>
      </c>
      <c r="N1688" s="8" t="s">
        <v>8537</v>
      </c>
      <c r="O1688" s="8" t="s">
        <v>1018</v>
      </c>
      <c r="P1688" s="8" t="s">
        <v>405</v>
      </c>
      <c r="Q1688" s="12" t="str">
        <f>HYPERLINK("http://www.koat.com/news/apd-involved-in-shooting-near-eubank-central/27095580","http://www.koat.com/news/apd-involved-in-shooting-near-eubank-central/27095580")</f>
        <v>http://www.koat.com/news/apd-involved-in-shooting-near-eubank-central/27095580</v>
      </c>
      <c r="R1688" s="8" t="s">
        <v>100</v>
      </c>
      <c r="S1688" s="7" t="s">
        <v>28</v>
      </c>
      <c r="T1688" s="6"/>
      <c r="U1688" s="8"/>
      <c r="Y1688" s="8"/>
      <c r="Z1688" s="8"/>
      <c r="AA1688" s="8"/>
      <c r="AB1688" s="8"/>
      <c r="AC1688" s="8"/>
      <c r="AD1688" s="8"/>
      <c r="AE1688" s="8"/>
      <c r="AF1688" s="8"/>
      <c r="AG1688" s="8"/>
      <c r="AH1688" s="8"/>
    </row>
    <row r="1689" spans="1:34" ht="13.5" customHeight="1">
      <c r="A1689" s="8" t="s">
        <v>8525</v>
      </c>
      <c r="B1689" s="16">
        <v>29</v>
      </c>
      <c r="C1689" s="8" t="s">
        <v>20</v>
      </c>
      <c r="D1689" s="8" t="s">
        <v>48</v>
      </c>
      <c r="E1689" s="8" t="s">
        <v>8526</v>
      </c>
      <c r="F1689" s="17">
        <v>41842</v>
      </c>
      <c r="G1689" s="8" t="s">
        <v>8527</v>
      </c>
      <c r="H1689" s="8" t="s">
        <v>8528</v>
      </c>
      <c r="I1689" s="8" t="s">
        <v>73</v>
      </c>
      <c r="J1689" s="16" t="s">
        <v>8529</v>
      </c>
      <c r="K1689" s="2" t="s">
        <v>1408</v>
      </c>
      <c r="L1689" s="8" t="s">
        <v>8530</v>
      </c>
      <c r="M1689" s="8" t="s">
        <v>27</v>
      </c>
      <c r="N1689" s="8" t="s">
        <v>8531</v>
      </c>
      <c r="O1689" s="8" t="s">
        <v>1018</v>
      </c>
      <c r="P1689" s="8" t="s">
        <v>405</v>
      </c>
      <c r="Q1689" s="12" t="s">
        <v>8532</v>
      </c>
      <c r="R1689" s="8" t="s">
        <v>100</v>
      </c>
      <c r="S1689" s="7" t="s">
        <v>28</v>
      </c>
      <c r="T1689" s="6"/>
      <c r="U1689" s="8"/>
    </row>
    <row r="1690" spans="1:34" ht="13.5" customHeight="1">
      <c r="A1690" s="8" t="s">
        <v>8511</v>
      </c>
      <c r="B1690" s="16">
        <v>37</v>
      </c>
      <c r="C1690" s="8" t="s">
        <v>20</v>
      </c>
      <c r="D1690" s="8" t="s">
        <v>85</v>
      </c>
      <c r="E1690" s="8" t="s">
        <v>8512</v>
      </c>
      <c r="F1690" s="17">
        <v>41842</v>
      </c>
      <c r="G1690" s="8" t="s">
        <v>8513</v>
      </c>
      <c r="H1690" s="8" t="s">
        <v>8514</v>
      </c>
      <c r="I1690" s="8" t="s">
        <v>32</v>
      </c>
      <c r="J1690" s="16" t="s">
        <v>8515</v>
      </c>
      <c r="K1690" s="2" t="s">
        <v>830</v>
      </c>
      <c r="L1690" s="8" t="s">
        <v>5704</v>
      </c>
      <c r="M1690" s="8" t="s">
        <v>27</v>
      </c>
      <c r="N1690" s="8" t="s">
        <v>8516</v>
      </c>
      <c r="O1690" s="8" t="s">
        <v>554</v>
      </c>
      <c r="P1690" s="8" t="s">
        <v>405</v>
      </c>
      <c r="Q1690" s="12" t="s">
        <v>8517</v>
      </c>
      <c r="R1690" s="8" t="s">
        <v>100</v>
      </c>
      <c r="S1690" s="7" t="s">
        <v>28</v>
      </c>
      <c r="T1690" s="6"/>
      <c r="U1690" s="8"/>
    </row>
    <row r="1691" spans="1:34" ht="13.5" customHeight="1">
      <c r="A1691" s="8" t="s">
        <v>8538</v>
      </c>
      <c r="B1691" s="16">
        <v>54</v>
      </c>
      <c r="C1691" s="8" t="s">
        <v>20</v>
      </c>
      <c r="D1691" s="8" t="s">
        <v>85</v>
      </c>
      <c r="F1691" s="17">
        <v>41841</v>
      </c>
      <c r="G1691" s="8" t="s">
        <v>8539</v>
      </c>
      <c r="H1691" s="8" t="s">
        <v>2381</v>
      </c>
      <c r="I1691" s="8" t="s">
        <v>52</v>
      </c>
      <c r="J1691" s="16" t="s">
        <v>8540</v>
      </c>
      <c r="K1691" s="2" t="s">
        <v>1065</v>
      </c>
      <c r="L1691" s="8" t="s">
        <v>2383</v>
      </c>
      <c r="M1691" s="8" t="s">
        <v>27</v>
      </c>
      <c r="N1691" s="8" t="s">
        <v>8541</v>
      </c>
      <c r="O1691" s="8" t="s">
        <v>1018</v>
      </c>
      <c r="P1691" s="8" t="s">
        <v>405</v>
      </c>
      <c r="Q1691" s="12" t="s">
        <v>8542</v>
      </c>
      <c r="R1691" s="8" t="s">
        <v>559</v>
      </c>
      <c r="S1691" s="7" t="s">
        <v>28</v>
      </c>
      <c r="T1691" s="6"/>
      <c r="U1691" s="8"/>
    </row>
    <row r="1692" spans="1:34" ht="13.5" customHeight="1">
      <c r="A1692" s="8" t="s">
        <v>8547</v>
      </c>
      <c r="B1692" s="16">
        <v>52</v>
      </c>
      <c r="C1692" s="8" t="s">
        <v>20</v>
      </c>
      <c r="D1692" s="8" t="s">
        <v>37</v>
      </c>
      <c r="F1692" s="17">
        <v>41840</v>
      </c>
      <c r="G1692" s="8" t="s">
        <v>8548</v>
      </c>
      <c r="H1692" s="8" t="s">
        <v>8549</v>
      </c>
      <c r="I1692" s="8" t="s">
        <v>94</v>
      </c>
      <c r="J1692" s="16" t="s">
        <v>8550</v>
      </c>
      <c r="K1692" s="2" t="s">
        <v>3753</v>
      </c>
      <c r="L1692" s="8" t="s">
        <v>8551</v>
      </c>
      <c r="M1692" s="8" t="s">
        <v>27</v>
      </c>
      <c r="N1692" s="8" t="s">
        <v>8552</v>
      </c>
      <c r="O1692" s="8" t="s">
        <v>1170</v>
      </c>
      <c r="P1692" s="8" t="s">
        <v>1171</v>
      </c>
      <c r="Q1692" s="12" t="s">
        <v>8553</v>
      </c>
      <c r="R1692" s="8" t="s">
        <v>100</v>
      </c>
      <c r="S1692" s="7" t="s">
        <v>18</v>
      </c>
      <c r="T1692" s="6"/>
      <c r="U1692" s="8"/>
    </row>
    <row r="1693" spans="1:34" ht="13.5" customHeight="1">
      <c r="A1693" s="8" t="s">
        <v>8543</v>
      </c>
      <c r="B1693" s="16">
        <v>28</v>
      </c>
      <c r="C1693" s="8" t="s">
        <v>20</v>
      </c>
      <c r="D1693" s="8" t="s">
        <v>37</v>
      </c>
      <c r="F1693" s="17">
        <v>41840</v>
      </c>
      <c r="G1693" s="8" t="s">
        <v>8544</v>
      </c>
      <c r="H1693" s="8" t="s">
        <v>2560</v>
      </c>
      <c r="I1693" s="8" t="s">
        <v>306</v>
      </c>
      <c r="J1693" s="16" t="s">
        <v>8545</v>
      </c>
      <c r="K1693" s="2" t="s">
        <v>1221</v>
      </c>
      <c r="L1693" s="8" t="s">
        <v>3507</v>
      </c>
      <c r="M1693" s="8" t="s">
        <v>27</v>
      </c>
      <c r="N1693" s="8" t="s">
        <v>8546</v>
      </c>
      <c r="O1693" s="8" t="s">
        <v>1018</v>
      </c>
      <c r="P1693" s="8" t="s">
        <v>405</v>
      </c>
      <c r="Q1693" s="12" t="str">
        <f>HYPERLINK("http://www.kentreporter.com/news/272307371.html","http://www.kentreporter.com/news/272307371.html#")</f>
        <v>http://www.kentreporter.com/news/272307371.html#</v>
      </c>
      <c r="R1693" s="8" t="s">
        <v>100</v>
      </c>
      <c r="S1693" s="7" t="s">
        <v>28</v>
      </c>
      <c r="T1693" s="6"/>
      <c r="U1693" s="8"/>
    </row>
    <row r="1694" spans="1:34" ht="13.5" customHeight="1">
      <c r="A1694" s="8" t="s">
        <v>8554</v>
      </c>
      <c r="B1694" s="16">
        <v>41</v>
      </c>
      <c r="C1694" s="8" t="s">
        <v>20</v>
      </c>
      <c r="D1694" s="8" t="s">
        <v>48</v>
      </c>
      <c r="F1694" s="17">
        <v>41839</v>
      </c>
      <c r="G1694" s="8" t="s">
        <v>8555</v>
      </c>
      <c r="H1694" s="8" t="s">
        <v>87</v>
      </c>
      <c r="I1694" s="8" t="s">
        <v>44</v>
      </c>
      <c r="J1694" s="16" t="s">
        <v>8556</v>
      </c>
      <c r="K1694" s="2" t="s">
        <v>88</v>
      </c>
      <c r="L1694" s="8" t="s">
        <v>89</v>
      </c>
      <c r="M1694" s="8" t="s">
        <v>395</v>
      </c>
      <c r="N1694" s="8" t="s">
        <v>8557</v>
      </c>
      <c r="O1694" s="8" t="s">
        <v>1018</v>
      </c>
      <c r="P1694" s="8" t="s">
        <v>405</v>
      </c>
      <c r="Q1694" s="12" t="s">
        <v>8558</v>
      </c>
      <c r="R1694" s="8" t="s">
        <v>100</v>
      </c>
      <c r="S1694" s="7" t="s">
        <v>18</v>
      </c>
      <c r="T1694" s="6"/>
      <c r="U1694" s="8"/>
    </row>
    <row r="1695" spans="1:34" ht="13.5" customHeight="1">
      <c r="A1695" s="8" t="s">
        <v>8563</v>
      </c>
      <c r="B1695" s="16">
        <v>5</v>
      </c>
      <c r="C1695" s="8" t="s">
        <v>115</v>
      </c>
      <c r="D1695" s="8" t="s">
        <v>37</v>
      </c>
      <c r="E1695" s="8" t="s">
        <v>8564</v>
      </c>
      <c r="F1695" s="17">
        <v>41838</v>
      </c>
      <c r="G1695" s="8" t="s">
        <v>8565</v>
      </c>
      <c r="H1695" s="8" t="s">
        <v>8566</v>
      </c>
      <c r="I1695" s="8" t="s">
        <v>367</v>
      </c>
      <c r="J1695" s="16" t="s">
        <v>8567</v>
      </c>
      <c r="K1695" s="2" t="s">
        <v>8566</v>
      </c>
      <c r="L1695" s="8" t="s">
        <v>8568</v>
      </c>
      <c r="M1695" s="8" t="s">
        <v>27</v>
      </c>
      <c r="N1695" s="8" t="s">
        <v>8569</v>
      </c>
      <c r="O1695" s="8" t="s">
        <v>1018</v>
      </c>
      <c r="P1695" s="8" t="s">
        <v>405</v>
      </c>
      <c r="Q1695" s="12" t="s">
        <v>8570</v>
      </c>
      <c r="R1695" s="8" t="s">
        <v>100</v>
      </c>
      <c r="S1695" s="7" t="s">
        <v>18</v>
      </c>
      <c r="T1695" s="6"/>
      <c r="U1695" s="8"/>
    </row>
    <row r="1696" spans="1:34" ht="13.5" customHeight="1">
      <c r="A1696" s="8" t="s">
        <v>8559</v>
      </c>
      <c r="B1696" s="16">
        <v>25</v>
      </c>
      <c r="C1696" s="8" t="s">
        <v>20</v>
      </c>
      <c r="D1696" s="8" t="s">
        <v>85</v>
      </c>
      <c r="E1696" s="8" t="s">
        <v>8560</v>
      </c>
      <c r="F1696" s="17">
        <v>41838</v>
      </c>
      <c r="G1696" s="8" t="s">
        <v>8561</v>
      </c>
      <c r="H1696" s="8" t="s">
        <v>3954</v>
      </c>
      <c r="I1696" s="8" t="s">
        <v>124</v>
      </c>
      <c r="J1696" s="16" t="s">
        <v>3955</v>
      </c>
      <c r="K1696" s="2" t="s">
        <v>639</v>
      </c>
      <c r="L1696" s="8" t="s">
        <v>3956</v>
      </c>
      <c r="M1696" s="8" t="s">
        <v>27</v>
      </c>
      <c r="N1696" s="8" t="s">
        <v>8562</v>
      </c>
      <c r="O1696" s="8" t="s">
        <v>1018</v>
      </c>
      <c r="P1696" s="8" t="s">
        <v>405</v>
      </c>
      <c r="Q1696" s="12"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1696" s="8" t="s">
        <v>100</v>
      </c>
      <c r="S1696" s="7" t="s">
        <v>28</v>
      </c>
      <c r="T1696" s="6"/>
      <c r="U1696" s="8"/>
    </row>
    <row r="1697" spans="1:34" ht="13.5" customHeight="1">
      <c r="A1697" s="8" t="s">
        <v>8571</v>
      </c>
      <c r="B1697" s="16">
        <v>34</v>
      </c>
      <c r="C1697" s="8" t="s">
        <v>20</v>
      </c>
      <c r="D1697" s="8" t="s">
        <v>37</v>
      </c>
      <c r="F1697" s="17">
        <v>41838</v>
      </c>
      <c r="G1697" s="8" t="s">
        <v>8572</v>
      </c>
      <c r="H1697" s="8" t="s">
        <v>271</v>
      </c>
      <c r="I1697" s="8" t="s">
        <v>272</v>
      </c>
      <c r="J1697" s="16" t="s">
        <v>8573</v>
      </c>
      <c r="K1697" s="2" t="s">
        <v>574</v>
      </c>
      <c r="L1697" s="8" t="s">
        <v>273</v>
      </c>
      <c r="M1697" s="8" t="s">
        <v>27</v>
      </c>
      <c r="N1697" s="8" t="s">
        <v>8574</v>
      </c>
      <c r="O1697" s="8" t="s">
        <v>1018</v>
      </c>
      <c r="P1697" s="8" t="s">
        <v>405</v>
      </c>
      <c r="Q1697" s="12" t="str">
        <f>HYPERLINK("http://www.fox5vegas.com/story/26071249/coroner-identifies-man-shot-by-nlv-police","http://www.fox5vegas.com/story/26071249/coroner-identifies-man-shot-by-nlv-police")</f>
        <v>http://www.fox5vegas.com/story/26071249/coroner-identifies-man-shot-by-nlv-police</v>
      </c>
      <c r="R1697" s="8" t="s">
        <v>100</v>
      </c>
      <c r="S1697" s="7" t="s">
        <v>18</v>
      </c>
      <c r="T1697" s="6"/>
      <c r="U1697" s="8"/>
    </row>
    <row r="1698" spans="1:34" ht="13.5" customHeight="1">
      <c r="A1698" s="8" t="s">
        <v>8588</v>
      </c>
      <c r="B1698" s="16">
        <v>49</v>
      </c>
      <c r="C1698" s="8" t="s">
        <v>20</v>
      </c>
      <c r="D1698" s="8" t="s">
        <v>30</v>
      </c>
      <c r="F1698" s="17">
        <v>41837</v>
      </c>
      <c r="G1698" s="8" t="s">
        <v>8589</v>
      </c>
      <c r="H1698" s="8" t="s">
        <v>8590</v>
      </c>
      <c r="I1698" s="8" t="s">
        <v>73</v>
      </c>
      <c r="J1698" s="16" t="s">
        <v>8591</v>
      </c>
      <c r="K1698" s="2" t="s">
        <v>8592</v>
      </c>
      <c r="L1698" s="8" t="s">
        <v>8593</v>
      </c>
      <c r="M1698" s="8" t="s">
        <v>27</v>
      </c>
      <c r="N1698" s="8" t="s">
        <v>8594</v>
      </c>
      <c r="O1698" s="8" t="s">
        <v>404</v>
      </c>
      <c r="P1698" s="8" t="s">
        <v>405</v>
      </c>
      <c r="Q1698" s="12" t="s">
        <v>8595</v>
      </c>
      <c r="R1698" s="8" t="s">
        <v>559</v>
      </c>
      <c r="S1698" s="7" t="s">
        <v>28</v>
      </c>
      <c r="T1698" s="6"/>
      <c r="U1698" s="8"/>
    </row>
    <row r="1699" spans="1:34" ht="13.5" customHeight="1">
      <c r="A1699" s="8" t="s">
        <v>8575</v>
      </c>
      <c r="B1699" s="16">
        <v>36</v>
      </c>
      <c r="C1699" s="8" t="s">
        <v>20</v>
      </c>
      <c r="D1699" s="8" t="s">
        <v>85</v>
      </c>
      <c r="F1699" s="17">
        <v>41837</v>
      </c>
      <c r="G1699" s="8" t="s">
        <v>8576</v>
      </c>
      <c r="H1699" s="8" t="s">
        <v>251</v>
      </c>
      <c r="I1699" s="8" t="s">
        <v>45</v>
      </c>
      <c r="J1699" s="16" t="s">
        <v>8577</v>
      </c>
      <c r="K1699" s="2" t="s">
        <v>608</v>
      </c>
      <c r="L1699" s="8" t="s">
        <v>252</v>
      </c>
      <c r="M1699" s="8" t="s">
        <v>27</v>
      </c>
      <c r="N1699" s="8" t="s">
        <v>8578</v>
      </c>
      <c r="O1699" s="8" t="s">
        <v>1018</v>
      </c>
      <c r="P1699" s="8" t="s">
        <v>405</v>
      </c>
      <c r="Q1699" s="12" t="s">
        <v>8579</v>
      </c>
      <c r="R1699" s="8" t="s">
        <v>29</v>
      </c>
      <c r="S1699" s="7" t="s">
        <v>18</v>
      </c>
      <c r="T1699" s="6"/>
      <c r="U1699" s="8"/>
      <c r="Y1699" s="8"/>
      <c r="Z1699" s="8"/>
      <c r="AA1699" s="8"/>
      <c r="AB1699" s="8"/>
      <c r="AC1699" s="8"/>
      <c r="AD1699" s="8"/>
      <c r="AE1699" s="8"/>
      <c r="AF1699" s="8"/>
      <c r="AG1699" s="8"/>
      <c r="AH1699" s="8"/>
    </row>
    <row r="1700" spans="1:34" ht="13.5" customHeight="1">
      <c r="A1700" s="8" t="s">
        <v>8580</v>
      </c>
      <c r="B1700" s="16" t="s">
        <v>8581</v>
      </c>
      <c r="C1700" s="8" t="s">
        <v>20</v>
      </c>
      <c r="D1700" s="8" t="s">
        <v>85</v>
      </c>
      <c r="E1700" s="8" t="s">
        <v>8582</v>
      </c>
      <c r="F1700" s="17">
        <v>41837</v>
      </c>
      <c r="G1700" s="8" t="s">
        <v>8583</v>
      </c>
      <c r="H1700" s="8" t="s">
        <v>762</v>
      </c>
      <c r="I1700" s="8" t="s">
        <v>427</v>
      </c>
      <c r="J1700" s="16" t="s">
        <v>8584</v>
      </c>
      <c r="K1700" s="2" t="s">
        <v>762</v>
      </c>
      <c r="L1700" s="8" t="s">
        <v>586</v>
      </c>
      <c r="M1700" s="8" t="s">
        <v>8585</v>
      </c>
      <c r="N1700" s="8" t="s">
        <v>8586</v>
      </c>
      <c r="O1700" s="8" t="s">
        <v>554</v>
      </c>
      <c r="P1700" s="8" t="s">
        <v>405</v>
      </c>
      <c r="Q1700" s="12" t="s">
        <v>8587</v>
      </c>
      <c r="R1700" s="8" t="s">
        <v>100</v>
      </c>
      <c r="S1700" s="7" t="s">
        <v>18</v>
      </c>
      <c r="T1700" s="6"/>
      <c r="U1700" s="8"/>
    </row>
    <row r="1701" spans="1:34" ht="13.5" customHeight="1">
      <c r="A1701" s="8" t="s">
        <v>8596</v>
      </c>
      <c r="B1701" s="16">
        <v>71</v>
      </c>
      <c r="C1701" s="8" t="s">
        <v>20</v>
      </c>
      <c r="D1701" s="8" t="s">
        <v>37</v>
      </c>
      <c r="F1701" s="17">
        <v>41837</v>
      </c>
      <c r="G1701" s="8" t="s">
        <v>8597</v>
      </c>
      <c r="H1701" s="8" t="s">
        <v>5381</v>
      </c>
      <c r="I1701" s="8" t="s">
        <v>118</v>
      </c>
      <c r="J1701" s="16" t="s">
        <v>8598</v>
      </c>
      <c r="K1701" s="2" t="s">
        <v>946</v>
      </c>
      <c r="L1701" s="8" t="s">
        <v>8599</v>
      </c>
      <c r="M1701" s="8" t="s">
        <v>27</v>
      </c>
      <c r="N1701" s="8" t="s">
        <v>8600</v>
      </c>
      <c r="O1701" s="8" t="s">
        <v>1018</v>
      </c>
      <c r="P1701" s="8" t="s">
        <v>405</v>
      </c>
      <c r="Q1701" s="12" t="s">
        <v>8601</v>
      </c>
      <c r="R1701" s="8" t="s">
        <v>100</v>
      </c>
      <c r="S1701" s="7" t="s">
        <v>28</v>
      </c>
      <c r="T1701" s="6"/>
      <c r="U1701" s="8"/>
    </row>
    <row r="1702" spans="1:34" ht="13.5" customHeight="1">
      <c r="A1702" s="8" t="s">
        <v>8610</v>
      </c>
      <c r="B1702" s="16">
        <v>27</v>
      </c>
      <c r="C1702" s="8" t="s">
        <v>20</v>
      </c>
      <c r="D1702" s="8" t="s">
        <v>48</v>
      </c>
      <c r="E1702" s="8" t="s">
        <v>8611</v>
      </c>
      <c r="F1702" s="17">
        <v>41836</v>
      </c>
      <c r="G1702" s="8" t="s">
        <v>8612</v>
      </c>
      <c r="H1702" s="8" t="s">
        <v>1777</v>
      </c>
      <c r="I1702" s="8" t="s">
        <v>45</v>
      </c>
      <c r="J1702" s="16" t="s">
        <v>4677</v>
      </c>
      <c r="K1702" s="2" t="s">
        <v>1779</v>
      </c>
      <c r="L1702" s="8" t="s">
        <v>1780</v>
      </c>
      <c r="M1702" s="8" t="s">
        <v>27</v>
      </c>
      <c r="N1702" s="8" t="s">
        <v>8613</v>
      </c>
      <c r="O1702" s="8" t="s">
        <v>1018</v>
      </c>
      <c r="P1702" s="8" t="s">
        <v>405</v>
      </c>
      <c r="Q1702" s="12" t="s">
        <v>8614</v>
      </c>
      <c r="R1702" s="8" t="s">
        <v>100</v>
      </c>
      <c r="S1702" s="7" t="s">
        <v>28</v>
      </c>
      <c r="T1702" s="6"/>
      <c r="U1702" s="8"/>
    </row>
    <row r="1703" spans="1:34" ht="13.5" customHeight="1">
      <c r="A1703" s="8" t="s">
        <v>8602</v>
      </c>
      <c r="B1703" s="16">
        <v>23</v>
      </c>
      <c r="C1703" s="8" t="s">
        <v>20</v>
      </c>
      <c r="D1703" s="8" t="s">
        <v>85</v>
      </c>
      <c r="F1703" s="17">
        <v>41836</v>
      </c>
      <c r="G1703" s="8" t="s">
        <v>8603</v>
      </c>
      <c r="H1703" s="8" t="s">
        <v>8604</v>
      </c>
      <c r="I1703" s="8" t="s">
        <v>57</v>
      </c>
      <c r="J1703" s="16" t="s">
        <v>8605</v>
      </c>
      <c r="K1703" s="2" t="s">
        <v>8606</v>
      </c>
      <c r="L1703" s="8" t="s">
        <v>8607</v>
      </c>
      <c r="M1703" s="8" t="s">
        <v>27</v>
      </c>
      <c r="N1703" s="8" t="s">
        <v>8608</v>
      </c>
      <c r="O1703" s="8" t="s">
        <v>1018</v>
      </c>
      <c r="P1703" s="8" t="s">
        <v>405</v>
      </c>
      <c r="Q1703" s="12" t="s">
        <v>8609</v>
      </c>
      <c r="R1703" s="8" t="s">
        <v>29</v>
      </c>
      <c r="S1703" s="7" t="s">
        <v>35</v>
      </c>
      <c r="T1703" s="6"/>
      <c r="U1703" s="8"/>
    </row>
    <row r="1704" spans="1:34" ht="13.5" customHeight="1">
      <c r="A1704" s="8" t="s">
        <v>8615</v>
      </c>
      <c r="B1704" s="16">
        <v>30</v>
      </c>
      <c r="C1704" s="8" t="s">
        <v>20</v>
      </c>
      <c r="D1704" s="8" t="s">
        <v>48</v>
      </c>
      <c r="E1704" s="8" t="s">
        <v>8611</v>
      </c>
      <c r="F1704" s="17">
        <v>41836</v>
      </c>
      <c r="G1704" s="8" t="s">
        <v>8612</v>
      </c>
      <c r="H1704" s="8" t="s">
        <v>1777</v>
      </c>
      <c r="I1704" s="8" t="s">
        <v>45</v>
      </c>
      <c r="J1704" s="16" t="s">
        <v>4677</v>
      </c>
      <c r="K1704" s="2" t="s">
        <v>1779</v>
      </c>
      <c r="L1704" s="8" t="s">
        <v>1780</v>
      </c>
      <c r="M1704" s="8" t="s">
        <v>27</v>
      </c>
      <c r="N1704" s="8" t="s">
        <v>8613</v>
      </c>
      <c r="O1704" s="8" t="s">
        <v>1018</v>
      </c>
      <c r="P1704" s="8" t="s">
        <v>405</v>
      </c>
      <c r="Q1704" s="12" t="s">
        <v>8614</v>
      </c>
      <c r="R1704" s="8" t="s">
        <v>100</v>
      </c>
      <c r="S1704" s="7" t="s">
        <v>28</v>
      </c>
      <c r="T1704" s="6"/>
      <c r="U1704" s="8"/>
    </row>
    <row r="1705" spans="1:34" ht="13.5" customHeight="1">
      <c r="A1705" s="8" t="s">
        <v>8616</v>
      </c>
      <c r="B1705" s="16">
        <v>41</v>
      </c>
      <c r="C1705" s="8" t="s">
        <v>115</v>
      </c>
      <c r="D1705" s="8" t="s">
        <v>37</v>
      </c>
      <c r="E1705" s="8" t="s">
        <v>8617</v>
      </c>
      <c r="F1705" s="17">
        <v>41836</v>
      </c>
      <c r="G1705" s="8" t="s">
        <v>8618</v>
      </c>
      <c r="H1705" s="8" t="s">
        <v>1777</v>
      </c>
      <c r="I1705" s="8" t="s">
        <v>45</v>
      </c>
      <c r="J1705" s="16" t="s">
        <v>8619</v>
      </c>
      <c r="K1705" s="2" t="s">
        <v>1779</v>
      </c>
      <c r="L1705" s="8" t="s">
        <v>1780</v>
      </c>
      <c r="M1705" s="8" t="s">
        <v>27</v>
      </c>
      <c r="N1705" s="8" t="s">
        <v>8620</v>
      </c>
      <c r="O1705" s="8" t="s">
        <v>404</v>
      </c>
      <c r="P1705" s="8" t="s">
        <v>405</v>
      </c>
      <c r="Q1705" s="12" t="s">
        <v>8621</v>
      </c>
      <c r="R1705" s="8" t="s">
        <v>100</v>
      </c>
      <c r="S1705" s="7" t="s">
        <v>18</v>
      </c>
      <c r="T1705" s="6"/>
      <c r="U1705" s="8"/>
    </row>
    <row r="1706" spans="1:34" ht="13.5" customHeight="1">
      <c r="A1706" s="8" t="s">
        <v>8622</v>
      </c>
      <c r="B1706" s="16">
        <v>24</v>
      </c>
      <c r="C1706" s="8" t="s">
        <v>20</v>
      </c>
      <c r="D1706" s="8" t="s">
        <v>37</v>
      </c>
      <c r="E1706" s="8" t="s">
        <v>8623</v>
      </c>
      <c r="F1706" s="17">
        <v>41835</v>
      </c>
      <c r="G1706" s="8" t="s">
        <v>8624</v>
      </c>
      <c r="H1706" s="8" t="s">
        <v>8625</v>
      </c>
      <c r="I1706" s="8" t="s">
        <v>323</v>
      </c>
      <c r="J1706" s="16" t="s">
        <v>8626</v>
      </c>
      <c r="K1706" s="2" t="s">
        <v>1205</v>
      </c>
      <c r="L1706" s="8" t="s">
        <v>8627</v>
      </c>
      <c r="M1706" s="8" t="s">
        <v>27</v>
      </c>
      <c r="N1706" s="8" t="s">
        <v>8628</v>
      </c>
      <c r="O1706" s="8" t="s">
        <v>1018</v>
      </c>
      <c r="P1706" s="8" t="s">
        <v>405</v>
      </c>
      <c r="Q1706" s="12" t="s">
        <v>8629</v>
      </c>
      <c r="R1706" s="8" t="s">
        <v>559</v>
      </c>
      <c r="S1706" s="7" t="s">
        <v>28</v>
      </c>
      <c r="T1706" s="6"/>
      <c r="U1706" s="8"/>
    </row>
    <row r="1707" spans="1:34" ht="13.5" customHeight="1">
      <c r="A1707" s="8" t="s">
        <v>8644</v>
      </c>
      <c r="B1707" s="16">
        <v>34</v>
      </c>
      <c r="C1707" s="8" t="s">
        <v>20</v>
      </c>
      <c r="D1707" s="8" t="s">
        <v>37</v>
      </c>
      <c r="E1707" s="8" t="s">
        <v>8645</v>
      </c>
      <c r="F1707" s="17">
        <v>41834</v>
      </c>
      <c r="G1707" s="8" t="s">
        <v>8646</v>
      </c>
      <c r="H1707" s="8" t="s">
        <v>8647</v>
      </c>
      <c r="I1707" s="8" t="s">
        <v>73</v>
      </c>
      <c r="J1707" s="16" t="s">
        <v>8648</v>
      </c>
      <c r="K1707" s="2" t="s">
        <v>690</v>
      </c>
      <c r="L1707" s="8" t="s">
        <v>8649</v>
      </c>
      <c r="M1707" s="8" t="s">
        <v>27</v>
      </c>
      <c r="N1707" s="8" t="s">
        <v>8650</v>
      </c>
      <c r="O1707" s="8" t="s">
        <v>1018</v>
      </c>
      <c r="P1707" s="8" t="s">
        <v>405</v>
      </c>
      <c r="Q1707" s="12" t="s">
        <v>8651</v>
      </c>
      <c r="R1707" s="8" t="s">
        <v>100</v>
      </c>
      <c r="S1707" s="7" t="s">
        <v>28</v>
      </c>
      <c r="T1707" s="6"/>
      <c r="U1707" s="8"/>
      <c r="V1707" s="8"/>
      <c r="W1707" s="8"/>
      <c r="X1707" s="8"/>
    </row>
    <row r="1708" spans="1:34" ht="13.5" customHeight="1">
      <c r="A1708" s="8" t="s">
        <v>8630</v>
      </c>
      <c r="B1708" s="16">
        <v>47</v>
      </c>
      <c r="C1708" s="8" t="s">
        <v>20</v>
      </c>
      <c r="D1708" s="8" t="s">
        <v>85</v>
      </c>
      <c r="E1708" s="8" t="s">
        <v>8631</v>
      </c>
      <c r="F1708" s="17">
        <v>41834</v>
      </c>
      <c r="G1708" s="8" t="s">
        <v>8632</v>
      </c>
      <c r="H1708" s="8" t="s">
        <v>203</v>
      </c>
      <c r="I1708" s="8" t="s">
        <v>45</v>
      </c>
      <c r="J1708" s="16" t="s">
        <v>7172</v>
      </c>
      <c r="K1708" s="2" t="s">
        <v>203</v>
      </c>
      <c r="L1708" s="8" t="s">
        <v>204</v>
      </c>
      <c r="M1708" s="8" t="s">
        <v>27</v>
      </c>
      <c r="N1708" s="8" t="s">
        <v>8633</v>
      </c>
      <c r="O1708" s="8" t="s">
        <v>1018</v>
      </c>
      <c r="P1708" s="8" t="s">
        <v>405</v>
      </c>
      <c r="Q1708" s="12" t="s">
        <v>8634</v>
      </c>
      <c r="R1708" s="8" t="s">
        <v>29</v>
      </c>
      <c r="S1708" s="7" t="s">
        <v>28</v>
      </c>
      <c r="T1708" s="6"/>
      <c r="U1708" s="8"/>
    </row>
    <row r="1709" spans="1:34" ht="13.5" customHeight="1">
      <c r="A1709" s="8" t="s">
        <v>8635</v>
      </c>
      <c r="B1709" s="16">
        <v>46</v>
      </c>
      <c r="C1709" s="8" t="s">
        <v>20</v>
      </c>
      <c r="D1709" s="8" t="s">
        <v>37</v>
      </c>
      <c r="E1709" s="8" t="s">
        <v>8636</v>
      </c>
      <c r="F1709" s="17">
        <v>41834</v>
      </c>
      <c r="G1709" s="8" t="s">
        <v>8637</v>
      </c>
      <c r="H1709" s="8" t="s">
        <v>8638</v>
      </c>
      <c r="I1709" s="8" t="s">
        <v>57</v>
      </c>
      <c r="J1709" s="16" t="s">
        <v>8639</v>
      </c>
      <c r="K1709" s="2" t="s">
        <v>8640</v>
      </c>
      <c r="L1709" s="8" t="s">
        <v>8641</v>
      </c>
      <c r="M1709" s="8" t="s">
        <v>27</v>
      </c>
      <c r="N1709" s="8" t="s">
        <v>8642</v>
      </c>
      <c r="O1709" s="8" t="s">
        <v>554</v>
      </c>
      <c r="P1709" s="8" t="s">
        <v>405</v>
      </c>
      <c r="Q1709" s="12" t="s">
        <v>8643</v>
      </c>
      <c r="R1709" s="8" t="s">
        <v>2224</v>
      </c>
      <c r="S1709" s="7" t="s">
        <v>18</v>
      </c>
      <c r="T1709" s="6"/>
      <c r="U1709" s="8"/>
    </row>
    <row r="1710" spans="1:34" ht="13.5" customHeight="1">
      <c r="A1710" s="8" t="s">
        <v>8666</v>
      </c>
      <c r="B1710" s="16">
        <v>46</v>
      </c>
      <c r="C1710" s="8" t="s">
        <v>20</v>
      </c>
      <c r="D1710" s="8" t="s">
        <v>30</v>
      </c>
      <c r="F1710" s="17">
        <v>41833</v>
      </c>
      <c r="G1710" s="8" t="s">
        <v>8667</v>
      </c>
      <c r="H1710" s="8" t="s">
        <v>625</v>
      </c>
      <c r="I1710" s="8" t="s">
        <v>370</v>
      </c>
      <c r="J1710" s="16" t="s">
        <v>8668</v>
      </c>
      <c r="K1710" s="2" t="s">
        <v>1290</v>
      </c>
      <c r="L1710" s="8" t="s">
        <v>1497</v>
      </c>
      <c r="M1710" s="8" t="s">
        <v>27</v>
      </c>
      <c r="N1710" s="8" t="s">
        <v>8669</v>
      </c>
      <c r="O1710" s="8" t="s">
        <v>1018</v>
      </c>
      <c r="P1710" s="8" t="s">
        <v>405</v>
      </c>
      <c r="Q1710" s="12"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1710" s="8" t="s">
        <v>100</v>
      </c>
      <c r="S1710" s="7" t="s">
        <v>28</v>
      </c>
      <c r="T1710" s="6"/>
      <c r="U1710" s="8"/>
    </row>
    <row r="1711" spans="1:34" ht="13.5" customHeight="1">
      <c r="A1711" s="8" t="s">
        <v>8685</v>
      </c>
      <c r="B1711" s="16">
        <v>26</v>
      </c>
      <c r="C1711" s="8" t="s">
        <v>20</v>
      </c>
      <c r="D1711" s="8" t="s">
        <v>37</v>
      </c>
      <c r="E1711" s="8" t="s">
        <v>8686</v>
      </c>
      <c r="F1711" s="17">
        <v>41833</v>
      </c>
      <c r="G1711" s="8" t="s">
        <v>8687</v>
      </c>
      <c r="H1711" s="8" t="s">
        <v>8688</v>
      </c>
      <c r="I1711" s="8" t="s">
        <v>124</v>
      </c>
      <c r="J1711" s="16" t="s">
        <v>8689</v>
      </c>
      <c r="K1711" s="2" t="s">
        <v>639</v>
      </c>
      <c r="L1711" s="8" t="s">
        <v>1910</v>
      </c>
      <c r="M1711" s="8" t="s">
        <v>27</v>
      </c>
      <c r="N1711" s="8" t="s">
        <v>8690</v>
      </c>
      <c r="O1711" s="8" t="s">
        <v>554</v>
      </c>
      <c r="P1711" s="8" t="s">
        <v>405</v>
      </c>
      <c r="Q1711" s="12" t="s">
        <v>8691</v>
      </c>
      <c r="R1711" s="8" t="s">
        <v>559</v>
      </c>
      <c r="S1711" s="7" t="s">
        <v>18</v>
      </c>
      <c r="T1711" s="6"/>
      <c r="U1711" s="8"/>
    </row>
    <row r="1712" spans="1:34" ht="13.5" customHeight="1">
      <c r="A1712" s="8" t="s">
        <v>8670</v>
      </c>
      <c r="B1712" s="16">
        <v>55</v>
      </c>
      <c r="C1712" s="8" t="s">
        <v>20</v>
      </c>
      <c r="D1712" s="8" t="s">
        <v>30</v>
      </c>
      <c r="F1712" s="17">
        <v>41833</v>
      </c>
      <c r="G1712" s="8" t="s">
        <v>8671</v>
      </c>
      <c r="H1712" s="8" t="s">
        <v>8672</v>
      </c>
      <c r="I1712" s="8" t="s">
        <v>1092</v>
      </c>
      <c r="J1712" s="16" t="s">
        <v>8673</v>
      </c>
      <c r="K1712" s="2" t="s">
        <v>8674</v>
      </c>
      <c r="L1712" s="8" t="s">
        <v>8675</v>
      </c>
      <c r="M1712" s="8" t="s">
        <v>27</v>
      </c>
      <c r="N1712" s="8" t="s">
        <v>8676</v>
      </c>
      <c r="O1712" s="8" t="s">
        <v>1018</v>
      </c>
      <c r="P1712" s="8" t="s">
        <v>405</v>
      </c>
      <c r="Q1712" s="12" t="s">
        <v>8677</v>
      </c>
      <c r="R1712" s="8" t="s">
        <v>29</v>
      </c>
      <c r="S1712" s="7" t="s">
        <v>28</v>
      </c>
      <c r="T1712" s="6"/>
      <c r="U1712" s="8"/>
    </row>
    <row r="1713" spans="1:39" ht="13.5" customHeight="1">
      <c r="A1713" s="8" t="s">
        <v>8652</v>
      </c>
      <c r="B1713" s="16">
        <v>21</v>
      </c>
      <c r="C1713" s="8" t="s">
        <v>20</v>
      </c>
      <c r="D1713" s="8" t="s">
        <v>21</v>
      </c>
      <c r="E1713" s="8" t="s">
        <v>8653</v>
      </c>
      <c r="F1713" s="17">
        <v>41833</v>
      </c>
      <c r="G1713" s="8" t="s">
        <v>8654</v>
      </c>
      <c r="H1713" s="8" t="s">
        <v>158</v>
      </c>
      <c r="I1713" s="8" t="s">
        <v>45</v>
      </c>
      <c r="J1713" s="16" t="s">
        <v>8655</v>
      </c>
      <c r="K1713" s="2" t="s">
        <v>158</v>
      </c>
      <c r="L1713" s="8" t="s">
        <v>159</v>
      </c>
      <c r="M1713" s="8" t="s">
        <v>27</v>
      </c>
      <c r="N1713" s="8" t="s">
        <v>8656</v>
      </c>
      <c r="O1713" s="8" t="s">
        <v>1018</v>
      </c>
      <c r="P1713" s="8" t="s">
        <v>405</v>
      </c>
      <c r="Q1713" s="12" t="s">
        <v>8657</v>
      </c>
      <c r="R1713" s="8" t="s">
        <v>559</v>
      </c>
      <c r="S1713" s="7" t="s">
        <v>28</v>
      </c>
      <c r="T1713" s="6"/>
      <c r="U1713" s="8"/>
      <c r="AI1713" s="8"/>
      <c r="AJ1713" s="8"/>
      <c r="AK1713" s="8"/>
      <c r="AL1713" s="8"/>
      <c r="AM1713" s="8"/>
    </row>
    <row r="1714" spans="1:39" ht="13.5" customHeight="1">
      <c r="A1714" s="8" t="s">
        <v>8658</v>
      </c>
      <c r="B1714" s="16">
        <v>27</v>
      </c>
      <c r="C1714" s="8" t="s">
        <v>20</v>
      </c>
      <c r="D1714" s="8" t="s">
        <v>85</v>
      </c>
      <c r="E1714" s="8" t="s">
        <v>8659</v>
      </c>
      <c r="F1714" s="17">
        <v>41833</v>
      </c>
      <c r="G1714" s="8" t="s">
        <v>8660</v>
      </c>
      <c r="H1714" s="8" t="s">
        <v>8661</v>
      </c>
      <c r="I1714" s="8" t="s">
        <v>81</v>
      </c>
      <c r="J1714" s="16" t="s">
        <v>8662</v>
      </c>
      <c r="K1714" s="2" t="s">
        <v>2502</v>
      </c>
      <c r="L1714" s="8" t="s">
        <v>8663</v>
      </c>
      <c r="M1714" s="8" t="s">
        <v>27</v>
      </c>
      <c r="N1714" s="8" t="s">
        <v>8664</v>
      </c>
      <c r="O1714" s="8" t="s">
        <v>554</v>
      </c>
      <c r="P1714" s="8" t="s">
        <v>405</v>
      </c>
      <c r="Q1714" s="12" t="s">
        <v>8665</v>
      </c>
      <c r="R1714" s="8" t="s">
        <v>100</v>
      </c>
      <c r="S1714" s="7" t="s">
        <v>28</v>
      </c>
      <c r="T1714" s="6"/>
      <c r="U1714" s="8"/>
    </row>
    <row r="1715" spans="1:39" ht="13.5" customHeight="1">
      <c r="A1715" s="8" t="s">
        <v>8678</v>
      </c>
      <c r="B1715" s="16">
        <v>51</v>
      </c>
      <c r="C1715" s="8" t="s">
        <v>20</v>
      </c>
      <c r="D1715" s="8" t="s">
        <v>37</v>
      </c>
      <c r="F1715" s="17">
        <v>41833</v>
      </c>
      <c r="G1715" s="8" t="s">
        <v>8679</v>
      </c>
      <c r="H1715" s="8" t="s">
        <v>8680</v>
      </c>
      <c r="I1715" s="8" t="s">
        <v>370</v>
      </c>
      <c r="J1715" s="16">
        <v>28429</v>
      </c>
      <c r="K1715" s="2" t="s">
        <v>8681</v>
      </c>
      <c r="L1715" s="8" t="s">
        <v>8682</v>
      </c>
      <c r="M1715" s="8" t="s">
        <v>29</v>
      </c>
      <c r="N1715" s="8" t="s">
        <v>8683</v>
      </c>
      <c r="P1715" s="8" t="s">
        <v>405</v>
      </c>
      <c r="Q1715" s="12" t="s">
        <v>8684</v>
      </c>
      <c r="S1715" s="7" t="s">
        <v>28</v>
      </c>
      <c r="T1715" s="6"/>
      <c r="U1715" s="8"/>
    </row>
    <row r="1716" spans="1:39" ht="13.5" customHeight="1">
      <c r="A1716" s="8" t="s">
        <v>8708</v>
      </c>
      <c r="B1716" s="16">
        <v>33</v>
      </c>
      <c r="C1716" s="8" t="s">
        <v>20</v>
      </c>
      <c r="D1716" s="8" t="s">
        <v>37</v>
      </c>
      <c r="E1716" s="8" t="s">
        <v>8709</v>
      </c>
      <c r="F1716" s="17">
        <v>41832</v>
      </c>
      <c r="G1716" s="8" t="s">
        <v>8710</v>
      </c>
      <c r="H1716" s="8" t="s">
        <v>8711</v>
      </c>
      <c r="I1716" s="8" t="s">
        <v>25</v>
      </c>
      <c r="J1716" s="16" t="s">
        <v>8712</v>
      </c>
      <c r="K1716" s="2" t="s">
        <v>8713</v>
      </c>
      <c r="L1716" s="8" t="s">
        <v>8714</v>
      </c>
      <c r="M1716" s="8" t="s">
        <v>27</v>
      </c>
      <c r="N1716" s="8" t="s">
        <v>8715</v>
      </c>
      <c r="O1716" s="8" t="s">
        <v>1018</v>
      </c>
      <c r="P1716" s="8" t="s">
        <v>405</v>
      </c>
      <c r="Q1716" s="12" t="s">
        <v>8716</v>
      </c>
      <c r="R1716" s="8" t="s">
        <v>100</v>
      </c>
      <c r="S1716" s="7" t="s">
        <v>28</v>
      </c>
      <c r="T1716" s="6"/>
      <c r="U1716" s="8"/>
    </row>
    <row r="1717" spans="1:39" ht="13.5" customHeight="1">
      <c r="A1717" s="8" t="s">
        <v>8701</v>
      </c>
      <c r="B1717" s="16">
        <v>54</v>
      </c>
      <c r="C1717" s="8" t="s">
        <v>20</v>
      </c>
      <c r="D1717" s="8" t="s">
        <v>37</v>
      </c>
      <c r="F1717" s="17">
        <v>41832</v>
      </c>
      <c r="G1717" s="8" t="s">
        <v>8702</v>
      </c>
      <c r="H1717" s="8" t="s">
        <v>8703</v>
      </c>
      <c r="I1717" s="8" t="s">
        <v>62</v>
      </c>
      <c r="J1717" s="16" t="s">
        <v>8704</v>
      </c>
      <c r="K1717" s="2" t="s">
        <v>1269</v>
      </c>
      <c r="L1717" s="8" t="s">
        <v>8705</v>
      </c>
      <c r="M1717" s="8" t="s">
        <v>27</v>
      </c>
      <c r="N1717" s="8" t="s">
        <v>8706</v>
      </c>
      <c r="O1717" s="8" t="s">
        <v>1018</v>
      </c>
      <c r="P1717" s="8" t="s">
        <v>405</v>
      </c>
      <c r="Q1717" s="12" t="s">
        <v>8707</v>
      </c>
      <c r="R1717" s="8" t="s">
        <v>559</v>
      </c>
      <c r="S1717" s="7" t="s">
        <v>28</v>
      </c>
      <c r="T1717" s="6"/>
      <c r="U1717" s="8"/>
    </row>
    <row r="1718" spans="1:39" ht="13.5" customHeight="1">
      <c r="A1718" s="8" t="s">
        <v>8692</v>
      </c>
      <c r="B1718" s="16">
        <v>36</v>
      </c>
      <c r="C1718" s="8" t="s">
        <v>115</v>
      </c>
      <c r="D1718" s="8" t="s">
        <v>37</v>
      </c>
      <c r="E1718" s="8" t="s">
        <v>8693</v>
      </c>
      <c r="F1718" s="17">
        <v>41832</v>
      </c>
      <c r="G1718" s="8" t="s">
        <v>8694</v>
      </c>
      <c r="H1718" s="8" t="s">
        <v>8695</v>
      </c>
      <c r="I1718" s="8" t="s">
        <v>32</v>
      </c>
      <c r="J1718" s="16" t="s">
        <v>8696</v>
      </c>
      <c r="K1718" s="2" t="s">
        <v>8697</v>
      </c>
      <c r="L1718" s="8" t="s">
        <v>8698</v>
      </c>
      <c r="M1718" s="8" t="s">
        <v>27</v>
      </c>
      <c r="N1718" s="8" t="s">
        <v>8699</v>
      </c>
      <c r="O1718" s="8" t="s">
        <v>1018</v>
      </c>
      <c r="P1718" s="8" t="s">
        <v>405</v>
      </c>
      <c r="Q1718" s="12" t="s">
        <v>8700</v>
      </c>
      <c r="R1718" s="8" t="s">
        <v>29</v>
      </c>
      <c r="S1718" s="7" t="s">
        <v>28</v>
      </c>
      <c r="T1718" s="6"/>
      <c r="U1718" s="8"/>
    </row>
    <row r="1719" spans="1:39" ht="13.5" customHeight="1">
      <c r="A1719" s="8" t="s">
        <v>8717</v>
      </c>
      <c r="B1719" s="16">
        <v>42</v>
      </c>
      <c r="C1719" s="8" t="s">
        <v>20</v>
      </c>
      <c r="D1719" s="8" t="s">
        <v>141</v>
      </c>
      <c r="E1719" s="8" t="s">
        <v>8718</v>
      </c>
      <c r="F1719" s="17">
        <v>41831</v>
      </c>
      <c r="G1719" s="8" t="s">
        <v>8719</v>
      </c>
      <c r="H1719" s="8" t="s">
        <v>8720</v>
      </c>
      <c r="I1719" s="8" t="s">
        <v>306</v>
      </c>
      <c r="J1719" s="16" t="s">
        <v>8721</v>
      </c>
      <c r="K1719" s="2" t="s">
        <v>6326</v>
      </c>
      <c r="L1719" s="8" t="s">
        <v>8722</v>
      </c>
      <c r="M1719" s="8" t="s">
        <v>27</v>
      </c>
      <c r="N1719" s="8" t="s">
        <v>8723</v>
      </c>
      <c r="O1719" s="8" t="s">
        <v>4742</v>
      </c>
      <c r="P1719" s="8" t="s">
        <v>405</v>
      </c>
      <c r="Q1719" s="12" t="s">
        <v>8724</v>
      </c>
      <c r="R1719" s="8" t="s">
        <v>100</v>
      </c>
      <c r="S1719" s="7" t="s">
        <v>28</v>
      </c>
      <c r="T1719" s="6"/>
      <c r="U1719" s="8"/>
    </row>
    <row r="1720" spans="1:39" ht="13.5" customHeight="1">
      <c r="A1720" s="8" t="s">
        <v>8732</v>
      </c>
      <c r="B1720" s="16">
        <v>67</v>
      </c>
      <c r="C1720" s="8" t="s">
        <v>20</v>
      </c>
      <c r="D1720" s="8" t="s">
        <v>37</v>
      </c>
      <c r="F1720" s="17">
        <v>41831</v>
      </c>
      <c r="G1720" s="8" t="s">
        <v>8733</v>
      </c>
      <c r="H1720" s="8" t="s">
        <v>8734</v>
      </c>
      <c r="I1720" s="8" t="s">
        <v>319</v>
      </c>
      <c r="J1720" s="16" t="s">
        <v>8735</v>
      </c>
      <c r="K1720" s="2" t="s">
        <v>8736</v>
      </c>
      <c r="L1720" s="8" t="s">
        <v>8737</v>
      </c>
      <c r="M1720" s="8" t="s">
        <v>27</v>
      </c>
      <c r="N1720" s="8" t="s">
        <v>8738</v>
      </c>
      <c r="O1720" s="8" t="s">
        <v>554</v>
      </c>
      <c r="P1720" s="8" t="s">
        <v>405</v>
      </c>
      <c r="Q1720" s="12" t="s">
        <v>8739</v>
      </c>
      <c r="R1720" s="8" t="s">
        <v>100</v>
      </c>
      <c r="S1720" s="7" t="s">
        <v>28</v>
      </c>
      <c r="T1720" s="6"/>
      <c r="U1720" s="8"/>
    </row>
    <row r="1721" spans="1:39" ht="13.5" customHeight="1">
      <c r="A1721" s="8" t="s">
        <v>8725</v>
      </c>
      <c r="B1721" s="16">
        <v>41</v>
      </c>
      <c r="C1721" s="8" t="s">
        <v>20</v>
      </c>
      <c r="D1721" s="8" t="s">
        <v>37</v>
      </c>
      <c r="E1721" s="8" t="s">
        <v>8726</v>
      </c>
      <c r="F1721" s="17">
        <v>41831</v>
      </c>
      <c r="G1721" s="8" t="s">
        <v>8727</v>
      </c>
      <c r="H1721" s="8" t="s">
        <v>8728</v>
      </c>
      <c r="I1721" s="8" t="s">
        <v>73</v>
      </c>
      <c r="J1721" s="16" t="s">
        <v>8729</v>
      </c>
      <c r="K1721" s="2" t="s">
        <v>1070</v>
      </c>
      <c r="L1721" s="8" t="s">
        <v>8730</v>
      </c>
      <c r="M1721" s="8" t="s">
        <v>27</v>
      </c>
      <c r="N1721" s="8" t="s">
        <v>8731</v>
      </c>
      <c r="O1721" s="8" t="s">
        <v>554</v>
      </c>
      <c r="P1721" s="8" t="s">
        <v>405</v>
      </c>
      <c r="Q1721" s="12"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1721" s="8" t="s">
        <v>29</v>
      </c>
      <c r="S1721" s="7" t="s">
        <v>28</v>
      </c>
      <c r="T1721" s="6"/>
      <c r="U1721" s="8"/>
    </row>
    <row r="1722" spans="1:39" ht="13.5" customHeight="1">
      <c r="A1722" s="8" t="s">
        <v>8750</v>
      </c>
      <c r="B1722" s="16">
        <v>27</v>
      </c>
      <c r="C1722" s="8" t="s">
        <v>20</v>
      </c>
      <c r="D1722" s="8" t="s">
        <v>37</v>
      </c>
      <c r="E1722" s="8" t="s">
        <v>8751</v>
      </c>
      <c r="F1722" s="17">
        <v>41830</v>
      </c>
      <c r="G1722" s="8" t="s">
        <v>8752</v>
      </c>
      <c r="H1722" s="8" t="s">
        <v>8753</v>
      </c>
      <c r="I1722" s="8" t="s">
        <v>306</v>
      </c>
      <c r="J1722" s="16" t="s">
        <v>8754</v>
      </c>
      <c r="K1722" s="2" t="s">
        <v>2169</v>
      </c>
      <c r="L1722" s="8" t="s">
        <v>2171</v>
      </c>
      <c r="M1722" s="8" t="s">
        <v>27</v>
      </c>
      <c r="N1722" s="8" t="s">
        <v>8755</v>
      </c>
      <c r="O1722" s="8" t="s">
        <v>1018</v>
      </c>
      <c r="P1722" s="8" t="s">
        <v>405</v>
      </c>
      <c r="Q1722" s="12" t="s">
        <v>8756</v>
      </c>
      <c r="R1722" s="8" t="s">
        <v>559</v>
      </c>
      <c r="S1722" s="7" t="s">
        <v>18</v>
      </c>
      <c r="T1722" s="6"/>
      <c r="U1722" s="8"/>
    </row>
    <row r="1723" spans="1:39" ht="13.5" customHeight="1">
      <c r="A1723" s="8" t="s">
        <v>8745</v>
      </c>
      <c r="B1723" s="16">
        <v>40</v>
      </c>
      <c r="C1723" s="8" t="s">
        <v>20</v>
      </c>
      <c r="D1723" s="8" t="s">
        <v>48</v>
      </c>
      <c r="E1723" s="8" t="s">
        <v>8746</v>
      </c>
      <c r="F1723" s="17">
        <v>41830</v>
      </c>
      <c r="G1723" s="8" t="s">
        <v>8747</v>
      </c>
      <c r="H1723" s="8" t="s">
        <v>6421</v>
      </c>
      <c r="I1723" s="8" t="s">
        <v>45</v>
      </c>
      <c r="J1723" s="16" t="s">
        <v>6422</v>
      </c>
      <c r="K1723" s="2" t="s">
        <v>65</v>
      </c>
      <c r="L1723" s="8" t="s">
        <v>6423</v>
      </c>
      <c r="M1723" s="8" t="s">
        <v>27</v>
      </c>
      <c r="N1723" s="8" t="s">
        <v>8748</v>
      </c>
      <c r="O1723" s="8" t="s">
        <v>4742</v>
      </c>
      <c r="P1723" s="8" t="s">
        <v>405</v>
      </c>
      <c r="Q1723" s="12" t="s">
        <v>8749</v>
      </c>
      <c r="R1723" s="8" t="s">
        <v>100</v>
      </c>
      <c r="S1723" s="7" t="s">
        <v>18</v>
      </c>
      <c r="T1723" s="6"/>
      <c r="U1723" s="8"/>
    </row>
    <row r="1724" spans="1:39" ht="13.5" customHeight="1">
      <c r="A1724" s="8" t="s">
        <v>8740</v>
      </c>
      <c r="B1724" s="16">
        <v>37</v>
      </c>
      <c r="C1724" s="8" t="s">
        <v>20</v>
      </c>
      <c r="D1724" s="8" t="s">
        <v>85</v>
      </c>
      <c r="E1724" s="8" t="s">
        <v>8741</v>
      </c>
      <c r="F1724" s="17">
        <v>41830</v>
      </c>
      <c r="G1724" s="8" t="s">
        <v>8742</v>
      </c>
      <c r="H1724" s="8" t="s">
        <v>1300</v>
      </c>
      <c r="I1724" s="8" t="s">
        <v>69</v>
      </c>
      <c r="J1724" s="16" t="s">
        <v>8743</v>
      </c>
      <c r="K1724" s="2" t="s">
        <v>1301</v>
      </c>
      <c r="L1724" s="8" t="s">
        <v>12726</v>
      </c>
      <c r="M1724" s="8" t="s">
        <v>27</v>
      </c>
      <c r="N1724" s="8" t="s">
        <v>8744</v>
      </c>
      <c r="O1724" s="8" t="s">
        <v>4742</v>
      </c>
      <c r="P1724" s="8" t="s">
        <v>405</v>
      </c>
      <c r="Q1724" s="12"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1724" s="8" t="s">
        <v>559</v>
      </c>
      <c r="S1724" s="7" t="s">
        <v>35</v>
      </c>
      <c r="T1724" s="6"/>
      <c r="U1724" s="8"/>
    </row>
    <row r="1725" spans="1:39" ht="13.5" customHeight="1">
      <c r="A1725" s="8" t="s">
        <v>8757</v>
      </c>
      <c r="B1725" s="16">
        <v>53</v>
      </c>
      <c r="C1725" s="8" t="s">
        <v>20</v>
      </c>
      <c r="D1725" s="8" t="s">
        <v>85</v>
      </c>
      <c r="E1725" s="8" t="s">
        <v>8758</v>
      </c>
      <c r="F1725" s="17">
        <v>41829</v>
      </c>
      <c r="G1725" s="8" t="s">
        <v>8759</v>
      </c>
      <c r="H1725" s="8" t="s">
        <v>8760</v>
      </c>
      <c r="I1725" s="8" t="s">
        <v>73</v>
      </c>
      <c r="J1725" s="16" t="s">
        <v>8761</v>
      </c>
      <c r="K1725" s="2" t="s">
        <v>562</v>
      </c>
      <c r="L1725" s="8" t="s">
        <v>8762</v>
      </c>
      <c r="M1725" s="8" t="s">
        <v>27</v>
      </c>
      <c r="N1725" s="8" t="s">
        <v>8763</v>
      </c>
      <c r="O1725" s="8" t="s">
        <v>4742</v>
      </c>
      <c r="P1725" s="8" t="s">
        <v>405</v>
      </c>
      <c r="Q1725" s="12" t="s">
        <v>8764</v>
      </c>
      <c r="R1725" s="8" t="s">
        <v>100</v>
      </c>
      <c r="S1725" s="7" t="s">
        <v>18</v>
      </c>
      <c r="T1725" s="6"/>
      <c r="U1725" s="8"/>
    </row>
    <row r="1726" spans="1:39" ht="13.5" customHeight="1">
      <c r="A1726" s="8" t="s">
        <v>8787</v>
      </c>
      <c r="B1726" s="16">
        <v>26</v>
      </c>
      <c r="C1726" s="8" t="s">
        <v>20</v>
      </c>
      <c r="D1726" s="8" t="s">
        <v>37</v>
      </c>
      <c r="E1726" s="8" t="s">
        <v>8788</v>
      </c>
      <c r="F1726" s="17">
        <v>41829</v>
      </c>
      <c r="G1726" s="8" t="s">
        <v>8789</v>
      </c>
      <c r="H1726" s="8" t="s">
        <v>8790</v>
      </c>
      <c r="I1726" s="8" t="s">
        <v>73</v>
      </c>
      <c r="J1726" s="16" t="s">
        <v>8791</v>
      </c>
      <c r="K1726" s="2" t="s">
        <v>1400</v>
      </c>
      <c r="L1726" s="8" t="s">
        <v>8792</v>
      </c>
      <c r="M1726" s="8" t="s">
        <v>27</v>
      </c>
      <c r="N1726" s="8" t="s">
        <v>8793</v>
      </c>
      <c r="O1726" s="8" t="s">
        <v>1018</v>
      </c>
      <c r="P1726" s="8" t="s">
        <v>405</v>
      </c>
      <c r="Q1726" s="12" t="s">
        <v>8794</v>
      </c>
      <c r="R1726" s="8" t="s">
        <v>100</v>
      </c>
      <c r="S1726" s="7" t="s">
        <v>28</v>
      </c>
      <c r="T1726" s="6"/>
      <c r="U1726" s="8"/>
    </row>
    <row r="1727" spans="1:39" ht="13.5" customHeight="1">
      <c r="A1727" s="8" t="s">
        <v>8779</v>
      </c>
      <c r="B1727" s="16">
        <v>37</v>
      </c>
      <c r="C1727" s="8" t="s">
        <v>20</v>
      </c>
      <c r="D1727" s="8" t="s">
        <v>37</v>
      </c>
      <c r="E1727" s="8" t="s">
        <v>8780</v>
      </c>
      <c r="F1727" s="17">
        <v>41829</v>
      </c>
      <c r="G1727" s="8" t="s">
        <v>8781</v>
      </c>
      <c r="H1727" s="8" t="s">
        <v>8782</v>
      </c>
      <c r="I1727" s="8" t="s">
        <v>62</v>
      </c>
      <c r="J1727" s="16" t="s">
        <v>8783</v>
      </c>
      <c r="K1727" s="2" t="s">
        <v>5608</v>
      </c>
      <c r="L1727" s="8" t="s">
        <v>8784</v>
      </c>
      <c r="M1727" s="8" t="s">
        <v>27</v>
      </c>
      <c r="N1727" s="8" t="s">
        <v>8785</v>
      </c>
      <c r="O1727" s="8" t="s">
        <v>3421</v>
      </c>
      <c r="P1727" s="8" t="s">
        <v>405</v>
      </c>
      <c r="Q1727" s="12" t="s">
        <v>8786</v>
      </c>
      <c r="R1727" s="8" t="s">
        <v>100</v>
      </c>
      <c r="S1727" s="7" t="s">
        <v>28</v>
      </c>
      <c r="T1727" s="6"/>
      <c r="U1727" s="8"/>
    </row>
    <row r="1728" spans="1:39" ht="13.5" customHeight="1">
      <c r="A1728" s="8" t="s">
        <v>8765</v>
      </c>
      <c r="B1728" s="16">
        <v>49</v>
      </c>
      <c r="C1728" s="8" t="s">
        <v>20</v>
      </c>
      <c r="D1728" s="8" t="s">
        <v>37</v>
      </c>
      <c r="E1728" s="8" t="s">
        <v>8766</v>
      </c>
      <c r="F1728" s="17">
        <v>41829</v>
      </c>
      <c r="G1728" s="8" t="s">
        <v>8767</v>
      </c>
      <c r="H1728" s="8" t="s">
        <v>4406</v>
      </c>
      <c r="I1728" s="8" t="s">
        <v>306</v>
      </c>
      <c r="J1728" s="16" t="s">
        <v>4407</v>
      </c>
      <c r="K1728" s="2" t="s">
        <v>1301</v>
      </c>
      <c r="L1728" s="8" t="s">
        <v>8768</v>
      </c>
      <c r="M1728" s="8" t="s">
        <v>27</v>
      </c>
      <c r="N1728" s="8" t="s">
        <v>8769</v>
      </c>
      <c r="O1728" s="8" t="s">
        <v>1018</v>
      </c>
      <c r="P1728" s="8" t="s">
        <v>405</v>
      </c>
      <c r="Q1728" s="12" t="s">
        <v>8770</v>
      </c>
      <c r="R1728" s="8" t="s">
        <v>559</v>
      </c>
      <c r="S1728" s="7" t="s">
        <v>28</v>
      </c>
      <c r="T1728" s="6"/>
      <c r="U1728" s="8"/>
    </row>
    <row r="1729" spans="1:34" ht="13.5" customHeight="1">
      <c r="A1729" s="8" t="s">
        <v>8771</v>
      </c>
      <c r="B1729" s="16">
        <v>45</v>
      </c>
      <c r="C1729" s="8" t="s">
        <v>20</v>
      </c>
      <c r="D1729" s="8" t="s">
        <v>37</v>
      </c>
      <c r="E1729" s="8" t="s">
        <v>8772</v>
      </c>
      <c r="F1729" s="17">
        <v>41829</v>
      </c>
      <c r="G1729" s="8" t="s">
        <v>8773</v>
      </c>
      <c r="H1729" s="8" t="s">
        <v>8774</v>
      </c>
      <c r="I1729" s="8" t="s">
        <v>44</v>
      </c>
      <c r="J1729" s="16" t="s">
        <v>8775</v>
      </c>
      <c r="K1729" s="2" t="s">
        <v>2179</v>
      </c>
      <c r="L1729" s="8" t="s">
        <v>8776</v>
      </c>
      <c r="M1729" s="8" t="s">
        <v>27</v>
      </c>
      <c r="N1729" s="8" t="s">
        <v>8777</v>
      </c>
      <c r="O1729" s="8" t="s">
        <v>1018</v>
      </c>
      <c r="P1729" s="8" t="s">
        <v>405</v>
      </c>
      <c r="Q1729" s="12" t="s">
        <v>8778</v>
      </c>
      <c r="R1729" s="8" t="s">
        <v>29</v>
      </c>
      <c r="S1729" s="7" t="s">
        <v>28</v>
      </c>
      <c r="T1729" s="6"/>
      <c r="U1729" s="8"/>
    </row>
    <row r="1730" spans="1:34" ht="13.5" customHeight="1">
      <c r="A1730" s="8" t="s">
        <v>8801</v>
      </c>
      <c r="B1730" s="16">
        <v>35</v>
      </c>
      <c r="C1730" s="8" t="s">
        <v>115</v>
      </c>
      <c r="D1730" s="8" t="s">
        <v>141</v>
      </c>
      <c r="E1730" s="8" t="s">
        <v>8802</v>
      </c>
      <c r="F1730" s="17">
        <v>41828</v>
      </c>
      <c r="G1730" s="8" t="s">
        <v>8803</v>
      </c>
      <c r="H1730" s="8" t="s">
        <v>797</v>
      </c>
      <c r="I1730" s="8" t="s">
        <v>798</v>
      </c>
      <c r="J1730" s="16" t="s">
        <v>8804</v>
      </c>
      <c r="K1730" s="2" t="s">
        <v>799</v>
      </c>
      <c r="L1730" s="8" t="s">
        <v>8805</v>
      </c>
      <c r="M1730" s="8" t="s">
        <v>27</v>
      </c>
      <c r="N1730" s="8" t="s">
        <v>8806</v>
      </c>
      <c r="O1730" s="8" t="s">
        <v>554</v>
      </c>
      <c r="P1730" s="8" t="s">
        <v>405</v>
      </c>
      <c r="Q1730" s="12" t="s">
        <v>8807</v>
      </c>
      <c r="R1730" s="8" t="s">
        <v>29</v>
      </c>
      <c r="S1730" s="7" t="s">
        <v>28</v>
      </c>
      <c r="T1730" s="6"/>
      <c r="U1730" s="8"/>
    </row>
    <row r="1731" spans="1:34" ht="13.5" customHeight="1">
      <c r="A1731" s="8" t="s">
        <v>8795</v>
      </c>
      <c r="B1731" s="16">
        <v>30</v>
      </c>
      <c r="C1731" s="8" t="s">
        <v>20</v>
      </c>
      <c r="D1731" s="8" t="s">
        <v>48</v>
      </c>
      <c r="E1731" s="8" t="s">
        <v>8796</v>
      </c>
      <c r="F1731" s="17">
        <v>41828</v>
      </c>
      <c r="G1731" s="8" t="s">
        <v>8797</v>
      </c>
      <c r="H1731" s="8" t="s">
        <v>579</v>
      </c>
      <c r="I1731" s="8" t="s">
        <v>73</v>
      </c>
      <c r="J1731" s="16" t="s">
        <v>8798</v>
      </c>
      <c r="K1731" s="2" t="s">
        <v>580</v>
      </c>
      <c r="L1731" s="8" t="s">
        <v>581</v>
      </c>
      <c r="M1731" s="8" t="s">
        <v>8430</v>
      </c>
      <c r="N1731" s="8" t="s">
        <v>8799</v>
      </c>
      <c r="O1731" s="8" t="s">
        <v>4742</v>
      </c>
      <c r="P1731" s="8" t="s">
        <v>405</v>
      </c>
      <c r="Q1731" s="12" t="s">
        <v>8800</v>
      </c>
      <c r="R1731" s="8" t="s">
        <v>100</v>
      </c>
      <c r="S1731" s="7" t="s">
        <v>18</v>
      </c>
      <c r="T1731" s="6"/>
      <c r="U1731" s="8"/>
    </row>
    <row r="1732" spans="1:34" ht="13.5" customHeight="1">
      <c r="A1732" s="8" t="s">
        <v>8808</v>
      </c>
      <c r="B1732" s="16">
        <v>36</v>
      </c>
      <c r="C1732" s="8" t="s">
        <v>20</v>
      </c>
      <c r="D1732" s="8" t="s">
        <v>37</v>
      </c>
      <c r="F1732" s="17">
        <v>41827</v>
      </c>
      <c r="G1732" s="8" t="s">
        <v>8809</v>
      </c>
      <c r="H1732" s="8" t="s">
        <v>8810</v>
      </c>
      <c r="I1732" s="8" t="s">
        <v>118</v>
      </c>
      <c r="J1732" s="16" t="s">
        <v>8811</v>
      </c>
      <c r="K1732" s="2" t="s">
        <v>4309</v>
      </c>
      <c r="L1732" s="8" t="s">
        <v>4310</v>
      </c>
      <c r="M1732" s="8" t="s">
        <v>27</v>
      </c>
      <c r="N1732" s="8" t="s">
        <v>8812</v>
      </c>
      <c r="O1732" s="8" t="s">
        <v>1018</v>
      </c>
      <c r="P1732" s="8" t="s">
        <v>405</v>
      </c>
      <c r="Q1732" s="12" t="s">
        <v>8813</v>
      </c>
      <c r="R1732" s="8" t="s">
        <v>100</v>
      </c>
      <c r="S1732" s="7" t="s">
        <v>28</v>
      </c>
      <c r="T1732" s="6"/>
      <c r="U1732" s="8"/>
    </row>
    <row r="1733" spans="1:34" ht="13.5" customHeight="1">
      <c r="A1733" s="8" t="s">
        <v>8814</v>
      </c>
      <c r="B1733" s="16">
        <v>29</v>
      </c>
      <c r="C1733" s="8" t="s">
        <v>20</v>
      </c>
      <c r="D1733" s="8" t="s">
        <v>30</v>
      </c>
      <c r="F1733" s="17">
        <v>41826</v>
      </c>
      <c r="G1733" s="8" t="s">
        <v>8815</v>
      </c>
      <c r="H1733" s="8" t="s">
        <v>8816</v>
      </c>
      <c r="I1733" s="8" t="s">
        <v>45</v>
      </c>
      <c r="J1733" s="16" t="s">
        <v>8817</v>
      </c>
      <c r="K1733" s="2" t="s">
        <v>608</v>
      </c>
      <c r="L1733" s="8" t="s">
        <v>8818</v>
      </c>
      <c r="M1733" s="8" t="s">
        <v>27</v>
      </c>
      <c r="N1733" s="8" t="s">
        <v>8819</v>
      </c>
      <c r="O1733" s="8" t="s">
        <v>1018</v>
      </c>
      <c r="P1733" s="8" t="s">
        <v>405</v>
      </c>
      <c r="Q1733" s="12" t="s">
        <v>8820</v>
      </c>
      <c r="R1733" s="8" t="s">
        <v>972</v>
      </c>
      <c r="S1733" s="7" t="s">
        <v>18</v>
      </c>
      <c r="T1733" s="6"/>
      <c r="U1733" s="8"/>
    </row>
    <row r="1734" spans="1:34" ht="13.5" customHeight="1">
      <c r="A1734" s="8" t="s">
        <v>8821</v>
      </c>
      <c r="B1734" s="16" t="s">
        <v>8822</v>
      </c>
      <c r="C1734" s="8" t="s">
        <v>20</v>
      </c>
      <c r="D1734" s="8" t="s">
        <v>37</v>
      </c>
      <c r="E1734" s="8" t="s">
        <v>8823</v>
      </c>
      <c r="F1734" s="17">
        <v>41826</v>
      </c>
      <c r="G1734" s="8" t="s">
        <v>8824</v>
      </c>
      <c r="H1734" s="8" t="s">
        <v>8825</v>
      </c>
      <c r="I1734" s="8" t="s">
        <v>442</v>
      </c>
      <c r="J1734" s="16" t="s">
        <v>8826</v>
      </c>
      <c r="K1734" s="2" t="s">
        <v>8827</v>
      </c>
      <c r="L1734" s="8" t="s">
        <v>8828</v>
      </c>
      <c r="M1734" s="8" t="s">
        <v>27</v>
      </c>
      <c r="N1734" s="8" t="s">
        <v>8829</v>
      </c>
      <c r="O1734" s="8" t="s">
        <v>29</v>
      </c>
      <c r="P1734" s="8" t="s">
        <v>405</v>
      </c>
      <c r="Q1734" s="12"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1734" s="8" t="s">
        <v>559</v>
      </c>
      <c r="S1734" s="7" t="s">
        <v>28</v>
      </c>
      <c r="T1734" s="6"/>
      <c r="U1734" s="8"/>
    </row>
    <row r="1735" spans="1:34" ht="13.5" customHeight="1">
      <c r="A1735" s="8" t="s">
        <v>8858</v>
      </c>
      <c r="B1735" s="16">
        <v>57</v>
      </c>
      <c r="C1735" s="8" t="s">
        <v>115</v>
      </c>
      <c r="D1735" s="8" t="s">
        <v>37</v>
      </c>
      <c r="E1735" s="8" t="s">
        <v>8859</v>
      </c>
      <c r="F1735" s="17">
        <v>41825</v>
      </c>
      <c r="G1735" s="8" t="s">
        <v>8860</v>
      </c>
      <c r="H1735" s="8" t="s">
        <v>8861</v>
      </c>
      <c r="I1735" s="8" t="s">
        <v>408</v>
      </c>
      <c r="J1735" s="16" t="s">
        <v>8862</v>
      </c>
      <c r="K1735" s="2" t="s">
        <v>8863</v>
      </c>
      <c r="L1735" s="8" t="s">
        <v>9453</v>
      </c>
      <c r="M1735" s="8" t="s">
        <v>383</v>
      </c>
      <c r="N1735" s="8" t="s">
        <v>8864</v>
      </c>
      <c r="O1735" s="8" t="s">
        <v>8865</v>
      </c>
      <c r="P1735" s="8" t="s">
        <v>1171</v>
      </c>
      <c r="Q1735" s="12" t="s">
        <v>8866</v>
      </c>
      <c r="R1735" s="8" t="s">
        <v>100</v>
      </c>
      <c r="S1735" s="7" t="s">
        <v>18</v>
      </c>
      <c r="T1735" s="6"/>
      <c r="U1735" s="8"/>
    </row>
    <row r="1736" spans="1:34" ht="13.5" customHeight="1">
      <c r="A1736" s="8" t="s">
        <v>8834</v>
      </c>
      <c r="B1736" s="16">
        <v>30</v>
      </c>
      <c r="C1736" s="8" t="s">
        <v>20</v>
      </c>
      <c r="D1736" s="8" t="s">
        <v>85</v>
      </c>
      <c r="E1736" s="8" t="s">
        <v>8835</v>
      </c>
      <c r="F1736" s="17">
        <v>41825</v>
      </c>
      <c r="G1736" s="8" t="s">
        <v>8836</v>
      </c>
      <c r="H1736" s="8" t="s">
        <v>8837</v>
      </c>
      <c r="I1736" s="8" t="s">
        <v>435</v>
      </c>
      <c r="J1736" s="16">
        <v>63121</v>
      </c>
      <c r="K1736" s="2" t="s">
        <v>717</v>
      </c>
      <c r="L1736" s="8" t="s">
        <v>8838</v>
      </c>
      <c r="M1736" s="8" t="s">
        <v>27</v>
      </c>
      <c r="N1736" s="8" t="s">
        <v>8839</v>
      </c>
      <c r="O1736" s="8" t="s">
        <v>554</v>
      </c>
      <c r="P1736" s="8" t="s">
        <v>405</v>
      </c>
      <c r="Q1736" s="12" t="str">
        <f>HYPERLINK("http://fox2now.com/2014/07/05/suspect-shot-killed-by-police-following-pursuit/","http://fox2now.com/2014/07/05/suspect-shot-killed-by-police-following-pursuit/")</f>
        <v>http://fox2now.com/2014/07/05/suspect-shot-killed-by-police-following-pursuit/</v>
      </c>
      <c r="R1736" s="8" t="s">
        <v>100</v>
      </c>
      <c r="S1736" s="7" t="s">
        <v>18</v>
      </c>
      <c r="T1736" s="6"/>
      <c r="U1736" s="8"/>
    </row>
    <row r="1737" spans="1:34" ht="13.5" customHeight="1">
      <c r="A1737" s="8" t="s">
        <v>8830</v>
      </c>
      <c r="B1737" s="16">
        <v>37</v>
      </c>
      <c r="C1737" s="8" t="s">
        <v>20</v>
      </c>
      <c r="D1737" s="8" t="s">
        <v>85</v>
      </c>
      <c r="F1737" s="17">
        <v>41825</v>
      </c>
      <c r="G1737" s="8" t="s">
        <v>8831</v>
      </c>
      <c r="H1737" s="8" t="s">
        <v>7111</v>
      </c>
      <c r="I1737" s="8" t="s">
        <v>25</v>
      </c>
      <c r="J1737" s="16" t="s">
        <v>7112</v>
      </c>
      <c r="K1737" s="2" t="s">
        <v>7113</v>
      </c>
      <c r="L1737" s="8" t="s">
        <v>7114</v>
      </c>
      <c r="M1737" s="8" t="s">
        <v>8585</v>
      </c>
      <c r="N1737" s="8" t="s">
        <v>8832</v>
      </c>
      <c r="O1737" s="8" t="s">
        <v>1018</v>
      </c>
      <c r="P1737" s="8" t="s">
        <v>405</v>
      </c>
      <c r="Q1737" s="12" t="s">
        <v>8833</v>
      </c>
      <c r="R1737" s="8" t="s">
        <v>29</v>
      </c>
      <c r="S1737" s="7" t="s">
        <v>28</v>
      </c>
      <c r="T1737" s="6"/>
      <c r="U1737" s="8"/>
    </row>
    <row r="1738" spans="1:34" ht="13.5" customHeight="1">
      <c r="A1738" s="8" t="s">
        <v>8845</v>
      </c>
      <c r="B1738" s="16">
        <v>59</v>
      </c>
      <c r="C1738" s="8" t="s">
        <v>115</v>
      </c>
      <c r="D1738" s="8" t="s">
        <v>37</v>
      </c>
      <c r="F1738" s="17">
        <v>41825</v>
      </c>
      <c r="G1738" s="8" t="s">
        <v>8846</v>
      </c>
      <c r="H1738" s="8" t="s">
        <v>8847</v>
      </c>
      <c r="I1738" s="8" t="s">
        <v>374</v>
      </c>
      <c r="J1738" s="16" t="s">
        <v>8848</v>
      </c>
      <c r="K1738" s="2" t="s">
        <v>1881</v>
      </c>
      <c r="L1738" s="8" t="s">
        <v>8849</v>
      </c>
      <c r="M1738" s="8" t="s">
        <v>27</v>
      </c>
      <c r="N1738" s="8" t="s">
        <v>8850</v>
      </c>
      <c r="O1738" s="8" t="s">
        <v>554</v>
      </c>
      <c r="P1738" s="8" t="s">
        <v>405</v>
      </c>
      <c r="Q1738" s="12" t="s">
        <v>8851</v>
      </c>
      <c r="R1738" s="8" t="s">
        <v>559</v>
      </c>
      <c r="S1738" s="7" t="s">
        <v>28</v>
      </c>
      <c r="T1738" s="6"/>
      <c r="U1738" s="8"/>
      <c r="Y1738" s="8"/>
      <c r="Z1738" s="8"/>
      <c r="AA1738" s="8"/>
      <c r="AB1738" s="8"/>
      <c r="AC1738" s="8"/>
      <c r="AD1738" s="8"/>
      <c r="AE1738" s="8"/>
      <c r="AF1738" s="8"/>
      <c r="AG1738" s="8"/>
      <c r="AH1738" s="8"/>
    </row>
    <row r="1739" spans="1:34" ht="13.5" customHeight="1">
      <c r="A1739" s="8" t="s">
        <v>8852</v>
      </c>
      <c r="B1739" s="16">
        <v>27</v>
      </c>
      <c r="C1739" s="8" t="s">
        <v>20</v>
      </c>
      <c r="D1739" s="8" t="s">
        <v>37</v>
      </c>
      <c r="E1739" s="8" t="s">
        <v>8853</v>
      </c>
      <c r="F1739" s="17">
        <v>41825</v>
      </c>
      <c r="G1739" s="8" t="s">
        <v>8854</v>
      </c>
      <c r="H1739" s="8" t="s">
        <v>5253</v>
      </c>
      <c r="I1739" s="8" t="s">
        <v>399</v>
      </c>
      <c r="J1739" s="16" t="s">
        <v>8855</v>
      </c>
      <c r="K1739" s="2" t="s">
        <v>992</v>
      </c>
      <c r="L1739" s="8" t="s">
        <v>19940</v>
      </c>
      <c r="M1739" s="8" t="s">
        <v>27</v>
      </c>
      <c r="N1739" s="8" t="s">
        <v>8856</v>
      </c>
      <c r="O1739" s="8" t="s">
        <v>1018</v>
      </c>
      <c r="P1739" s="8" t="s">
        <v>405</v>
      </c>
      <c r="Q1739" s="12" t="s">
        <v>8857</v>
      </c>
      <c r="R1739" s="8" t="s">
        <v>100</v>
      </c>
      <c r="S1739" s="7" t="s">
        <v>28</v>
      </c>
      <c r="T1739" s="6"/>
      <c r="U1739" s="8"/>
    </row>
    <row r="1740" spans="1:34" ht="13.5" customHeight="1">
      <c r="A1740" s="8" t="s">
        <v>8840</v>
      </c>
      <c r="B1740" s="16">
        <v>16</v>
      </c>
      <c r="C1740" s="8" t="s">
        <v>20</v>
      </c>
      <c r="D1740" s="8" t="s">
        <v>85</v>
      </c>
      <c r="E1740" s="8" t="s">
        <v>8841</v>
      </c>
      <c r="F1740" s="17">
        <v>41825</v>
      </c>
      <c r="G1740" s="8" t="s">
        <v>8842</v>
      </c>
      <c r="H1740" s="8" t="s">
        <v>87</v>
      </c>
      <c r="I1740" s="8" t="s">
        <v>44</v>
      </c>
      <c r="J1740" s="16" t="s">
        <v>7926</v>
      </c>
      <c r="K1740" s="2" t="s">
        <v>88</v>
      </c>
      <c r="L1740" s="8" t="s">
        <v>89</v>
      </c>
      <c r="M1740" s="8" t="s">
        <v>27</v>
      </c>
      <c r="N1740" s="8" t="s">
        <v>8843</v>
      </c>
      <c r="O1740" s="8" t="s">
        <v>1018</v>
      </c>
      <c r="P1740" s="8" t="s">
        <v>405</v>
      </c>
      <c r="Q1740" s="12" t="s">
        <v>8844</v>
      </c>
      <c r="R1740" s="8" t="s">
        <v>100</v>
      </c>
      <c r="S1740" s="7" t="s">
        <v>35</v>
      </c>
      <c r="T1740" s="6"/>
      <c r="U1740" s="8"/>
    </row>
    <row r="1741" spans="1:34" ht="13.5" customHeight="1">
      <c r="A1741" s="8" t="s">
        <v>8889</v>
      </c>
      <c r="B1741" s="16">
        <v>79</v>
      </c>
      <c r="C1741" s="8" t="s">
        <v>115</v>
      </c>
      <c r="D1741" s="8" t="s">
        <v>30</v>
      </c>
      <c r="F1741" s="17">
        <v>41824</v>
      </c>
      <c r="G1741" s="8" t="s">
        <v>8883</v>
      </c>
      <c r="H1741" s="8" t="s">
        <v>8884</v>
      </c>
      <c r="I1741" s="8" t="s">
        <v>135</v>
      </c>
      <c r="J1741" s="16" t="s">
        <v>8885</v>
      </c>
      <c r="K1741" s="2" t="s">
        <v>8886</v>
      </c>
      <c r="L1741" s="8" t="s">
        <v>5417</v>
      </c>
      <c r="M1741" s="8" t="s">
        <v>383</v>
      </c>
      <c r="N1741" s="8" t="s">
        <v>8887</v>
      </c>
      <c r="O1741" s="8" t="s">
        <v>1018</v>
      </c>
      <c r="P1741" s="8" t="s">
        <v>405</v>
      </c>
      <c r="Q1741" s="12" t="s">
        <v>8888</v>
      </c>
      <c r="R1741" s="8" t="s">
        <v>100</v>
      </c>
      <c r="S1741" s="7" t="s">
        <v>28</v>
      </c>
      <c r="T1741" s="6"/>
      <c r="U1741" s="8"/>
    </row>
    <row r="1742" spans="1:34" ht="13.5" customHeight="1">
      <c r="A1742" s="8" t="s">
        <v>8867</v>
      </c>
      <c r="B1742" s="16" t="s">
        <v>8868</v>
      </c>
      <c r="C1742" s="8" t="s">
        <v>20</v>
      </c>
      <c r="D1742" s="8" t="s">
        <v>85</v>
      </c>
      <c r="E1742" s="8" t="s">
        <v>8869</v>
      </c>
      <c r="F1742" s="17">
        <v>41824</v>
      </c>
      <c r="G1742" s="8" t="s">
        <v>8870</v>
      </c>
      <c r="H1742" s="8" t="s">
        <v>690</v>
      </c>
      <c r="I1742" s="8" t="s">
        <v>367</v>
      </c>
      <c r="J1742" s="16" t="s">
        <v>8871</v>
      </c>
      <c r="K1742" s="2" t="s">
        <v>691</v>
      </c>
      <c r="L1742" s="8" t="s">
        <v>8872</v>
      </c>
      <c r="M1742" s="8" t="s">
        <v>27</v>
      </c>
      <c r="N1742" s="8" t="s">
        <v>8873</v>
      </c>
      <c r="O1742" s="8" t="s">
        <v>29</v>
      </c>
      <c r="P1742" s="8" t="s">
        <v>405</v>
      </c>
      <c r="Q1742" s="12" t="s">
        <v>8874</v>
      </c>
      <c r="R1742" s="8" t="s">
        <v>29</v>
      </c>
      <c r="S1742" s="7" t="s">
        <v>28</v>
      </c>
      <c r="T1742" s="6"/>
      <c r="U1742" s="8"/>
      <c r="V1742" s="8"/>
      <c r="W1742" s="8"/>
      <c r="X1742" s="8"/>
    </row>
    <row r="1743" spans="1:34" ht="13.5" customHeight="1">
      <c r="A1743" s="8" t="s">
        <v>8890</v>
      </c>
      <c r="B1743" s="16">
        <v>33</v>
      </c>
      <c r="C1743" s="8" t="s">
        <v>20</v>
      </c>
      <c r="D1743" s="8" t="s">
        <v>37</v>
      </c>
      <c r="F1743" s="17">
        <v>41824</v>
      </c>
      <c r="G1743" s="8" t="s">
        <v>8891</v>
      </c>
      <c r="H1743" s="8" t="s">
        <v>8892</v>
      </c>
      <c r="I1743" s="8" t="s">
        <v>323</v>
      </c>
      <c r="J1743" s="16" t="s">
        <v>8893</v>
      </c>
      <c r="K1743" s="2" t="s">
        <v>8894</v>
      </c>
      <c r="L1743" s="8" t="s">
        <v>8895</v>
      </c>
      <c r="M1743" s="8" t="s">
        <v>29</v>
      </c>
      <c r="N1743" s="8" t="s">
        <v>8896</v>
      </c>
      <c r="O1743" s="8" t="s">
        <v>1018</v>
      </c>
      <c r="P1743" s="8" t="s">
        <v>405</v>
      </c>
      <c r="Q1743" s="12" t="str">
        <f>HYPERLINK("http://www.wcyb.com/news/tbi-investigating-death-of-man-in-custody/26809334","http://www.wcyb.com/news/tbi-investigating-death-of-man-in-custody/26809334")</f>
        <v>http://www.wcyb.com/news/tbi-investigating-death-of-man-in-custody/26809334</v>
      </c>
      <c r="R1743" s="8" t="s">
        <v>29</v>
      </c>
      <c r="S1743" s="7" t="s">
        <v>18</v>
      </c>
      <c r="T1743" s="6"/>
      <c r="U1743" s="8"/>
    </row>
    <row r="1744" spans="1:34" ht="13.5" customHeight="1">
      <c r="A1744" s="8" t="s">
        <v>8882</v>
      </c>
      <c r="B1744" s="16">
        <v>78</v>
      </c>
      <c r="C1744" s="8" t="s">
        <v>20</v>
      </c>
      <c r="D1744" s="8" t="s">
        <v>30</v>
      </c>
      <c r="F1744" s="17">
        <v>41824</v>
      </c>
      <c r="G1744" s="8" t="s">
        <v>8883</v>
      </c>
      <c r="H1744" s="8" t="s">
        <v>8884</v>
      </c>
      <c r="I1744" s="8" t="s">
        <v>135</v>
      </c>
      <c r="J1744" s="16" t="s">
        <v>8885</v>
      </c>
      <c r="K1744" s="2" t="s">
        <v>8886</v>
      </c>
      <c r="L1744" s="8" t="s">
        <v>5417</v>
      </c>
      <c r="M1744" s="8" t="s">
        <v>383</v>
      </c>
      <c r="N1744" s="8" t="s">
        <v>8887</v>
      </c>
      <c r="O1744" s="8" t="s">
        <v>1018</v>
      </c>
      <c r="P1744" s="8" t="s">
        <v>405</v>
      </c>
      <c r="Q1744" s="12" t="s">
        <v>8888</v>
      </c>
      <c r="R1744" s="8" t="s">
        <v>100</v>
      </c>
      <c r="S1744" s="7" t="s">
        <v>28</v>
      </c>
      <c r="T1744" s="6"/>
      <c r="U1744" s="8"/>
    </row>
    <row r="1745" spans="1:34" ht="13.5" customHeight="1">
      <c r="A1745" s="8" t="s">
        <v>8875</v>
      </c>
      <c r="B1745" s="16" t="s">
        <v>8876</v>
      </c>
      <c r="C1745" s="8" t="s">
        <v>20</v>
      </c>
      <c r="D1745" s="8" t="s">
        <v>48</v>
      </c>
      <c r="E1745" s="8" t="s">
        <v>8877</v>
      </c>
      <c r="F1745" s="17">
        <v>41824</v>
      </c>
      <c r="G1745" s="8" t="s">
        <v>8878</v>
      </c>
      <c r="H1745" s="8" t="s">
        <v>87</v>
      </c>
      <c r="I1745" s="8" t="s">
        <v>44</v>
      </c>
      <c r="J1745" s="16" t="s">
        <v>8879</v>
      </c>
      <c r="K1745" s="2" t="s">
        <v>88</v>
      </c>
      <c r="L1745" s="8" t="s">
        <v>89</v>
      </c>
      <c r="M1745" s="8" t="s">
        <v>27</v>
      </c>
      <c r="N1745" s="8" t="s">
        <v>8880</v>
      </c>
      <c r="O1745" s="8" t="s">
        <v>29</v>
      </c>
      <c r="P1745" s="8" t="s">
        <v>405</v>
      </c>
      <c r="Q1745" s="12" t="s">
        <v>8881</v>
      </c>
      <c r="R1745" s="8" t="s">
        <v>100</v>
      </c>
      <c r="S1745" s="7" t="s">
        <v>28</v>
      </c>
      <c r="T1745" s="6"/>
      <c r="U1745" s="8"/>
    </row>
    <row r="1746" spans="1:34" ht="13.5" customHeight="1">
      <c r="A1746" s="8" t="s">
        <v>8897</v>
      </c>
      <c r="B1746" s="16">
        <v>64</v>
      </c>
      <c r="C1746" s="8" t="s">
        <v>115</v>
      </c>
      <c r="D1746" s="8" t="s">
        <v>85</v>
      </c>
      <c r="E1746" s="8" t="s">
        <v>8898</v>
      </c>
      <c r="F1746" s="17">
        <v>41823</v>
      </c>
      <c r="G1746" s="8" t="s">
        <v>8899</v>
      </c>
      <c r="H1746" s="8" t="s">
        <v>8900</v>
      </c>
      <c r="I1746" s="8" t="s">
        <v>57</v>
      </c>
      <c r="J1746" s="16" t="s">
        <v>8901</v>
      </c>
      <c r="K1746" s="2" t="s">
        <v>8606</v>
      </c>
      <c r="L1746" s="8" t="s">
        <v>4002</v>
      </c>
      <c r="M1746" s="8" t="s">
        <v>383</v>
      </c>
      <c r="N1746" s="8" t="s">
        <v>8902</v>
      </c>
      <c r="O1746" s="8" t="s">
        <v>1018</v>
      </c>
      <c r="P1746" s="8" t="s">
        <v>405</v>
      </c>
      <c r="Q1746" s="12" t="s">
        <v>8903</v>
      </c>
      <c r="R1746" s="8" t="s">
        <v>100</v>
      </c>
      <c r="S1746" s="7" t="s">
        <v>18</v>
      </c>
      <c r="T1746" s="6"/>
      <c r="U1746" s="8"/>
    </row>
    <row r="1747" spans="1:34" ht="13.5" customHeight="1">
      <c r="A1747" s="8" t="s">
        <v>8916</v>
      </c>
      <c r="B1747" s="16">
        <v>60</v>
      </c>
      <c r="C1747" s="8" t="s">
        <v>20</v>
      </c>
      <c r="D1747" s="8" t="s">
        <v>37</v>
      </c>
      <c r="F1747" s="17">
        <v>41823</v>
      </c>
      <c r="G1747" s="8" t="s">
        <v>8917</v>
      </c>
      <c r="H1747" s="8" t="s">
        <v>1933</v>
      </c>
      <c r="I1747" s="8" t="s">
        <v>175</v>
      </c>
      <c r="J1747" s="16" t="s">
        <v>3880</v>
      </c>
      <c r="K1747" s="2" t="s">
        <v>1572</v>
      </c>
      <c r="L1747" s="8" t="s">
        <v>2566</v>
      </c>
      <c r="M1747" s="8" t="s">
        <v>27</v>
      </c>
      <c r="N1747" s="8" t="s">
        <v>8918</v>
      </c>
      <c r="O1747" s="8" t="s">
        <v>1018</v>
      </c>
      <c r="P1747" s="8" t="s">
        <v>405</v>
      </c>
      <c r="Q1747" s="12" t="str">
        <f>HYPERLINK("http://www.ajc.com/news/news/officer-involved-shooting-in-se-atlanta/ngYcr/#__federated=1","http://www.ajc.com/news/news/officer-involved-shooting-in-se-atlanta/ngYcr/#__federated=1")</f>
        <v>http://www.ajc.com/news/news/officer-involved-shooting-in-se-atlanta/ngYcr/#__federated=1</v>
      </c>
      <c r="R1747" s="8" t="s">
        <v>559</v>
      </c>
      <c r="S1747" s="7" t="s">
        <v>28</v>
      </c>
      <c r="T1747" s="6"/>
      <c r="U1747" s="8"/>
      <c r="Y1747" s="8"/>
      <c r="Z1747" s="8"/>
      <c r="AA1747" s="8"/>
      <c r="AB1747" s="8"/>
      <c r="AC1747" s="8"/>
      <c r="AD1747" s="8"/>
      <c r="AE1747" s="8"/>
      <c r="AF1747" s="8"/>
      <c r="AG1747" s="8"/>
      <c r="AH1747" s="8"/>
    </row>
    <row r="1748" spans="1:34" ht="13.5" customHeight="1">
      <c r="A1748" s="8" t="s">
        <v>8911</v>
      </c>
      <c r="B1748" s="16">
        <v>40</v>
      </c>
      <c r="C1748" s="8" t="s">
        <v>20</v>
      </c>
      <c r="D1748" s="8" t="s">
        <v>48</v>
      </c>
      <c r="F1748" s="17">
        <v>41823</v>
      </c>
      <c r="G1748" s="8" t="s">
        <v>8912</v>
      </c>
      <c r="H1748" s="8" t="s">
        <v>2215</v>
      </c>
      <c r="I1748" s="8" t="s">
        <v>62</v>
      </c>
      <c r="J1748" s="16" t="s">
        <v>8913</v>
      </c>
      <c r="K1748" s="2" t="s">
        <v>1134</v>
      </c>
      <c r="L1748" s="8" t="s">
        <v>4438</v>
      </c>
      <c r="M1748" s="8" t="s">
        <v>27</v>
      </c>
      <c r="N1748" s="8" t="s">
        <v>8914</v>
      </c>
      <c r="O1748" s="8" t="s">
        <v>1018</v>
      </c>
      <c r="P1748" s="8" t="s">
        <v>405</v>
      </c>
      <c r="Q1748" s="12" t="s">
        <v>8915</v>
      </c>
      <c r="R1748" s="8" t="s">
        <v>100</v>
      </c>
      <c r="S1748" s="7" t="s">
        <v>28</v>
      </c>
      <c r="T1748" s="6"/>
      <c r="U1748" s="8"/>
    </row>
    <row r="1749" spans="1:34" ht="13.5" customHeight="1">
      <c r="A1749" s="8" t="s">
        <v>8904</v>
      </c>
      <c r="B1749" s="16" t="s">
        <v>8905</v>
      </c>
      <c r="C1749" s="8" t="s">
        <v>20</v>
      </c>
      <c r="D1749" s="8" t="s">
        <v>48</v>
      </c>
      <c r="E1749" s="8" t="s">
        <v>8906</v>
      </c>
      <c r="F1749" s="17">
        <v>41823</v>
      </c>
      <c r="G1749" s="8" t="s">
        <v>8907</v>
      </c>
      <c r="H1749" s="8" t="s">
        <v>1311</v>
      </c>
      <c r="I1749" s="8" t="s">
        <v>212</v>
      </c>
      <c r="J1749" s="16" t="s">
        <v>8908</v>
      </c>
      <c r="K1749" s="2" t="s">
        <v>1311</v>
      </c>
      <c r="L1749" s="8" t="s">
        <v>1312</v>
      </c>
      <c r="M1749" s="8" t="s">
        <v>27</v>
      </c>
      <c r="N1749" s="8" t="s">
        <v>8909</v>
      </c>
      <c r="O1749" s="8" t="s">
        <v>29</v>
      </c>
      <c r="P1749" s="8" t="s">
        <v>405</v>
      </c>
      <c r="Q1749" s="12" t="s">
        <v>8910</v>
      </c>
      <c r="R1749" s="8" t="s">
        <v>100</v>
      </c>
      <c r="S1749" s="7" t="s">
        <v>383</v>
      </c>
      <c r="T1749" s="6"/>
      <c r="U1749" s="8"/>
    </row>
    <row r="1750" spans="1:34" ht="13.5" customHeight="1">
      <c r="A1750" s="8" t="s">
        <v>8925</v>
      </c>
      <c r="B1750" s="16">
        <v>27</v>
      </c>
      <c r="C1750" s="8" t="s">
        <v>20</v>
      </c>
      <c r="D1750" s="8" t="s">
        <v>37</v>
      </c>
      <c r="E1750" s="8" t="s">
        <v>8926</v>
      </c>
      <c r="F1750" s="17">
        <v>41822</v>
      </c>
      <c r="G1750" s="8" t="s">
        <v>8927</v>
      </c>
      <c r="H1750" s="8" t="s">
        <v>930</v>
      </c>
      <c r="I1750" s="8" t="s">
        <v>198</v>
      </c>
      <c r="J1750" s="16" t="s">
        <v>5492</v>
      </c>
      <c r="K1750" s="2" t="s">
        <v>471</v>
      </c>
      <c r="L1750" s="8" t="s">
        <v>5704</v>
      </c>
      <c r="M1750" s="8" t="s">
        <v>27</v>
      </c>
      <c r="N1750" s="8" t="s">
        <v>8928</v>
      </c>
      <c r="O1750" s="8" t="s">
        <v>1018</v>
      </c>
      <c r="P1750" s="8" t="s">
        <v>405</v>
      </c>
      <c r="Q1750" s="12" t="s">
        <v>8929</v>
      </c>
      <c r="R1750" s="8" t="s">
        <v>972</v>
      </c>
      <c r="S1750" s="7" t="s">
        <v>18</v>
      </c>
      <c r="T1750" s="6"/>
      <c r="U1750" s="8"/>
    </row>
    <row r="1751" spans="1:34" ht="13.5" customHeight="1">
      <c r="A1751" s="8" t="s">
        <v>8919</v>
      </c>
      <c r="B1751" s="16">
        <v>32</v>
      </c>
      <c r="C1751" s="8" t="s">
        <v>20</v>
      </c>
      <c r="D1751" s="8" t="s">
        <v>48</v>
      </c>
      <c r="E1751" s="8" t="s">
        <v>8920</v>
      </c>
      <c r="F1751" s="17">
        <v>41822</v>
      </c>
      <c r="G1751" s="8" t="s">
        <v>8921</v>
      </c>
      <c r="H1751" s="8" t="s">
        <v>1311</v>
      </c>
      <c r="I1751" s="8" t="s">
        <v>212</v>
      </c>
      <c r="J1751" s="16" t="s">
        <v>8922</v>
      </c>
      <c r="K1751" s="2" t="s">
        <v>1311</v>
      </c>
      <c r="L1751" s="8" t="s">
        <v>1312</v>
      </c>
      <c r="M1751" s="8" t="s">
        <v>27</v>
      </c>
      <c r="N1751" s="8" t="s">
        <v>8923</v>
      </c>
      <c r="O1751" s="8" t="s">
        <v>554</v>
      </c>
      <c r="P1751" s="8" t="s">
        <v>405</v>
      </c>
      <c r="Q1751" s="12" t="s">
        <v>8924</v>
      </c>
      <c r="R1751" s="8" t="s">
        <v>100</v>
      </c>
      <c r="S1751" s="7" t="s">
        <v>28</v>
      </c>
      <c r="T1751" s="6"/>
      <c r="U1751" s="8"/>
    </row>
    <row r="1752" spans="1:34" ht="13.5" customHeight="1">
      <c r="A1752" s="8" t="s">
        <v>8947</v>
      </c>
      <c r="B1752" s="16">
        <v>29</v>
      </c>
      <c r="C1752" s="8" t="s">
        <v>20</v>
      </c>
      <c r="D1752" s="8" t="s">
        <v>37</v>
      </c>
      <c r="E1752" s="8" t="s">
        <v>8948</v>
      </c>
      <c r="F1752" s="17">
        <v>41821</v>
      </c>
      <c r="G1752" s="8" t="s">
        <v>8949</v>
      </c>
      <c r="H1752" s="8" t="s">
        <v>8950</v>
      </c>
      <c r="I1752" s="8" t="s">
        <v>1733</v>
      </c>
      <c r="J1752" s="16" t="s">
        <v>8951</v>
      </c>
      <c r="K1752" s="2" t="s">
        <v>2615</v>
      </c>
      <c r="L1752" s="8" t="s">
        <v>8952</v>
      </c>
      <c r="M1752" s="8" t="s">
        <v>383</v>
      </c>
      <c r="N1752" s="8" t="s">
        <v>8953</v>
      </c>
      <c r="O1752" s="8" t="s">
        <v>1018</v>
      </c>
      <c r="P1752" s="8" t="s">
        <v>405</v>
      </c>
      <c r="Q1752" s="12" t="s">
        <v>8954</v>
      </c>
      <c r="R1752" s="8" t="s">
        <v>100</v>
      </c>
      <c r="S1752" s="7" t="s">
        <v>383</v>
      </c>
      <c r="T1752" s="6"/>
      <c r="U1752" s="8"/>
    </row>
    <row r="1753" spans="1:34" ht="13.5" customHeight="1">
      <c r="A1753" s="8" t="s">
        <v>8941</v>
      </c>
      <c r="B1753" s="16">
        <v>36</v>
      </c>
      <c r="C1753" s="8" t="s">
        <v>20</v>
      </c>
      <c r="D1753" s="8" t="s">
        <v>37</v>
      </c>
      <c r="E1753" s="8" t="s">
        <v>8942</v>
      </c>
      <c r="F1753" s="17">
        <v>41821</v>
      </c>
      <c r="G1753" s="8" t="s">
        <v>8943</v>
      </c>
      <c r="H1753" s="8" t="s">
        <v>1220</v>
      </c>
      <c r="I1753" s="8" t="s">
        <v>306</v>
      </c>
      <c r="J1753" s="16" t="s">
        <v>8944</v>
      </c>
      <c r="K1753" s="2" t="s">
        <v>1221</v>
      </c>
      <c r="L1753" s="8" t="s">
        <v>1222</v>
      </c>
      <c r="M1753" s="8" t="s">
        <v>27</v>
      </c>
      <c r="N1753" s="8" t="s">
        <v>8945</v>
      </c>
      <c r="O1753" s="8" t="s">
        <v>1018</v>
      </c>
      <c r="P1753" s="8" t="s">
        <v>405</v>
      </c>
      <c r="Q1753" s="12" t="s">
        <v>8946</v>
      </c>
      <c r="R1753" s="8" t="s">
        <v>100</v>
      </c>
      <c r="S1753" s="7" t="s">
        <v>28</v>
      </c>
      <c r="T1753" s="6"/>
      <c r="U1753" s="8"/>
    </row>
    <row r="1754" spans="1:34" ht="13.5" customHeight="1">
      <c r="A1754" s="8" t="s">
        <v>8930</v>
      </c>
      <c r="B1754" s="16">
        <v>41</v>
      </c>
      <c r="C1754" s="8" t="s">
        <v>20</v>
      </c>
      <c r="D1754" s="8" t="s">
        <v>85</v>
      </c>
      <c r="E1754" s="8" t="s">
        <v>8931</v>
      </c>
      <c r="F1754" s="17">
        <v>41821</v>
      </c>
      <c r="G1754" s="8" t="s">
        <v>8932</v>
      </c>
      <c r="H1754" s="8" t="s">
        <v>8933</v>
      </c>
      <c r="I1754" s="8" t="s">
        <v>62</v>
      </c>
      <c r="J1754" s="16" t="s">
        <v>8934</v>
      </c>
      <c r="K1754" s="2" t="s">
        <v>4406</v>
      </c>
      <c r="L1754" s="8" t="s">
        <v>5469</v>
      </c>
      <c r="M1754" s="8" t="s">
        <v>27</v>
      </c>
      <c r="N1754" s="8" t="s">
        <v>8935</v>
      </c>
      <c r="O1754" s="8" t="s">
        <v>554</v>
      </c>
      <c r="P1754" s="8" t="s">
        <v>405</v>
      </c>
      <c r="Q1754" s="12" t="s">
        <v>8936</v>
      </c>
      <c r="R1754" s="8" t="s">
        <v>100</v>
      </c>
      <c r="S1754" s="7" t="s">
        <v>18</v>
      </c>
      <c r="T1754" s="6"/>
      <c r="U1754" s="8"/>
      <c r="V1754" s="8"/>
      <c r="W1754" s="8"/>
      <c r="X1754" s="8"/>
    </row>
    <row r="1755" spans="1:34" ht="13.5" customHeight="1">
      <c r="A1755" s="8" t="s">
        <v>8937</v>
      </c>
      <c r="B1755" s="16">
        <v>59</v>
      </c>
      <c r="C1755" s="8" t="s">
        <v>20</v>
      </c>
      <c r="D1755" s="8" t="s">
        <v>30</v>
      </c>
      <c r="F1755" s="17">
        <v>41821</v>
      </c>
      <c r="G1755" s="8" t="s">
        <v>8938</v>
      </c>
      <c r="H1755" s="8" t="s">
        <v>657</v>
      </c>
      <c r="I1755" s="8" t="s">
        <v>62</v>
      </c>
      <c r="J1755" s="16" t="s">
        <v>5883</v>
      </c>
      <c r="K1755" s="2" t="s">
        <v>658</v>
      </c>
      <c r="L1755" s="8" t="s">
        <v>659</v>
      </c>
      <c r="M1755" s="8" t="s">
        <v>27</v>
      </c>
      <c r="N1755" s="8" t="s">
        <v>8939</v>
      </c>
      <c r="O1755" s="8" t="s">
        <v>1018</v>
      </c>
      <c r="P1755" s="8" t="s">
        <v>405</v>
      </c>
      <c r="Q1755" s="12" t="s">
        <v>8940</v>
      </c>
      <c r="R1755" s="8" t="s">
        <v>29</v>
      </c>
      <c r="S1755" s="7" t="s">
        <v>28</v>
      </c>
      <c r="T1755" s="6"/>
      <c r="U1755" s="8"/>
    </row>
    <row r="1756" spans="1:34" ht="13.5" customHeight="1">
      <c r="A1756" s="8" t="s">
        <v>8955</v>
      </c>
      <c r="B1756" s="16">
        <v>23</v>
      </c>
      <c r="C1756" s="8" t="s">
        <v>20</v>
      </c>
      <c r="D1756" s="8" t="s">
        <v>48</v>
      </c>
      <c r="E1756" s="8" t="s">
        <v>8956</v>
      </c>
      <c r="F1756" s="17">
        <v>41820</v>
      </c>
      <c r="G1756" s="8" t="s">
        <v>8957</v>
      </c>
      <c r="H1756" s="8" t="s">
        <v>1220</v>
      </c>
      <c r="I1756" s="8" t="s">
        <v>306</v>
      </c>
      <c r="J1756" s="16" t="s">
        <v>8958</v>
      </c>
      <c r="K1756" s="2" t="s">
        <v>1221</v>
      </c>
      <c r="L1756" s="8" t="s">
        <v>1222</v>
      </c>
      <c r="M1756" s="8" t="s">
        <v>27</v>
      </c>
      <c r="N1756" s="8" t="s">
        <v>8959</v>
      </c>
      <c r="O1756" s="8" t="s">
        <v>554</v>
      </c>
      <c r="P1756" s="8" t="s">
        <v>405</v>
      </c>
      <c r="Q1756" s="12" t="s">
        <v>8960</v>
      </c>
      <c r="R1756" s="8" t="s">
        <v>100</v>
      </c>
      <c r="S1756" s="7" t="s">
        <v>28</v>
      </c>
      <c r="T1756" s="6"/>
      <c r="U1756" s="8"/>
    </row>
    <row r="1757" spans="1:34" ht="13.5" customHeight="1">
      <c r="A1757" s="8" t="s">
        <v>8961</v>
      </c>
      <c r="B1757" s="16">
        <v>24</v>
      </c>
      <c r="C1757" s="8" t="s">
        <v>20</v>
      </c>
      <c r="D1757" s="8" t="s">
        <v>85</v>
      </c>
      <c r="E1757" s="8" t="s">
        <v>8962</v>
      </c>
      <c r="F1757" s="17">
        <v>41819</v>
      </c>
      <c r="G1757" s="8" t="s">
        <v>8963</v>
      </c>
      <c r="H1757" s="8" t="s">
        <v>4070</v>
      </c>
      <c r="I1757" s="8" t="s">
        <v>62</v>
      </c>
      <c r="J1757" s="16" t="s">
        <v>8964</v>
      </c>
      <c r="K1757" s="2" t="s">
        <v>1881</v>
      </c>
      <c r="L1757" s="8" t="s">
        <v>4072</v>
      </c>
      <c r="M1757" s="8" t="s">
        <v>383</v>
      </c>
      <c r="N1757" s="8" t="s">
        <v>8965</v>
      </c>
      <c r="O1757" s="8" t="s">
        <v>1018</v>
      </c>
      <c r="P1757" s="8" t="s">
        <v>405</v>
      </c>
      <c r="Q1757" s="12" t="s">
        <v>8966</v>
      </c>
      <c r="R1757" s="8" t="s">
        <v>100</v>
      </c>
      <c r="S1757" s="7" t="s">
        <v>18</v>
      </c>
      <c r="T1757" s="6"/>
      <c r="U1757" s="8"/>
    </row>
    <row r="1758" spans="1:34" ht="13.5" customHeight="1">
      <c r="A1758" s="8" t="s">
        <v>8967</v>
      </c>
      <c r="B1758" s="16">
        <v>44</v>
      </c>
      <c r="C1758" s="8" t="s">
        <v>20</v>
      </c>
      <c r="D1758" s="8" t="s">
        <v>30</v>
      </c>
      <c r="F1758" s="17">
        <v>41819</v>
      </c>
      <c r="G1758" s="8" t="s">
        <v>8968</v>
      </c>
      <c r="H1758" s="8" t="s">
        <v>8969</v>
      </c>
      <c r="I1758" s="8" t="s">
        <v>81</v>
      </c>
      <c r="J1758" s="16" t="s">
        <v>8970</v>
      </c>
      <c r="K1758" s="2" t="s">
        <v>676</v>
      </c>
      <c r="L1758" s="8" t="s">
        <v>8971</v>
      </c>
      <c r="M1758" s="8" t="s">
        <v>27</v>
      </c>
      <c r="N1758" s="8" t="s">
        <v>8972</v>
      </c>
      <c r="O1758" s="8" t="s">
        <v>1018</v>
      </c>
      <c r="P1758" s="8" t="s">
        <v>405</v>
      </c>
      <c r="Q1758" s="12" t="s">
        <v>8973</v>
      </c>
      <c r="R1758" s="8" t="s">
        <v>29</v>
      </c>
      <c r="S1758" s="7" t="s">
        <v>28</v>
      </c>
      <c r="T1758" s="6"/>
      <c r="U1758" s="8"/>
    </row>
    <row r="1759" spans="1:34" ht="13.5" customHeight="1">
      <c r="A1759" s="8" t="s">
        <v>8974</v>
      </c>
      <c r="B1759" s="16">
        <v>43</v>
      </c>
      <c r="C1759" s="8" t="s">
        <v>20</v>
      </c>
      <c r="D1759" s="8" t="s">
        <v>30</v>
      </c>
      <c r="F1759" s="17">
        <v>41819</v>
      </c>
      <c r="G1759" s="8" t="s">
        <v>8975</v>
      </c>
      <c r="H1759" s="8" t="s">
        <v>8976</v>
      </c>
      <c r="I1759" s="8" t="s">
        <v>306</v>
      </c>
      <c r="J1759" s="16" t="s">
        <v>8977</v>
      </c>
      <c r="K1759" s="2" t="s">
        <v>1559</v>
      </c>
      <c r="L1759" s="8" t="s">
        <v>8978</v>
      </c>
      <c r="M1759" s="8" t="s">
        <v>27</v>
      </c>
      <c r="N1759" s="8" t="s">
        <v>8979</v>
      </c>
      <c r="O1759" s="8" t="s">
        <v>1018</v>
      </c>
      <c r="P1759" s="8" t="s">
        <v>405</v>
      </c>
      <c r="Q1759" s="12" t="s">
        <v>8980</v>
      </c>
      <c r="R1759" s="8" t="s">
        <v>100</v>
      </c>
      <c r="S1759" s="7" t="s">
        <v>28</v>
      </c>
      <c r="T1759" s="6"/>
      <c r="U1759" s="8"/>
    </row>
    <row r="1760" spans="1:34" ht="13.5" customHeight="1">
      <c r="A1760" s="8" t="s">
        <v>8981</v>
      </c>
      <c r="B1760" s="16">
        <v>37</v>
      </c>
      <c r="C1760" s="8" t="s">
        <v>20</v>
      </c>
      <c r="D1760" s="8" t="s">
        <v>37</v>
      </c>
      <c r="E1760" s="8" t="s">
        <v>8982</v>
      </c>
      <c r="F1760" s="17">
        <v>41818</v>
      </c>
      <c r="G1760" s="8" t="s">
        <v>8983</v>
      </c>
      <c r="H1760" s="8" t="s">
        <v>1507</v>
      </c>
      <c r="I1760" s="8" t="s">
        <v>45</v>
      </c>
      <c r="J1760" s="16" t="s">
        <v>8984</v>
      </c>
      <c r="K1760" s="2" t="s">
        <v>98</v>
      </c>
      <c r="L1760" s="8" t="s">
        <v>5043</v>
      </c>
      <c r="M1760" s="8" t="s">
        <v>8430</v>
      </c>
      <c r="N1760" s="8" t="s">
        <v>8985</v>
      </c>
      <c r="O1760" s="8" t="s">
        <v>1018</v>
      </c>
      <c r="P1760" s="8" t="s">
        <v>405</v>
      </c>
      <c r="Q1760" s="12" t="s">
        <v>8986</v>
      </c>
      <c r="R1760" s="8" t="s">
        <v>29</v>
      </c>
      <c r="S1760" s="7" t="s">
        <v>18</v>
      </c>
      <c r="T1760" s="6"/>
      <c r="U1760" s="8"/>
    </row>
    <row r="1761" spans="1:34" ht="13.5" customHeight="1">
      <c r="A1761" s="8" t="s">
        <v>9006</v>
      </c>
      <c r="B1761" s="16">
        <v>32</v>
      </c>
      <c r="C1761" s="8" t="s">
        <v>20</v>
      </c>
      <c r="D1761" s="8" t="s">
        <v>37</v>
      </c>
      <c r="E1761" s="8" t="s">
        <v>9007</v>
      </c>
      <c r="F1761" s="17">
        <v>41817</v>
      </c>
      <c r="G1761" s="8" t="s">
        <v>9008</v>
      </c>
      <c r="H1761" s="8" t="s">
        <v>2533</v>
      </c>
      <c r="I1761" s="8" t="s">
        <v>306</v>
      </c>
      <c r="J1761" s="16" t="s">
        <v>9009</v>
      </c>
      <c r="K1761" s="2" t="s">
        <v>2534</v>
      </c>
      <c r="L1761" s="8" t="s">
        <v>9010</v>
      </c>
      <c r="M1761" s="8" t="s">
        <v>27</v>
      </c>
      <c r="N1761" s="8" t="s">
        <v>9011</v>
      </c>
      <c r="O1761" s="8" t="s">
        <v>554</v>
      </c>
      <c r="P1761" s="8" t="s">
        <v>405</v>
      </c>
      <c r="Q1761" s="12" t="s">
        <v>9012</v>
      </c>
      <c r="R1761" s="8" t="s">
        <v>29</v>
      </c>
      <c r="S1761" s="7" t="s">
        <v>28</v>
      </c>
      <c r="T1761" s="6"/>
      <c r="U1761" s="8"/>
    </row>
    <row r="1762" spans="1:34" ht="13.5" customHeight="1">
      <c r="A1762" s="8" t="s">
        <v>9001</v>
      </c>
      <c r="B1762" s="16">
        <v>27</v>
      </c>
      <c r="C1762" s="8" t="s">
        <v>20</v>
      </c>
      <c r="D1762" s="8" t="s">
        <v>85</v>
      </c>
      <c r="E1762" s="8" t="s">
        <v>9002</v>
      </c>
      <c r="F1762" s="17">
        <v>41817</v>
      </c>
      <c r="G1762" s="8" t="s">
        <v>9003</v>
      </c>
      <c r="H1762" s="8" t="s">
        <v>9004</v>
      </c>
      <c r="I1762" s="8" t="s">
        <v>427</v>
      </c>
      <c r="J1762" s="16" t="s">
        <v>3390</v>
      </c>
      <c r="K1762" s="2" t="s">
        <v>1716</v>
      </c>
      <c r="L1762" s="8" t="s">
        <v>3391</v>
      </c>
      <c r="M1762" s="8" t="s">
        <v>27</v>
      </c>
      <c r="N1762" s="8" t="s">
        <v>9005</v>
      </c>
      <c r="O1762" s="8" t="s">
        <v>4742</v>
      </c>
      <c r="P1762" s="8" t="s">
        <v>405</v>
      </c>
      <c r="Q1762" s="12"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1762" s="8" t="s">
        <v>100</v>
      </c>
      <c r="S1762" s="7" t="s">
        <v>28</v>
      </c>
      <c r="T1762" s="6"/>
      <c r="U1762" s="8"/>
    </row>
    <row r="1763" spans="1:34" ht="13.5" customHeight="1">
      <c r="A1763" s="8" t="s">
        <v>9013</v>
      </c>
      <c r="B1763" s="16">
        <v>56</v>
      </c>
      <c r="C1763" s="8" t="s">
        <v>20</v>
      </c>
      <c r="D1763" s="8" t="s">
        <v>37</v>
      </c>
      <c r="E1763" s="8" t="s">
        <v>9014</v>
      </c>
      <c r="F1763" s="17">
        <v>41817</v>
      </c>
      <c r="G1763" s="8" t="s">
        <v>9015</v>
      </c>
      <c r="H1763" s="8" t="s">
        <v>9016</v>
      </c>
      <c r="I1763" s="8" t="s">
        <v>247</v>
      </c>
      <c r="J1763" s="16" t="s">
        <v>9017</v>
      </c>
      <c r="K1763" s="2" t="s">
        <v>119</v>
      </c>
      <c r="L1763" s="8" t="s">
        <v>3354</v>
      </c>
      <c r="M1763" s="8" t="s">
        <v>27</v>
      </c>
      <c r="N1763" s="8" t="s">
        <v>9018</v>
      </c>
      <c r="O1763" s="8" t="s">
        <v>1018</v>
      </c>
      <c r="P1763" s="8" t="s">
        <v>405</v>
      </c>
      <c r="Q1763" s="12" t="str">
        <f>HYPERLINK("http://www.wcyb.com/news/shooting-investigated-in-damascus/26694690","http://www.wcyb.com/news/shooting-investigated-in-damascus/26694690")</f>
        <v>http://www.wcyb.com/news/shooting-investigated-in-damascus/26694690</v>
      </c>
      <c r="R1763" s="8" t="s">
        <v>100</v>
      </c>
      <c r="S1763" s="7" t="s">
        <v>28</v>
      </c>
      <c r="T1763" s="6"/>
      <c r="U1763" s="8"/>
    </row>
    <row r="1764" spans="1:34" ht="13.5" customHeight="1">
      <c r="A1764" s="8" t="s">
        <v>8995</v>
      </c>
      <c r="B1764" s="16">
        <v>35</v>
      </c>
      <c r="C1764" s="8" t="s">
        <v>20</v>
      </c>
      <c r="D1764" s="8" t="s">
        <v>85</v>
      </c>
      <c r="E1764" s="8" t="s">
        <v>8996</v>
      </c>
      <c r="F1764" s="17">
        <v>41817</v>
      </c>
      <c r="G1764" s="8" t="s">
        <v>8997</v>
      </c>
      <c r="H1764" s="8" t="s">
        <v>1958</v>
      </c>
      <c r="I1764" s="8" t="s">
        <v>73</v>
      </c>
      <c r="J1764" s="16" t="s">
        <v>8998</v>
      </c>
      <c r="K1764" s="2" t="s">
        <v>1958</v>
      </c>
      <c r="L1764" s="8" t="s">
        <v>1960</v>
      </c>
      <c r="M1764" s="8" t="s">
        <v>27</v>
      </c>
      <c r="N1764" s="8" t="s">
        <v>8999</v>
      </c>
      <c r="O1764" s="8" t="s">
        <v>1018</v>
      </c>
      <c r="P1764" s="8" t="s">
        <v>405</v>
      </c>
      <c r="Q1764" s="12" t="s">
        <v>9000</v>
      </c>
      <c r="R1764" s="8" t="s">
        <v>100</v>
      </c>
      <c r="S1764" s="7" t="s">
        <v>28</v>
      </c>
      <c r="T1764" s="6"/>
      <c r="U1764" s="8"/>
    </row>
    <row r="1765" spans="1:34" ht="13.5" customHeight="1">
      <c r="A1765" s="8" t="s">
        <v>8987</v>
      </c>
      <c r="B1765" s="16">
        <v>40</v>
      </c>
      <c r="C1765" s="8" t="s">
        <v>20</v>
      </c>
      <c r="D1765" s="8" t="s">
        <v>85</v>
      </c>
      <c r="E1765" s="8" t="s">
        <v>8988</v>
      </c>
      <c r="F1765" s="17">
        <v>41817</v>
      </c>
      <c r="G1765" s="8" t="s">
        <v>8989</v>
      </c>
      <c r="H1765" s="8" t="s">
        <v>8990</v>
      </c>
      <c r="I1765" s="8" t="s">
        <v>45</v>
      </c>
      <c r="J1765" s="16" t="s">
        <v>8991</v>
      </c>
      <c r="K1765" s="2" t="s">
        <v>98</v>
      </c>
      <c r="L1765" s="8" t="s">
        <v>8992</v>
      </c>
      <c r="M1765" s="8" t="s">
        <v>27</v>
      </c>
      <c r="N1765" s="8" t="s">
        <v>8993</v>
      </c>
      <c r="O1765" s="8" t="s">
        <v>4742</v>
      </c>
      <c r="P1765" s="8" t="s">
        <v>405</v>
      </c>
      <c r="Q1765" s="12" t="s">
        <v>8994</v>
      </c>
      <c r="R1765" s="8" t="s">
        <v>100</v>
      </c>
      <c r="S1765" s="7" t="s">
        <v>18</v>
      </c>
      <c r="T1765" s="6"/>
      <c r="U1765" s="8"/>
    </row>
    <row r="1766" spans="1:34" ht="13.5" customHeight="1">
      <c r="A1766" s="8" t="s">
        <v>9031</v>
      </c>
      <c r="B1766" s="16">
        <v>34</v>
      </c>
      <c r="C1766" s="8" t="s">
        <v>20</v>
      </c>
      <c r="D1766" s="8" t="s">
        <v>37</v>
      </c>
      <c r="F1766" s="17">
        <v>41816</v>
      </c>
      <c r="G1766" s="8" t="s">
        <v>9032</v>
      </c>
      <c r="H1766" s="8" t="s">
        <v>4234</v>
      </c>
      <c r="I1766" s="8" t="s">
        <v>46</v>
      </c>
      <c r="J1766" s="16" t="s">
        <v>9033</v>
      </c>
      <c r="K1766" s="2" t="s">
        <v>9034</v>
      </c>
      <c r="L1766" s="8" t="s">
        <v>4237</v>
      </c>
      <c r="M1766" s="8" t="s">
        <v>27</v>
      </c>
      <c r="N1766" s="8" t="s">
        <v>9035</v>
      </c>
      <c r="O1766" s="8" t="s">
        <v>1018</v>
      </c>
      <c r="P1766" s="8" t="s">
        <v>405</v>
      </c>
      <c r="Q1766" s="12" t="s">
        <v>9036</v>
      </c>
      <c r="R1766" s="8" t="s">
        <v>29</v>
      </c>
      <c r="S1766" s="7" t="s">
        <v>28</v>
      </c>
      <c r="T1766" s="6"/>
      <c r="U1766" s="8"/>
    </row>
    <row r="1767" spans="1:34" ht="13.5" customHeight="1">
      <c r="A1767" s="8" t="s">
        <v>9024</v>
      </c>
      <c r="B1767" s="16">
        <v>56</v>
      </c>
      <c r="C1767" s="8" t="s">
        <v>20</v>
      </c>
      <c r="D1767" s="8" t="s">
        <v>37</v>
      </c>
      <c r="F1767" s="17">
        <v>41816</v>
      </c>
      <c r="G1767" s="8" t="s">
        <v>9025</v>
      </c>
      <c r="H1767" s="8" t="s">
        <v>9026</v>
      </c>
      <c r="I1767" s="8" t="s">
        <v>46</v>
      </c>
      <c r="J1767" s="16" t="s">
        <v>9027</v>
      </c>
      <c r="K1767" s="2" t="s">
        <v>1716</v>
      </c>
      <c r="L1767" s="8" t="s">
        <v>9028</v>
      </c>
      <c r="M1767" s="8" t="s">
        <v>395</v>
      </c>
      <c r="N1767" s="8" t="s">
        <v>9029</v>
      </c>
      <c r="O1767" s="8" t="s">
        <v>404</v>
      </c>
      <c r="P1767" s="8" t="s">
        <v>405</v>
      </c>
      <c r="Q1767" s="12" t="s">
        <v>9030</v>
      </c>
      <c r="R1767" s="8" t="s">
        <v>559</v>
      </c>
      <c r="S1767" s="7" t="s">
        <v>18</v>
      </c>
      <c r="T1767" s="6"/>
      <c r="U1767" s="8"/>
    </row>
    <row r="1768" spans="1:34" ht="13.5" customHeight="1">
      <c r="A1768" s="8" t="s">
        <v>9037</v>
      </c>
      <c r="B1768" s="16">
        <v>50</v>
      </c>
      <c r="C1768" s="8" t="s">
        <v>20</v>
      </c>
      <c r="D1768" s="8" t="s">
        <v>37</v>
      </c>
      <c r="E1768" s="8" t="s">
        <v>9038</v>
      </c>
      <c r="F1768" s="17">
        <v>41816</v>
      </c>
      <c r="G1768" s="8" t="s">
        <v>9039</v>
      </c>
      <c r="H1768" s="8" t="s">
        <v>9040</v>
      </c>
      <c r="I1768" s="8" t="s">
        <v>73</v>
      </c>
      <c r="J1768" s="16" t="s">
        <v>9041</v>
      </c>
      <c r="K1768" s="2" t="s">
        <v>9042</v>
      </c>
      <c r="L1768" s="8" t="s">
        <v>7380</v>
      </c>
      <c r="M1768" s="8" t="s">
        <v>27</v>
      </c>
      <c r="N1768" s="8" t="s">
        <v>9043</v>
      </c>
      <c r="O1768" s="8" t="s">
        <v>4742</v>
      </c>
      <c r="P1768" s="8" t="s">
        <v>405</v>
      </c>
      <c r="Q1768" s="12" t="s">
        <v>9044</v>
      </c>
      <c r="R1768" s="8" t="s">
        <v>29</v>
      </c>
      <c r="S1768" s="7" t="s">
        <v>28</v>
      </c>
      <c r="T1768" s="6"/>
      <c r="U1768" s="8"/>
      <c r="Y1768" s="8"/>
      <c r="Z1768" s="8"/>
      <c r="AA1768" s="8"/>
      <c r="AB1768" s="8"/>
      <c r="AC1768" s="8"/>
      <c r="AD1768" s="8"/>
      <c r="AE1768" s="8"/>
      <c r="AF1768" s="8"/>
      <c r="AG1768" s="8"/>
      <c r="AH1768" s="8"/>
    </row>
    <row r="1769" spans="1:34" ht="13.5" customHeight="1">
      <c r="A1769" s="8" t="s">
        <v>9019</v>
      </c>
      <c r="B1769" s="16">
        <v>33</v>
      </c>
      <c r="C1769" s="8" t="s">
        <v>20</v>
      </c>
      <c r="D1769" s="8" t="s">
        <v>85</v>
      </c>
      <c r="F1769" s="17">
        <v>41816</v>
      </c>
      <c r="G1769" s="8" t="s">
        <v>9020</v>
      </c>
      <c r="H1769" s="8" t="s">
        <v>288</v>
      </c>
      <c r="I1769" s="8" t="s">
        <v>73</v>
      </c>
      <c r="J1769" s="16" t="s">
        <v>9021</v>
      </c>
      <c r="K1769" s="2" t="s">
        <v>288</v>
      </c>
      <c r="L1769" s="8" t="s">
        <v>289</v>
      </c>
      <c r="M1769" s="8" t="s">
        <v>27</v>
      </c>
      <c r="N1769" s="8" t="s">
        <v>9022</v>
      </c>
      <c r="O1769" s="8" t="s">
        <v>1018</v>
      </c>
      <c r="P1769" s="8" t="s">
        <v>405</v>
      </c>
      <c r="Q1769" s="12" t="s">
        <v>9023</v>
      </c>
      <c r="R1769" s="8" t="s">
        <v>100</v>
      </c>
      <c r="S1769" s="7" t="s">
        <v>28</v>
      </c>
      <c r="T1769" s="6"/>
      <c r="U1769" s="8"/>
    </row>
    <row r="1770" spans="1:34" ht="13.5" customHeight="1">
      <c r="A1770" s="8" t="s">
        <v>9050</v>
      </c>
      <c r="B1770" s="16">
        <v>29</v>
      </c>
      <c r="C1770" s="8" t="s">
        <v>20</v>
      </c>
      <c r="D1770" s="8" t="s">
        <v>85</v>
      </c>
      <c r="F1770" s="17">
        <v>41815</v>
      </c>
      <c r="G1770" s="8" t="s">
        <v>9051</v>
      </c>
      <c r="H1770" s="8" t="s">
        <v>7145</v>
      </c>
      <c r="I1770" s="8" t="s">
        <v>228</v>
      </c>
      <c r="J1770" s="16" t="s">
        <v>9052</v>
      </c>
      <c r="K1770" s="2" t="s">
        <v>2560</v>
      </c>
      <c r="L1770" s="8" t="s">
        <v>6114</v>
      </c>
      <c r="M1770" s="8" t="s">
        <v>27</v>
      </c>
      <c r="N1770" s="8" t="s">
        <v>9053</v>
      </c>
      <c r="O1770" s="8" t="s">
        <v>1018</v>
      </c>
      <c r="P1770" s="8" t="s">
        <v>405</v>
      </c>
      <c r="Q1770" s="12" t="s">
        <v>9054</v>
      </c>
      <c r="R1770" s="8" t="s">
        <v>100</v>
      </c>
      <c r="S1770" s="7" t="s">
        <v>28</v>
      </c>
      <c r="T1770" s="6"/>
      <c r="U1770" s="8"/>
    </row>
    <row r="1771" spans="1:34" ht="13.5" customHeight="1">
      <c r="A1771" s="8" t="s">
        <v>9061</v>
      </c>
      <c r="B1771" s="16">
        <v>29</v>
      </c>
      <c r="C1771" s="8" t="s">
        <v>20</v>
      </c>
      <c r="D1771" s="8" t="s">
        <v>37</v>
      </c>
      <c r="F1771" s="17">
        <v>41815</v>
      </c>
      <c r="G1771" s="8" t="s">
        <v>9062</v>
      </c>
      <c r="H1771" s="8" t="s">
        <v>4608</v>
      </c>
      <c r="I1771" s="8" t="s">
        <v>45</v>
      </c>
      <c r="J1771" s="16" t="s">
        <v>4609</v>
      </c>
      <c r="K1771" s="2" t="s">
        <v>313</v>
      </c>
      <c r="L1771" s="8" t="s">
        <v>418</v>
      </c>
      <c r="M1771" s="8" t="s">
        <v>27</v>
      </c>
      <c r="N1771" s="8" t="s">
        <v>9063</v>
      </c>
      <c r="O1771" s="8" t="s">
        <v>1018</v>
      </c>
      <c r="P1771" s="8" t="s">
        <v>405</v>
      </c>
      <c r="Q1771" s="12" t="s">
        <v>9064</v>
      </c>
      <c r="R1771" s="8" t="s">
        <v>100</v>
      </c>
      <c r="S1771" s="7" t="s">
        <v>28</v>
      </c>
      <c r="T1771" s="6"/>
      <c r="U1771" s="8"/>
    </row>
    <row r="1772" spans="1:34" ht="13.5" customHeight="1">
      <c r="A1772" s="8" t="s">
        <v>9055</v>
      </c>
      <c r="B1772" s="16">
        <v>49</v>
      </c>
      <c r="C1772" s="8" t="s">
        <v>115</v>
      </c>
      <c r="D1772" s="8" t="s">
        <v>37</v>
      </c>
      <c r="E1772" s="8" t="s">
        <v>9056</v>
      </c>
      <c r="F1772" s="17">
        <v>41815</v>
      </c>
      <c r="G1772" s="8" t="s">
        <v>9057</v>
      </c>
      <c r="H1772" s="8" t="s">
        <v>661</v>
      </c>
      <c r="I1772" s="8" t="s">
        <v>272</v>
      </c>
      <c r="J1772" s="16" t="s">
        <v>9058</v>
      </c>
      <c r="K1772" s="2" t="s">
        <v>574</v>
      </c>
      <c r="L1772" s="8" t="s">
        <v>575</v>
      </c>
      <c r="M1772" s="8" t="s">
        <v>27</v>
      </c>
      <c r="N1772" s="8" t="s">
        <v>9059</v>
      </c>
      <c r="O1772" s="8" t="s">
        <v>1018</v>
      </c>
      <c r="P1772" s="8" t="s">
        <v>405</v>
      </c>
      <c r="Q1772" s="12" t="s">
        <v>9060</v>
      </c>
      <c r="R1772" s="8" t="s">
        <v>29</v>
      </c>
      <c r="S1772" s="7" t="s">
        <v>28</v>
      </c>
      <c r="T1772" s="6"/>
      <c r="U1772" s="8"/>
    </row>
    <row r="1773" spans="1:34" ht="13.5" customHeight="1">
      <c r="A1773" s="8" t="s">
        <v>9045</v>
      </c>
      <c r="B1773" s="16">
        <v>45</v>
      </c>
      <c r="C1773" s="8" t="s">
        <v>20</v>
      </c>
      <c r="D1773" s="8" t="s">
        <v>85</v>
      </c>
      <c r="F1773" s="17">
        <v>41815</v>
      </c>
      <c r="G1773" s="8" t="s">
        <v>9046</v>
      </c>
      <c r="H1773" s="8" t="s">
        <v>98</v>
      </c>
      <c r="I1773" s="8" t="s">
        <v>45</v>
      </c>
      <c r="J1773" s="16" t="s">
        <v>9047</v>
      </c>
      <c r="K1773" s="2" t="s">
        <v>98</v>
      </c>
      <c r="L1773" s="8" t="s">
        <v>99</v>
      </c>
      <c r="M1773" s="8" t="s">
        <v>27</v>
      </c>
      <c r="N1773" s="8" t="s">
        <v>9048</v>
      </c>
      <c r="O1773" s="8" t="s">
        <v>1018</v>
      </c>
      <c r="P1773" s="8" t="s">
        <v>405</v>
      </c>
      <c r="Q1773" s="12" t="s">
        <v>9049</v>
      </c>
      <c r="R1773" s="8" t="s">
        <v>100</v>
      </c>
      <c r="S1773" s="7" t="s">
        <v>28</v>
      </c>
      <c r="T1773" s="6"/>
      <c r="U1773" s="8"/>
    </row>
    <row r="1774" spans="1:34" ht="13.5" customHeight="1">
      <c r="A1774" s="8" t="s">
        <v>9065</v>
      </c>
      <c r="B1774" s="16">
        <v>24</v>
      </c>
      <c r="C1774" s="8" t="s">
        <v>20</v>
      </c>
      <c r="D1774" s="8" t="s">
        <v>85</v>
      </c>
      <c r="E1774" s="8" t="s">
        <v>9066</v>
      </c>
      <c r="F1774" s="17">
        <v>41814</v>
      </c>
      <c r="G1774" s="8" t="s">
        <v>9067</v>
      </c>
      <c r="H1774" s="8" t="s">
        <v>5259</v>
      </c>
      <c r="I1774" s="8" t="s">
        <v>45</v>
      </c>
      <c r="J1774" s="16" t="s">
        <v>9068</v>
      </c>
      <c r="K1774" s="2" t="s">
        <v>98</v>
      </c>
      <c r="L1774" s="8" t="s">
        <v>418</v>
      </c>
      <c r="M1774" s="8" t="s">
        <v>27</v>
      </c>
      <c r="N1774" s="8" t="s">
        <v>9069</v>
      </c>
      <c r="O1774" s="8" t="s">
        <v>1018</v>
      </c>
      <c r="P1774" s="8" t="s">
        <v>405</v>
      </c>
      <c r="Q1774" s="12" t="s">
        <v>9070</v>
      </c>
      <c r="R1774" s="8" t="s">
        <v>972</v>
      </c>
      <c r="S1774" s="7" t="s">
        <v>18</v>
      </c>
      <c r="T1774" s="6"/>
      <c r="U1774" s="8"/>
    </row>
    <row r="1775" spans="1:34" ht="13.5" customHeight="1">
      <c r="A1775" s="8" t="s">
        <v>9071</v>
      </c>
      <c r="B1775" s="16">
        <v>20</v>
      </c>
      <c r="C1775" s="8" t="s">
        <v>20</v>
      </c>
      <c r="D1775" s="8" t="s">
        <v>85</v>
      </c>
      <c r="E1775" s="8" t="s">
        <v>9072</v>
      </c>
      <c r="F1775" s="17">
        <v>41814</v>
      </c>
      <c r="G1775" s="8" t="s">
        <v>9073</v>
      </c>
      <c r="H1775" s="8" t="s">
        <v>8661</v>
      </c>
      <c r="I1775" s="8" t="s">
        <v>81</v>
      </c>
      <c r="J1775" s="16" t="s">
        <v>9074</v>
      </c>
      <c r="K1775" s="2" t="s">
        <v>2502</v>
      </c>
      <c r="L1775" s="8" t="s">
        <v>8663</v>
      </c>
      <c r="M1775" s="8" t="s">
        <v>27</v>
      </c>
      <c r="N1775" s="8" t="s">
        <v>9075</v>
      </c>
      <c r="O1775" s="8" t="s">
        <v>1018</v>
      </c>
      <c r="P1775" s="8" t="s">
        <v>405</v>
      </c>
      <c r="Q1775" s="12"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1775" s="8" t="s">
        <v>100</v>
      </c>
      <c r="S1775" s="7" t="s">
        <v>18</v>
      </c>
      <c r="T1775" s="6"/>
      <c r="U1775" s="8"/>
    </row>
    <row r="1776" spans="1:34" ht="13.5" customHeight="1">
      <c r="A1776" s="8" t="s">
        <v>9076</v>
      </c>
      <c r="B1776" s="16">
        <v>80</v>
      </c>
      <c r="C1776" s="8" t="s">
        <v>20</v>
      </c>
      <c r="D1776" s="8" t="s">
        <v>37</v>
      </c>
      <c r="E1776" s="8" t="s">
        <v>9077</v>
      </c>
      <c r="F1776" s="17">
        <v>41814</v>
      </c>
      <c r="G1776" s="8" t="s">
        <v>9078</v>
      </c>
      <c r="H1776" s="8" t="s">
        <v>9079</v>
      </c>
      <c r="I1776" s="8" t="s">
        <v>73</v>
      </c>
      <c r="J1776" s="16" t="s">
        <v>9080</v>
      </c>
      <c r="K1776" s="2" t="s">
        <v>1795</v>
      </c>
      <c r="L1776" s="8" t="s">
        <v>9081</v>
      </c>
      <c r="M1776" s="8" t="s">
        <v>27</v>
      </c>
      <c r="N1776" s="8" t="s">
        <v>9082</v>
      </c>
      <c r="O1776" s="8" t="s">
        <v>554</v>
      </c>
      <c r="P1776" s="8" t="s">
        <v>405</v>
      </c>
      <c r="Q1776" s="12" t="s">
        <v>9083</v>
      </c>
      <c r="R1776" s="8" t="s">
        <v>100</v>
      </c>
      <c r="S1776" s="7" t="s">
        <v>28</v>
      </c>
      <c r="T1776" s="6"/>
      <c r="U1776" s="8"/>
    </row>
    <row r="1777" spans="1:34" ht="13.5" customHeight="1">
      <c r="A1777" s="8" t="s">
        <v>9084</v>
      </c>
      <c r="B1777" s="16">
        <v>49</v>
      </c>
      <c r="C1777" s="8" t="s">
        <v>20</v>
      </c>
      <c r="D1777" s="8" t="s">
        <v>85</v>
      </c>
      <c r="E1777" s="8" t="s">
        <v>9085</v>
      </c>
      <c r="F1777" s="17">
        <v>41813</v>
      </c>
      <c r="G1777" s="8" t="s">
        <v>9086</v>
      </c>
      <c r="H1777" s="8" t="s">
        <v>9087</v>
      </c>
      <c r="I1777" s="8" t="s">
        <v>52</v>
      </c>
      <c r="J1777" s="16">
        <v>20772</v>
      </c>
      <c r="K1777" s="2" t="s">
        <v>2403</v>
      </c>
      <c r="L1777" s="8" t="s">
        <v>767</v>
      </c>
      <c r="M1777" s="8" t="s">
        <v>2312</v>
      </c>
      <c r="N1777" s="8" t="s">
        <v>9088</v>
      </c>
      <c r="O1777" s="8" t="s">
        <v>1018</v>
      </c>
      <c r="P1777" s="8" t="s">
        <v>405</v>
      </c>
      <c r="Q1777" s="12"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1777" s="8" t="s">
        <v>29</v>
      </c>
      <c r="S1777" s="7" t="s">
        <v>18</v>
      </c>
      <c r="T1777" s="6"/>
      <c r="U1777" s="8"/>
    </row>
    <row r="1778" spans="1:34" ht="13.5" customHeight="1">
      <c r="A1778" s="8" t="s">
        <v>9089</v>
      </c>
      <c r="B1778" s="16">
        <v>45</v>
      </c>
      <c r="C1778" s="8" t="s">
        <v>20</v>
      </c>
      <c r="D1778" s="8" t="s">
        <v>85</v>
      </c>
      <c r="E1778" s="8" t="s">
        <v>9090</v>
      </c>
      <c r="F1778" s="17">
        <v>41812</v>
      </c>
      <c r="G1778" s="8" t="s">
        <v>9091</v>
      </c>
      <c r="H1778" s="8" t="s">
        <v>9092</v>
      </c>
      <c r="I1778" s="8" t="s">
        <v>73</v>
      </c>
      <c r="J1778" s="16" t="s">
        <v>9093</v>
      </c>
      <c r="K1778" s="2" t="s">
        <v>288</v>
      </c>
      <c r="L1778" s="8" t="s">
        <v>852</v>
      </c>
      <c r="M1778" s="8" t="s">
        <v>27</v>
      </c>
      <c r="N1778" s="8" t="s">
        <v>9094</v>
      </c>
      <c r="O1778" s="8" t="s">
        <v>4742</v>
      </c>
      <c r="P1778" s="8" t="s">
        <v>405</v>
      </c>
      <c r="Q1778" s="12" t="s">
        <v>9095</v>
      </c>
      <c r="R1778" s="8" t="s">
        <v>100</v>
      </c>
      <c r="S1778" s="7" t="s">
        <v>18</v>
      </c>
      <c r="T1778" s="6"/>
      <c r="U1778" s="8"/>
      <c r="Y1778" s="8"/>
      <c r="Z1778" s="8"/>
      <c r="AA1778" s="8"/>
      <c r="AB1778" s="8"/>
      <c r="AC1778" s="8"/>
      <c r="AD1778" s="8"/>
      <c r="AE1778" s="8"/>
      <c r="AF1778" s="8"/>
      <c r="AG1778" s="8"/>
      <c r="AH1778" s="8"/>
    </row>
    <row r="1779" spans="1:34" ht="13.5" customHeight="1">
      <c r="A1779" s="8" t="s">
        <v>9096</v>
      </c>
      <c r="B1779" s="16">
        <v>45</v>
      </c>
      <c r="C1779" s="8" t="s">
        <v>20</v>
      </c>
      <c r="D1779" s="8" t="s">
        <v>37</v>
      </c>
      <c r="E1779" s="8" t="s">
        <v>9097</v>
      </c>
      <c r="F1779" s="17">
        <v>41812</v>
      </c>
      <c r="G1779" s="8" t="s">
        <v>9098</v>
      </c>
      <c r="H1779" s="8" t="s">
        <v>6544</v>
      </c>
      <c r="I1779" s="8" t="s">
        <v>370</v>
      </c>
      <c r="J1779" s="16" t="s">
        <v>9099</v>
      </c>
      <c r="K1779" s="2" t="s">
        <v>653</v>
      </c>
      <c r="L1779" s="8" t="s">
        <v>6199</v>
      </c>
      <c r="M1779" s="8" t="s">
        <v>27</v>
      </c>
      <c r="N1779" s="8" t="s">
        <v>9100</v>
      </c>
      <c r="O1779" s="8" t="s">
        <v>4742</v>
      </c>
      <c r="P1779" s="8" t="s">
        <v>405</v>
      </c>
      <c r="Q1779" s="12" t="s">
        <v>9101</v>
      </c>
      <c r="R1779" s="8" t="s">
        <v>100</v>
      </c>
      <c r="S1779" s="7" t="s">
        <v>28</v>
      </c>
      <c r="T1779" s="6"/>
      <c r="U1779" s="8"/>
    </row>
    <row r="1780" spans="1:34" ht="13.5" customHeight="1">
      <c r="A1780" s="8" t="s">
        <v>9120</v>
      </c>
      <c r="B1780" s="16">
        <v>35</v>
      </c>
      <c r="C1780" s="8" t="s">
        <v>20</v>
      </c>
      <c r="D1780" s="8" t="s">
        <v>37</v>
      </c>
      <c r="E1780" s="8" t="s">
        <v>9121</v>
      </c>
      <c r="F1780" s="17">
        <v>41811</v>
      </c>
      <c r="G1780" s="8" t="s">
        <v>9122</v>
      </c>
      <c r="H1780" s="8" t="s">
        <v>9123</v>
      </c>
      <c r="I1780" s="8" t="s">
        <v>319</v>
      </c>
      <c r="J1780" s="16" t="s">
        <v>9124</v>
      </c>
      <c r="K1780" s="2" t="s">
        <v>3906</v>
      </c>
      <c r="L1780" s="8" t="s">
        <v>3406</v>
      </c>
      <c r="M1780" s="8" t="s">
        <v>27</v>
      </c>
      <c r="N1780" s="8" t="s">
        <v>9125</v>
      </c>
      <c r="O1780" s="8" t="s">
        <v>1018</v>
      </c>
      <c r="P1780" s="8" t="s">
        <v>405</v>
      </c>
      <c r="Q1780" s="12" t="s">
        <v>9126</v>
      </c>
      <c r="R1780" s="8" t="s">
        <v>100</v>
      </c>
      <c r="S1780" s="7" t="s">
        <v>28</v>
      </c>
      <c r="T1780" s="6"/>
      <c r="U1780" s="8"/>
    </row>
    <row r="1781" spans="1:34" ht="13.5" customHeight="1">
      <c r="A1781" s="8" t="s">
        <v>9108</v>
      </c>
      <c r="B1781" s="16">
        <v>22</v>
      </c>
      <c r="C1781" s="8" t="s">
        <v>20</v>
      </c>
      <c r="D1781" s="8" t="s">
        <v>950</v>
      </c>
      <c r="E1781" s="8" t="s">
        <v>9109</v>
      </c>
      <c r="F1781" s="17">
        <v>41811</v>
      </c>
      <c r="G1781" s="8" t="s">
        <v>9110</v>
      </c>
      <c r="H1781" s="8" t="s">
        <v>419</v>
      </c>
      <c r="I1781" s="8" t="s">
        <v>45</v>
      </c>
      <c r="J1781" s="16" t="s">
        <v>7803</v>
      </c>
      <c r="K1781" s="2" t="s">
        <v>313</v>
      </c>
      <c r="L1781" s="8" t="s">
        <v>420</v>
      </c>
      <c r="M1781" s="8" t="s">
        <v>27</v>
      </c>
      <c r="N1781" s="8" t="s">
        <v>9111</v>
      </c>
      <c r="O1781" s="8" t="s">
        <v>29</v>
      </c>
      <c r="P1781" s="8" t="s">
        <v>405</v>
      </c>
      <c r="Q1781" s="12" t="s">
        <v>9112</v>
      </c>
      <c r="R1781" s="8" t="s">
        <v>100</v>
      </c>
      <c r="S1781" s="7" t="s">
        <v>28</v>
      </c>
      <c r="T1781" s="6"/>
      <c r="U1781" s="8"/>
    </row>
    <row r="1782" spans="1:34" ht="13.5" customHeight="1">
      <c r="A1782" s="8" t="s">
        <v>9127</v>
      </c>
      <c r="B1782" s="16">
        <v>54</v>
      </c>
      <c r="C1782" s="8" t="s">
        <v>20</v>
      </c>
      <c r="D1782" s="8" t="s">
        <v>37</v>
      </c>
      <c r="F1782" s="17">
        <v>41811</v>
      </c>
      <c r="G1782" s="8" t="s">
        <v>9128</v>
      </c>
      <c r="H1782" s="8" t="s">
        <v>9129</v>
      </c>
      <c r="I1782" s="8" t="s">
        <v>57</v>
      </c>
      <c r="J1782" s="16" t="s">
        <v>9130</v>
      </c>
      <c r="K1782" s="2" t="s">
        <v>1122</v>
      </c>
      <c r="L1782" s="8" t="s">
        <v>9131</v>
      </c>
      <c r="M1782" s="8" t="s">
        <v>27</v>
      </c>
      <c r="N1782" s="8" t="s">
        <v>9132</v>
      </c>
      <c r="O1782" s="8" t="s">
        <v>404</v>
      </c>
      <c r="P1782" s="8" t="s">
        <v>405</v>
      </c>
      <c r="Q1782" s="12" t="s">
        <v>9133</v>
      </c>
      <c r="R1782" s="8" t="s">
        <v>100</v>
      </c>
      <c r="S1782" s="7" t="s">
        <v>28</v>
      </c>
      <c r="T1782" s="6"/>
      <c r="U1782" s="8"/>
    </row>
    <row r="1783" spans="1:34" ht="13.5" customHeight="1">
      <c r="A1783" s="8" t="s">
        <v>9102</v>
      </c>
      <c r="B1783" s="16">
        <v>22</v>
      </c>
      <c r="C1783" s="8" t="s">
        <v>20</v>
      </c>
      <c r="D1783" s="8" t="s">
        <v>48</v>
      </c>
      <c r="E1783" s="8" t="s">
        <v>9103</v>
      </c>
      <c r="F1783" s="17">
        <v>41811</v>
      </c>
      <c r="G1783" s="8" t="s">
        <v>9104</v>
      </c>
      <c r="H1783" s="8" t="s">
        <v>1658</v>
      </c>
      <c r="I1783" s="8" t="s">
        <v>45</v>
      </c>
      <c r="J1783" s="16" t="s">
        <v>9105</v>
      </c>
      <c r="K1783" s="2" t="s">
        <v>1658</v>
      </c>
      <c r="L1783" s="8" t="s">
        <v>2346</v>
      </c>
      <c r="M1783" s="8" t="s">
        <v>27</v>
      </c>
      <c r="N1783" s="8" t="s">
        <v>9106</v>
      </c>
      <c r="O1783" s="8" t="s">
        <v>29</v>
      </c>
      <c r="P1783" s="8" t="s">
        <v>405</v>
      </c>
      <c r="Q1783" s="12" t="s">
        <v>9107</v>
      </c>
      <c r="R1783" s="8" t="s">
        <v>972</v>
      </c>
      <c r="S1783" s="7" t="s">
        <v>28</v>
      </c>
      <c r="T1783" s="6"/>
      <c r="U1783" s="8"/>
    </row>
    <row r="1784" spans="1:34" ht="13.5" customHeight="1">
      <c r="A1784" s="8" t="s">
        <v>9113</v>
      </c>
      <c r="B1784" s="16">
        <v>31</v>
      </c>
      <c r="C1784" s="8" t="s">
        <v>20</v>
      </c>
      <c r="D1784" s="8" t="s">
        <v>37</v>
      </c>
      <c r="E1784" s="8" t="s">
        <v>9114</v>
      </c>
      <c r="F1784" s="17">
        <v>41811</v>
      </c>
      <c r="G1784" s="8" t="s">
        <v>9115</v>
      </c>
      <c r="H1784" s="8" t="s">
        <v>9116</v>
      </c>
      <c r="I1784" s="8" t="s">
        <v>1733</v>
      </c>
      <c r="J1784" s="16" t="s">
        <v>9117</v>
      </c>
      <c r="K1784" s="2" t="s">
        <v>2287</v>
      </c>
      <c r="L1784" s="8" t="s">
        <v>8081</v>
      </c>
      <c r="M1784" s="8" t="s">
        <v>27</v>
      </c>
      <c r="N1784" s="8" t="s">
        <v>9118</v>
      </c>
      <c r="O1784" s="8" t="s">
        <v>554</v>
      </c>
      <c r="P1784" s="8" t="s">
        <v>405</v>
      </c>
      <c r="Q1784" s="12" t="s">
        <v>9119</v>
      </c>
      <c r="R1784" s="8" t="s">
        <v>100</v>
      </c>
      <c r="S1784" s="7" t="s">
        <v>28</v>
      </c>
      <c r="T1784" s="6"/>
      <c r="U1784" s="8"/>
    </row>
    <row r="1785" spans="1:34" ht="13.5" customHeight="1">
      <c r="A1785" s="8" t="s">
        <v>9139</v>
      </c>
      <c r="B1785" s="16">
        <v>19</v>
      </c>
      <c r="C1785" s="8" t="s">
        <v>20</v>
      </c>
      <c r="D1785" s="8" t="s">
        <v>85</v>
      </c>
      <c r="E1785" s="8" t="s">
        <v>9140</v>
      </c>
      <c r="F1785" s="17">
        <v>41810</v>
      </c>
      <c r="G1785" s="8" t="s">
        <v>9141</v>
      </c>
      <c r="H1785" s="8" t="s">
        <v>2236</v>
      </c>
      <c r="I1785" s="8" t="s">
        <v>32</v>
      </c>
      <c r="J1785" s="16" t="s">
        <v>9142</v>
      </c>
      <c r="K1785" s="2" t="s">
        <v>2236</v>
      </c>
      <c r="L1785" s="8" t="s">
        <v>9143</v>
      </c>
      <c r="M1785" s="8" t="s">
        <v>27</v>
      </c>
      <c r="N1785" s="8" t="s">
        <v>9144</v>
      </c>
      <c r="O1785" s="8" t="s">
        <v>1018</v>
      </c>
      <c r="P1785" s="8" t="s">
        <v>405</v>
      </c>
      <c r="Q1785" s="12" t="s">
        <v>9145</v>
      </c>
      <c r="R1785" s="8" t="s">
        <v>100</v>
      </c>
      <c r="S1785" s="7" t="s">
        <v>28</v>
      </c>
      <c r="T1785" s="6"/>
      <c r="U1785" s="8"/>
    </row>
    <row r="1786" spans="1:34" ht="13.5" customHeight="1">
      <c r="A1786" s="8" t="s">
        <v>9155</v>
      </c>
      <c r="B1786" s="16">
        <v>70</v>
      </c>
      <c r="C1786" s="8" t="s">
        <v>20</v>
      </c>
      <c r="D1786" s="8" t="s">
        <v>37</v>
      </c>
      <c r="E1786" s="8" t="s">
        <v>9156</v>
      </c>
      <c r="F1786" s="17">
        <v>41810</v>
      </c>
      <c r="G1786" s="8" t="s">
        <v>9157</v>
      </c>
      <c r="H1786" s="8" t="s">
        <v>552</v>
      </c>
      <c r="I1786" s="8" t="s">
        <v>73</v>
      </c>
      <c r="J1786" s="16" t="s">
        <v>9158</v>
      </c>
      <c r="K1786" s="2" t="s">
        <v>552</v>
      </c>
      <c r="L1786" s="8" t="s">
        <v>622</v>
      </c>
      <c r="M1786" s="8" t="s">
        <v>27</v>
      </c>
      <c r="N1786" s="8" t="s">
        <v>9159</v>
      </c>
      <c r="O1786" s="8" t="s">
        <v>1018</v>
      </c>
      <c r="P1786" s="8" t="s">
        <v>405</v>
      </c>
      <c r="Q1786" s="12" t="s">
        <v>9160</v>
      </c>
      <c r="R1786" s="8" t="s">
        <v>100</v>
      </c>
      <c r="S1786" s="7" t="s">
        <v>28</v>
      </c>
      <c r="T1786" s="6"/>
      <c r="U1786" s="8"/>
    </row>
    <row r="1787" spans="1:34" ht="13.5" customHeight="1">
      <c r="A1787" s="8" t="s">
        <v>9134</v>
      </c>
      <c r="B1787" s="16">
        <v>30</v>
      </c>
      <c r="C1787" s="8" t="s">
        <v>20</v>
      </c>
      <c r="D1787" s="8" t="s">
        <v>85</v>
      </c>
      <c r="E1787" s="8" t="s">
        <v>9135</v>
      </c>
      <c r="F1787" s="17">
        <v>41810</v>
      </c>
      <c r="G1787" s="8" t="s">
        <v>9136</v>
      </c>
      <c r="H1787" s="8" t="s">
        <v>2540</v>
      </c>
      <c r="I1787" s="8" t="s">
        <v>73</v>
      </c>
      <c r="J1787" s="16" t="s">
        <v>9137</v>
      </c>
      <c r="K1787" s="2" t="s">
        <v>288</v>
      </c>
      <c r="L1787" s="8" t="s">
        <v>2541</v>
      </c>
      <c r="M1787" s="8" t="s">
        <v>27</v>
      </c>
      <c r="N1787" s="8" t="s">
        <v>9138</v>
      </c>
      <c r="O1787" s="8" t="s">
        <v>29</v>
      </c>
      <c r="P1787" s="8" t="s">
        <v>405</v>
      </c>
      <c r="Q1787" s="12" t="str">
        <f>HYPERLINK("http://www.myfoxdfw.com/story/25833600/suspect-killed-in-garland-officer-involved-shooting","http://www.myfoxdfw.com/story/25833600/suspect-killed-in-garland-officer-involved-shooting")</f>
        <v>http://www.myfoxdfw.com/story/25833600/suspect-killed-in-garland-officer-involved-shooting</v>
      </c>
      <c r="R1787" s="8" t="s">
        <v>29</v>
      </c>
      <c r="S1787" s="7" t="s">
        <v>28</v>
      </c>
      <c r="T1787" s="6"/>
      <c r="U1787" s="8"/>
    </row>
    <row r="1788" spans="1:34" ht="13.5" customHeight="1">
      <c r="A1788" s="8" t="s">
        <v>9161</v>
      </c>
      <c r="B1788" s="16">
        <v>32</v>
      </c>
      <c r="C1788" s="8" t="s">
        <v>20</v>
      </c>
      <c r="D1788" s="8" t="s">
        <v>37</v>
      </c>
      <c r="E1788" s="8" t="s">
        <v>9162</v>
      </c>
      <c r="F1788" s="17">
        <v>41810</v>
      </c>
      <c r="G1788" s="8" t="s">
        <v>9163</v>
      </c>
      <c r="H1788" s="8" t="s">
        <v>9164</v>
      </c>
      <c r="I1788" s="8" t="s">
        <v>467</v>
      </c>
      <c r="J1788" s="16" t="s">
        <v>9165</v>
      </c>
      <c r="K1788" s="2" t="s">
        <v>9166</v>
      </c>
      <c r="L1788" s="8" t="s">
        <v>9167</v>
      </c>
      <c r="M1788" s="8" t="s">
        <v>27</v>
      </c>
      <c r="N1788" s="8" t="s">
        <v>9168</v>
      </c>
      <c r="O1788" s="8" t="s">
        <v>554</v>
      </c>
      <c r="P1788" s="8" t="s">
        <v>405</v>
      </c>
      <c r="Q1788" s="12" t="s">
        <v>9169</v>
      </c>
      <c r="R1788" s="8" t="s">
        <v>100</v>
      </c>
      <c r="S1788" s="7" t="s">
        <v>28</v>
      </c>
      <c r="T1788" s="6"/>
      <c r="U1788" s="8"/>
    </row>
    <row r="1789" spans="1:34" ht="13.5" customHeight="1">
      <c r="A1789" s="8" t="s">
        <v>3288</v>
      </c>
      <c r="B1789" s="16" t="s">
        <v>29</v>
      </c>
      <c r="C1789" s="8" t="s">
        <v>29</v>
      </c>
      <c r="D1789" s="8" t="s">
        <v>30</v>
      </c>
      <c r="F1789" s="17">
        <v>41810</v>
      </c>
      <c r="G1789" s="8" t="s">
        <v>9151</v>
      </c>
      <c r="H1789" s="8" t="s">
        <v>1807</v>
      </c>
      <c r="I1789" s="8" t="s">
        <v>175</v>
      </c>
      <c r="J1789" s="16" t="s">
        <v>9152</v>
      </c>
      <c r="K1789" s="2" t="s">
        <v>869</v>
      </c>
      <c r="L1789" s="8" t="s">
        <v>870</v>
      </c>
      <c r="M1789" s="8" t="s">
        <v>27</v>
      </c>
      <c r="N1789" s="8" t="s">
        <v>9153</v>
      </c>
      <c r="O1789" s="8" t="s">
        <v>1018</v>
      </c>
      <c r="P1789" s="8" t="s">
        <v>405</v>
      </c>
      <c r="Q1789" s="12" t="s">
        <v>9154</v>
      </c>
      <c r="R1789" s="8" t="s">
        <v>100</v>
      </c>
      <c r="S1789" s="7" t="s">
        <v>28</v>
      </c>
      <c r="T1789" s="6"/>
      <c r="U1789" s="8"/>
    </row>
    <row r="1790" spans="1:34" ht="13.5" customHeight="1">
      <c r="A1790" s="8" t="s">
        <v>9146</v>
      </c>
      <c r="B1790" s="16">
        <v>23</v>
      </c>
      <c r="C1790" s="8" t="s">
        <v>20</v>
      </c>
      <c r="D1790" s="8" t="s">
        <v>141</v>
      </c>
      <c r="E1790" s="8" t="s">
        <v>9147</v>
      </c>
      <c r="F1790" s="17">
        <v>41810</v>
      </c>
      <c r="G1790" s="8" t="s">
        <v>9148</v>
      </c>
      <c r="H1790" s="8" t="s">
        <v>7627</v>
      </c>
      <c r="I1790" s="8" t="s">
        <v>45</v>
      </c>
      <c r="J1790" s="16" t="s">
        <v>8429</v>
      </c>
      <c r="K1790" s="2" t="s">
        <v>7629</v>
      </c>
      <c r="L1790" s="8" t="s">
        <v>7630</v>
      </c>
      <c r="M1790" s="8" t="s">
        <v>27</v>
      </c>
      <c r="N1790" s="8" t="s">
        <v>9149</v>
      </c>
      <c r="O1790" s="8" t="s">
        <v>1018</v>
      </c>
      <c r="P1790" s="8" t="s">
        <v>405</v>
      </c>
      <c r="Q1790" s="12" t="s">
        <v>9150</v>
      </c>
      <c r="R1790" s="8" t="s">
        <v>559</v>
      </c>
      <c r="S1790" s="7" t="s">
        <v>28</v>
      </c>
      <c r="T1790" s="6"/>
      <c r="U1790" s="8"/>
    </row>
    <row r="1791" spans="1:34" ht="13.5" customHeight="1">
      <c r="A1791" s="8" t="s">
        <v>9184</v>
      </c>
      <c r="B1791" s="16">
        <v>45</v>
      </c>
      <c r="C1791" s="8" t="s">
        <v>20</v>
      </c>
      <c r="D1791" s="8" t="s">
        <v>48</v>
      </c>
      <c r="F1791" s="17">
        <v>41809</v>
      </c>
      <c r="G1791" s="8" t="s">
        <v>9185</v>
      </c>
      <c r="H1791" s="8" t="s">
        <v>579</v>
      </c>
      <c r="I1791" s="8" t="s">
        <v>73</v>
      </c>
      <c r="J1791" s="16" t="s">
        <v>9186</v>
      </c>
      <c r="K1791" s="2" t="s">
        <v>580</v>
      </c>
      <c r="L1791" s="8" t="s">
        <v>581</v>
      </c>
      <c r="M1791" s="8" t="s">
        <v>27</v>
      </c>
      <c r="N1791" s="8" t="s">
        <v>9187</v>
      </c>
      <c r="O1791" s="8" t="s">
        <v>4742</v>
      </c>
      <c r="P1791" s="8" t="s">
        <v>405</v>
      </c>
      <c r="Q1791" s="12" t="s">
        <v>9188</v>
      </c>
      <c r="R1791" s="8" t="s">
        <v>100</v>
      </c>
      <c r="S1791" s="7" t="s">
        <v>28</v>
      </c>
      <c r="T1791" s="6"/>
      <c r="U1791" s="8"/>
    </row>
    <row r="1792" spans="1:34" ht="13.5" customHeight="1">
      <c r="A1792" s="8" t="s">
        <v>9170</v>
      </c>
      <c r="B1792" s="16">
        <v>53</v>
      </c>
      <c r="C1792" s="8" t="s">
        <v>20</v>
      </c>
      <c r="D1792" s="8" t="s">
        <v>85</v>
      </c>
      <c r="F1792" s="17">
        <v>41809</v>
      </c>
      <c r="G1792" s="8" t="s">
        <v>9171</v>
      </c>
      <c r="H1792" s="8" t="s">
        <v>9172</v>
      </c>
      <c r="I1792" s="8" t="s">
        <v>370</v>
      </c>
      <c r="J1792" s="16" t="s">
        <v>9173</v>
      </c>
      <c r="K1792" s="2" t="s">
        <v>3187</v>
      </c>
      <c r="L1792" s="8" t="s">
        <v>9174</v>
      </c>
      <c r="M1792" s="8" t="s">
        <v>27</v>
      </c>
      <c r="N1792" s="8" t="s">
        <v>9175</v>
      </c>
      <c r="O1792" s="8" t="s">
        <v>1018</v>
      </c>
      <c r="P1792" s="8" t="s">
        <v>405</v>
      </c>
      <c r="Q1792" s="12" t="s">
        <v>9176</v>
      </c>
      <c r="R1792" s="8" t="s">
        <v>29</v>
      </c>
      <c r="S1792" s="7" t="s">
        <v>28</v>
      </c>
      <c r="T1792" s="6"/>
      <c r="U1792" s="8"/>
    </row>
    <row r="1793" spans="1:34" ht="13.5" customHeight="1">
      <c r="A1793" s="8" t="s">
        <v>9177</v>
      </c>
      <c r="B1793" s="16">
        <v>17</v>
      </c>
      <c r="C1793" s="8" t="s">
        <v>20</v>
      </c>
      <c r="D1793" s="8" t="s">
        <v>48</v>
      </c>
      <c r="E1793" s="8" t="s">
        <v>9178</v>
      </c>
      <c r="F1793" s="17">
        <v>41809</v>
      </c>
      <c r="G1793" s="8" t="s">
        <v>9179</v>
      </c>
      <c r="H1793" s="8" t="s">
        <v>216</v>
      </c>
      <c r="I1793" s="8" t="s">
        <v>62</v>
      </c>
      <c r="J1793" s="16" t="s">
        <v>9180</v>
      </c>
      <c r="K1793" s="2" t="s">
        <v>163</v>
      </c>
      <c r="L1793" s="8" t="s">
        <v>9181</v>
      </c>
      <c r="M1793" s="8" t="s">
        <v>27</v>
      </c>
      <c r="N1793" s="8" t="s">
        <v>9182</v>
      </c>
      <c r="O1793" s="8" t="s">
        <v>4742</v>
      </c>
      <c r="P1793" s="8" t="s">
        <v>405</v>
      </c>
      <c r="Q1793" s="12" t="s">
        <v>9183</v>
      </c>
      <c r="R1793" s="8" t="s">
        <v>100</v>
      </c>
      <c r="S1793" s="7" t="s">
        <v>383</v>
      </c>
      <c r="T1793" s="6"/>
      <c r="U1793" s="8"/>
    </row>
    <row r="1794" spans="1:34" ht="13.5" customHeight="1">
      <c r="A1794" s="8" t="s">
        <v>9189</v>
      </c>
      <c r="B1794" s="16">
        <v>37</v>
      </c>
      <c r="C1794" s="8" t="s">
        <v>20</v>
      </c>
      <c r="D1794" s="8" t="s">
        <v>30</v>
      </c>
      <c r="F1794" s="17">
        <v>41809</v>
      </c>
      <c r="G1794" s="8" t="s">
        <v>9190</v>
      </c>
      <c r="H1794" s="8" t="s">
        <v>1658</v>
      </c>
      <c r="I1794" s="8" t="s">
        <v>45</v>
      </c>
      <c r="J1794" s="16" t="s">
        <v>9105</v>
      </c>
      <c r="K1794" s="2" t="s">
        <v>1658</v>
      </c>
      <c r="L1794" s="8" t="s">
        <v>2346</v>
      </c>
      <c r="M1794" s="8" t="s">
        <v>27</v>
      </c>
      <c r="N1794" s="8" t="s">
        <v>9191</v>
      </c>
      <c r="O1794" s="8" t="s">
        <v>1018</v>
      </c>
      <c r="P1794" s="8" t="s">
        <v>405</v>
      </c>
      <c r="Q1794" s="12" t="s">
        <v>9192</v>
      </c>
      <c r="R1794" s="8" t="s">
        <v>100</v>
      </c>
      <c r="S1794" s="7" t="s">
        <v>28</v>
      </c>
      <c r="T1794" s="6"/>
      <c r="U1794" s="8"/>
    </row>
    <row r="1795" spans="1:34" ht="13.5" customHeight="1">
      <c r="A1795" s="8" t="s">
        <v>9200</v>
      </c>
      <c r="B1795" s="16">
        <v>36</v>
      </c>
      <c r="C1795" s="8" t="s">
        <v>20</v>
      </c>
      <c r="D1795" s="8" t="s">
        <v>37</v>
      </c>
      <c r="E1795" s="8" t="s">
        <v>9201</v>
      </c>
      <c r="F1795" s="17">
        <v>41809</v>
      </c>
      <c r="G1795" s="8" t="s">
        <v>9202</v>
      </c>
      <c r="H1795" s="8" t="s">
        <v>9203</v>
      </c>
      <c r="I1795" s="8" t="s">
        <v>306</v>
      </c>
      <c r="J1795" s="16" t="s">
        <v>9204</v>
      </c>
      <c r="K1795" s="2" t="s">
        <v>9205</v>
      </c>
      <c r="L1795" s="8" t="s">
        <v>9206</v>
      </c>
      <c r="M1795" s="8" t="s">
        <v>27</v>
      </c>
      <c r="N1795" s="8" t="s">
        <v>9207</v>
      </c>
      <c r="O1795" s="8" t="s">
        <v>554</v>
      </c>
      <c r="P1795" s="8" t="s">
        <v>405</v>
      </c>
      <c r="Q1795" s="12" t="str">
        <f>HYPERLINK("http://blogs.seattletimes.com/today/2014/06/man-killed-by-port-orchard-police-identified/","http://blogs.seattletimes.com/today/2014/06/man-killed-by-port-orchard-police-identified/")</f>
        <v>http://blogs.seattletimes.com/today/2014/06/man-killed-by-port-orchard-police-identified/</v>
      </c>
      <c r="R1795" s="8" t="s">
        <v>100</v>
      </c>
      <c r="S1795" s="7" t="s">
        <v>28</v>
      </c>
      <c r="T1795" s="6"/>
      <c r="U1795" s="8"/>
    </row>
    <row r="1796" spans="1:34" ht="13.5" customHeight="1">
      <c r="A1796" s="8" t="s">
        <v>9193</v>
      </c>
      <c r="B1796" s="16">
        <v>32</v>
      </c>
      <c r="C1796" s="8" t="s">
        <v>20</v>
      </c>
      <c r="D1796" s="8" t="s">
        <v>37</v>
      </c>
      <c r="E1796" s="8" t="s">
        <v>9194</v>
      </c>
      <c r="F1796" s="17">
        <v>41809</v>
      </c>
      <c r="G1796" s="8" t="s">
        <v>9195</v>
      </c>
      <c r="H1796" s="8" t="s">
        <v>9196</v>
      </c>
      <c r="I1796" s="8" t="s">
        <v>32</v>
      </c>
      <c r="J1796" s="16" t="s">
        <v>9197</v>
      </c>
      <c r="K1796" s="2" t="s">
        <v>1087</v>
      </c>
      <c r="L1796" s="8" t="s">
        <v>1088</v>
      </c>
      <c r="M1796" s="8" t="s">
        <v>27</v>
      </c>
      <c r="N1796" s="8" t="s">
        <v>9198</v>
      </c>
      <c r="O1796" s="8" t="s">
        <v>4742</v>
      </c>
      <c r="P1796" s="8" t="s">
        <v>405</v>
      </c>
      <c r="Q1796" s="12" t="s">
        <v>9199</v>
      </c>
      <c r="R1796" s="8" t="s">
        <v>100</v>
      </c>
      <c r="S1796" s="7" t="s">
        <v>18</v>
      </c>
      <c r="T1796" s="6"/>
      <c r="U1796" s="8"/>
    </row>
    <row r="1797" spans="1:34" ht="13.5" customHeight="1">
      <c r="A1797" s="8" t="s">
        <v>9208</v>
      </c>
      <c r="B1797" s="16">
        <v>21</v>
      </c>
      <c r="C1797" s="8" t="s">
        <v>20</v>
      </c>
      <c r="D1797" s="8" t="s">
        <v>85</v>
      </c>
      <c r="E1797" s="8" t="s">
        <v>9209</v>
      </c>
      <c r="F1797" s="17">
        <v>41808</v>
      </c>
      <c r="G1797" s="8" t="s">
        <v>9210</v>
      </c>
      <c r="H1797" s="8" t="s">
        <v>4243</v>
      </c>
      <c r="I1797" s="8" t="s">
        <v>370</v>
      </c>
      <c r="J1797" s="16" t="s">
        <v>9211</v>
      </c>
      <c r="K1797" s="2" t="s">
        <v>4245</v>
      </c>
      <c r="L1797" s="8" t="s">
        <v>4246</v>
      </c>
      <c r="M1797" s="8" t="s">
        <v>27</v>
      </c>
      <c r="N1797" s="8" t="s">
        <v>9212</v>
      </c>
      <c r="O1797" s="8" t="s">
        <v>1018</v>
      </c>
      <c r="P1797" s="8" t="s">
        <v>405</v>
      </c>
      <c r="Q1797" s="12" t="s">
        <v>9213</v>
      </c>
      <c r="R1797" s="8" t="s">
        <v>100</v>
      </c>
      <c r="S1797" s="7" t="s">
        <v>28</v>
      </c>
      <c r="T1797" s="6"/>
      <c r="U1797" s="8"/>
    </row>
    <row r="1798" spans="1:34" ht="13.5" customHeight="1">
      <c r="A1798" s="8" t="s">
        <v>9214</v>
      </c>
      <c r="B1798" s="16">
        <v>25</v>
      </c>
      <c r="C1798" s="8" t="s">
        <v>20</v>
      </c>
      <c r="D1798" s="8" t="s">
        <v>37</v>
      </c>
      <c r="E1798" s="8" t="s">
        <v>9215</v>
      </c>
      <c r="F1798" s="17">
        <v>41808</v>
      </c>
      <c r="G1798" s="8" t="s">
        <v>9216</v>
      </c>
      <c r="H1798" s="8" t="s">
        <v>8969</v>
      </c>
      <c r="I1798" s="8" t="s">
        <v>81</v>
      </c>
      <c r="J1798" s="16">
        <v>7202</v>
      </c>
      <c r="K1798" s="2" t="s">
        <v>676</v>
      </c>
      <c r="L1798" s="8" t="s">
        <v>5075</v>
      </c>
      <c r="M1798" s="8" t="s">
        <v>2312</v>
      </c>
      <c r="N1798" s="8" t="s">
        <v>9217</v>
      </c>
      <c r="P1798" s="8" t="s">
        <v>405</v>
      </c>
      <c r="Q1798" s="12" t="s">
        <v>9218</v>
      </c>
      <c r="S1798" s="7" t="s">
        <v>18</v>
      </c>
      <c r="T1798" s="6"/>
      <c r="U1798" s="8"/>
    </row>
    <row r="1799" spans="1:34" ht="13.5" customHeight="1">
      <c r="A1799" s="8" t="s">
        <v>9219</v>
      </c>
      <c r="B1799" s="16">
        <v>24</v>
      </c>
      <c r="C1799" s="8" t="s">
        <v>20</v>
      </c>
      <c r="D1799" s="8" t="s">
        <v>85</v>
      </c>
      <c r="E1799" s="8" t="s">
        <v>9220</v>
      </c>
      <c r="F1799" s="17">
        <v>41806</v>
      </c>
      <c r="G1799" s="8" t="s">
        <v>9221</v>
      </c>
      <c r="H1799" s="8" t="s">
        <v>2476</v>
      </c>
      <c r="I1799" s="8" t="s">
        <v>175</v>
      </c>
      <c r="J1799" s="16" t="s">
        <v>2477</v>
      </c>
      <c r="K1799" s="2" t="s">
        <v>1338</v>
      </c>
      <c r="L1799" s="8" t="s">
        <v>9222</v>
      </c>
      <c r="M1799" s="8" t="s">
        <v>27</v>
      </c>
      <c r="N1799" s="8" t="s">
        <v>9223</v>
      </c>
      <c r="O1799" s="8" t="s">
        <v>1018</v>
      </c>
      <c r="P1799" s="8" t="s">
        <v>405</v>
      </c>
      <c r="Q1799" s="12" t="s">
        <v>9224</v>
      </c>
      <c r="R1799" s="8" t="s">
        <v>100</v>
      </c>
      <c r="S1799" s="7" t="s">
        <v>28</v>
      </c>
      <c r="T1799" s="6"/>
      <c r="U1799" s="8"/>
    </row>
    <row r="1800" spans="1:34" ht="13.5" customHeight="1">
      <c r="A1800" s="8" t="s">
        <v>9225</v>
      </c>
      <c r="B1800" s="16">
        <v>35</v>
      </c>
      <c r="C1800" s="8" t="s">
        <v>20</v>
      </c>
      <c r="D1800" s="8" t="s">
        <v>37</v>
      </c>
      <c r="E1800" s="8" t="s">
        <v>9226</v>
      </c>
      <c r="F1800" s="17">
        <v>41806</v>
      </c>
      <c r="G1800" s="8" t="s">
        <v>9227</v>
      </c>
      <c r="H1800" s="8" t="s">
        <v>914</v>
      </c>
      <c r="I1800" s="8" t="s">
        <v>399</v>
      </c>
      <c r="J1800" s="16" t="s">
        <v>9228</v>
      </c>
      <c r="K1800" s="2" t="s">
        <v>9229</v>
      </c>
      <c r="L1800" s="8" t="s">
        <v>2062</v>
      </c>
      <c r="M1800" s="8" t="s">
        <v>27</v>
      </c>
      <c r="N1800" s="8" t="s">
        <v>9230</v>
      </c>
      <c r="O1800" s="8" t="s">
        <v>554</v>
      </c>
      <c r="P1800" s="8" t="s">
        <v>405</v>
      </c>
      <c r="Q1800" s="12" t="s">
        <v>9231</v>
      </c>
      <c r="R1800" s="8" t="s">
        <v>972</v>
      </c>
      <c r="S1800" s="7" t="s">
        <v>28</v>
      </c>
      <c r="T1800" s="6"/>
      <c r="U1800" s="8"/>
    </row>
    <row r="1801" spans="1:34" ht="13.5" customHeight="1">
      <c r="A1801" s="8" t="s">
        <v>9242</v>
      </c>
      <c r="B1801" s="16">
        <v>34</v>
      </c>
      <c r="C1801" s="8" t="s">
        <v>20</v>
      </c>
      <c r="D1801" s="8" t="s">
        <v>37</v>
      </c>
      <c r="E1801" s="8" t="s">
        <v>9243</v>
      </c>
      <c r="F1801" s="17">
        <v>41805</v>
      </c>
      <c r="G1801" s="8" t="s">
        <v>9244</v>
      </c>
      <c r="H1801" s="8" t="s">
        <v>9245</v>
      </c>
      <c r="I1801" s="8" t="s">
        <v>62</v>
      </c>
      <c r="J1801" s="16" t="s">
        <v>9246</v>
      </c>
      <c r="K1801" s="2" t="s">
        <v>9247</v>
      </c>
      <c r="L1801" s="8" t="s">
        <v>9248</v>
      </c>
      <c r="M1801" s="8" t="s">
        <v>27</v>
      </c>
      <c r="N1801" s="8" t="s">
        <v>9249</v>
      </c>
      <c r="O1801" s="8" t="s">
        <v>1018</v>
      </c>
      <c r="P1801" s="8" t="s">
        <v>405</v>
      </c>
      <c r="Q1801" s="12" t="s">
        <v>9250</v>
      </c>
      <c r="R1801" s="8" t="s">
        <v>559</v>
      </c>
      <c r="S1801" s="7" t="s">
        <v>28</v>
      </c>
      <c r="T1801" s="6"/>
      <c r="U1801" s="8"/>
      <c r="Y1801" s="8"/>
      <c r="Z1801" s="8"/>
      <c r="AA1801" s="8"/>
      <c r="AB1801" s="8"/>
      <c r="AC1801" s="8"/>
      <c r="AD1801" s="8"/>
      <c r="AE1801" s="8"/>
      <c r="AF1801" s="8"/>
      <c r="AG1801" s="8"/>
      <c r="AH1801" s="8"/>
    </row>
    <row r="1802" spans="1:34" ht="13.5" customHeight="1">
      <c r="A1802" s="8" t="s">
        <v>9232</v>
      </c>
      <c r="B1802" s="16">
        <v>30</v>
      </c>
      <c r="C1802" s="8" t="s">
        <v>20</v>
      </c>
      <c r="D1802" s="8" t="s">
        <v>85</v>
      </c>
      <c r="E1802" s="8" t="s">
        <v>9233</v>
      </c>
      <c r="F1802" s="17">
        <v>41805</v>
      </c>
      <c r="G1802" s="8" t="s">
        <v>9234</v>
      </c>
      <c r="H1802" s="8" t="s">
        <v>1608</v>
      </c>
      <c r="I1802" s="8" t="s">
        <v>52</v>
      </c>
      <c r="J1802" s="16" t="s">
        <v>9235</v>
      </c>
      <c r="K1802" s="2" t="s">
        <v>4755</v>
      </c>
      <c r="L1802" s="8" t="s">
        <v>2799</v>
      </c>
      <c r="M1802" s="8" t="s">
        <v>27</v>
      </c>
      <c r="N1802" s="8" t="s">
        <v>9236</v>
      </c>
      <c r="O1802" s="8" t="s">
        <v>1170</v>
      </c>
      <c r="P1802" s="8" t="s">
        <v>405</v>
      </c>
      <c r="Q1802" s="12" t="s">
        <v>9237</v>
      </c>
      <c r="R1802" s="8" t="s">
        <v>100</v>
      </c>
      <c r="S1802" s="7" t="s">
        <v>28</v>
      </c>
      <c r="T1802" s="6"/>
      <c r="U1802" s="8"/>
    </row>
    <row r="1803" spans="1:34" ht="13.5" customHeight="1">
      <c r="A1803" s="8" t="s">
        <v>9238</v>
      </c>
      <c r="B1803" s="16">
        <v>67</v>
      </c>
      <c r="C1803" s="8" t="s">
        <v>20</v>
      </c>
      <c r="D1803" s="8" t="s">
        <v>30</v>
      </c>
      <c r="F1803" s="17">
        <v>41805</v>
      </c>
      <c r="G1803" s="8" t="s">
        <v>9239</v>
      </c>
      <c r="H1803" s="8" t="s">
        <v>686</v>
      </c>
      <c r="I1803" s="8" t="s">
        <v>45</v>
      </c>
      <c r="J1803" s="16" t="s">
        <v>6141</v>
      </c>
      <c r="K1803" s="2" t="s">
        <v>687</v>
      </c>
      <c r="L1803" s="8" t="s">
        <v>755</v>
      </c>
      <c r="M1803" s="8" t="s">
        <v>27</v>
      </c>
      <c r="N1803" s="8" t="s">
        <v>9240</v>
      </c>
      <c r="O1803" s="8" t="s">
        <v>404</v>
      </c>
      <c r="P1803" s="8" t="s">
        <v>405</v>
      </c>
      <c r="Q1803" s="12" t="s">
        <v>9241</v>
      </c>
      <c r="R1803" s="8" t="s">
        <v>559</v>
      </c>
      <c r="S1803" s="7" t="s">
        <v>28</v>
      </c>
      <c r="T1803" s="6"/>
      <c r="U1803" s="8"/>
    </row>
    <row r="1804" spans="1:34" ht="13.5" customHeight="1">
      <c r="A1804" s="8" t="s">
        <v>9251</v>
      </c>
      <c r="B1804" s="16">
        <v>33</v>
      </c>
      <c r="C1804" s="8" t="s">
        <v>20</v>
      </c>
      <c r="D1804" s="8" t="s">
        <v>37</v>
      </c>
      <c r="E1804" s="8" t="s">
        <v>9252</v>
      </c>
      <c r="F1804" s="17">
        <v>41805</v>
      </c>
      <c r="G1804" s="8" t="s">
        <v>9253</v>
      </c>
      <c r="H1804" s="8" t="s">
        <v>1220</v>
      </c>
      <c r="I1804" s="8" t="s">
        <v>306</v>
      </c>
      <c r="J1804" s="16" t="s">
        <v>9254</v>
      </c>
      <c r="K1804" s="2" t="s">
        <v>1221</v>
      </c>
      <c r="L1804" s="8" t="s">
        <v>9255</v>
      </c>
      <c r="M1804" s="8" t="s">
        <v>27</v>
      </c>
      <c r="N1804" s="8" t="s">
        <v>9256</v>
      </c>
      <c r="O1804" s="8" t="s">
        <v>1018</v>
      </c>
      <c r="P1804" s="8" t="s">
        <v>405</v>
      </c>
      <c r="Q1804" s="12" t="str">
        <f>HYPERLINK("http://www.wsp.wa.gov/information/releases/2014_archive/mr061714.htm","http://www.wsp.wa.gov/information/releases/2014_archive/mr061714.htm")</f>
        <v>http://www.wsp.wa.gov/information/releases/2014_archive/mr061714.htm</v>
      </c>
      <c r="R1804" s="8" t="s">
        <v>559</v>
      </c>
      <c r="S1804" s="7" t="s">
        <v>28</v>
      </c>
      <c r="T1804" s="6"/>
      <c r="U1804" s="8"/>
    </row>
    <row r="1805" spans="1:34" ht="13.5" customHeight="1">
      <c r="A1805" s="8" t="s">
        <v>9267</v>
      </c>
      <c r="B1805" s="16">
        <v>40</v>
      </c>
      <c r="C1805" s="8" t="s">
        <v>20</v>
      </c>
      <c r="D1805" s="8" t="s">
        <v>37</v>
      </c>
      <c r="F1805" s="17">
        <v>41804</v>
      </c>
      <c r="G1805" s="8" t="s">
        <v>9268</v>
      </c>
      <c r="H1805" s="8" t="s">
        <v>9269</v>
      </c>
      <c r="I1805" s="8" t="s">
        <v>44</v>
      </c>
      <c r="J1805" s="16" t="s">
        <v>9270</v>
      </c>
      <c r="K1805" s="2" t="s">
        <v>9271</v>
      </c>
      <c r="L1805" s="8" t="s">
        <v>409</v>
      </c>
      <c r="M1805" s="8" t="s">
        <v>27</v>
      </c>
      <c r="N1805" s="8" t="s">
        <v>9272</v>
      </c>
      <c r="O1805" s="8" t="s">
        <v>1018</v>
      </c>
      <c r="P1805" s="8" t="s">
        <v>405</v>
      </c>
      <c r="Q1805" s="12" t="s">
        <v>9273</v>
      </c>
      <c r="R1805" s="8" t="s">
        <v>29</v>
      </c>
      <c r="S1805" s="7" t="s">
        <v>28</v>
      </c>
      <c r="T1805" s="6"/>
      <c r="U1805" s="8"/>
    </row>
    <row r="1806" spans="1:34" ht="13.5" customHeight="1">
      <c r="A1806" s="8" t="s">
        <v>9257</v>
      </c>
      <c r="B1806" s="16">
        <v>38</v>
      </c>
      <c r="C1806" s="8" t="s">
        <v>20</v>
      </c>
      <c r="D1806" s="8" t="s">
        <v>85</v>
      </c>
      <c r="E1806" s="8" t="s">
        <v>9258</v>
      </c>
      <c r="F1806" s="17">
        <v>41804</v>
      </c>
      <c r="G1806" s="8" t="s">
        <v>9259</v>
      </c>
      <c r="H1806" s="8" t="s">
        <v>288</v>
      </c>
      <c r="I1806" s="8" t="s">
        <v>73</v>
      </c>
      <c r="J1806" s="16" t="s">
        <v>9260</v>
      </c>
      <c r="K1806" s="2" t="s">
        <v>288</v>
      </c>
      <c r="L1806" s="8" t="s">
        <v>289</v>
      </c>
      <c r="M1806" s="8" t="s">
        <v>27</v>
      </c>
      <c r="N1806" s="8" t="s">
        <v>9261</v>
      </c>
      <c r="O1806" s="8" t="s">
        <v>554</v>
      </c>
      <c r="P1806" s="8" t="s">
        <v>405</v>
      </c>
      <c r="Q1806" s="12" t="s">
        <v>9262</v>
      </c>
      <c r="R1806" s="8" t="s">
        <v>559</v>
      </c>
      <c r="S1806" s="7" t="s">
        <v>18</v>
      </c>
      <c r="T1806" s="6"/>
      <c r="U1806" s="8"/>
    </row>
    <row r="1807" spans="1:34" ht="13.5" customHeight="1">
      <c r="A1807" s="8" t="s">
        <v>9263</v>
      </c>
      <c r="B1807" s="16">
        <v>21</v>
      </c>
      <c r="C1807" s="8" t="s">
        <v>20</v>
      </c>
      <c r="D1807" s="8" t="s">
        <v>48</v>
      </c>
      <c r="F1807" s="17">
        <v>41804</v>
      </c>
      <c r="G1807" s="8" t="s">
        <v>9264</v>
      </c>
      <c r="H1807" s="8" t="s">
        <v>1720</v>
      </c>
      <c r="I1807" s="8" t="s">
        <v>212</v>
      </c>
      <c r="J1807" s="16" t="s">
        <v>1721</v>
      </c>
      <c r="K1807" s="2" t="s">
        <v>1722</v>
      </c>
      <c r="L1807" s="8" t="s">
        <v>1723</v>
      </c>
      <c r="M1807" s="8" t="s">
        <v>27</v>
      </c>
      <c r="N1807" s="8" t="s">
        <v>9265</v>
      </c>
      <c r="O1807" s="8" t="s">
        <v>554</v>
      </c>
      <c r="P1807" s="8" t="s">
        <v>405</v>
      </c>
      <c r="Q1807" s="12" t="s">
        <v>9266</v>
      </c>
      <c r="R1807" s="8" t="s">
        <v>100</v>
      </c>
      <c r="S1807" s="7" t="s">
        <v>28</v>
      </c>
      <c r="T1807" s="6"/>
      <c r="U1807" s="8"/>
    </row>
    <row r="1808" spans="1:34" ht="13.5" customHeight="1">
      <c r="A1808" s="8" t="s">
        <v>9283</v>
      </c>
      <c r="B1808" s="16" t="s">
        <v>9284</v>
      </c>
      <c r="C1808" s="8" t="s">
        <v>20</v>
      </c>
      <c r="D1808" s="8" t="s">
        <v>37</v>
      </c>
      <c r="E1808" s="8" t="s">
        <v>9285</v>
      </c>
      <c r="F1808" s="17">
        <v>41803</v>
      </c>
      <c r="G1808" s="8" t="s">
        <v>9286</v>
      </c>
      <c r="H1808" s="8" t="s">
        <v>9287</v>
      </c>
      <c r="I1808" s="8" t="s">
        <v>272</v>
      </c>
      <c r="J1808" s="16" t="s">
        <v>9288</v>
      </c>
      <c r="K1808" s="2" t="s">
        <v>9289</v>
      </c>
      <c r="L1808" s="8" t="s">
        <v>9290</v>
      </c>
      <c r="M1808" s="8" t="s">
        <v>27</v>
      </c>
      <c r="N1808" s="8" t="s">
        <v>9291</v>
      </c>
      <c r="O1808" s="8" t="s">
        <v>29</v>
      </c>
      <c r="P1808" s="8" t="s">
        <v>405</v>
      </c>
      <c r="Q1808" s="12" t="s">
        <v>9292</v>
      </c>
      <c r="R1808" s="8" t="s">
        <v>100</v>
      </c>
      <c r="S1808" s="7" t="s">
        <v>28</v>
      </c>
      <c r="T1808" s="6"/>
      <c r="U1808" s="8"/>
    </row>
    <row r="1809" spans="1:24" ht="13.5" customHeight="1">
      <c r="A1809" s="8" t="s">
        <v>9274</v>
      </c>
      <c r="B1809" s="16">
        <v>61</v>
      </c>
      <c r="C1809" s="8" t="s">
        <v>20</v>
      </c>
      <c r="D1809" s="8" t="s">
        <v>85</v>
      </c>
      <c r="F1809" s="17">
        <v>41803</v>
      </c>
      <c r="G1809" s="8" t="s">
        <v>9275</v>
      </c>
      <c r="H1809" s="8" t="s">
        <v>4062</v>
      </c>
      <c r="I1809" s="8" t="s">
        <v>675</v>
      </c>
      <c r="J1809" s="16" t="s">
        <v>4063</v>
      </c>
      <c r="K1809" s="2" t="s">
        <v>4064</v>
      </c>
      <c r="L1809" s="8" t="s">
        <v>4065</v>
      </c>
      <c r="M1809" s="8" t="s">
        <v>27</v>
      </c>
      <c r="N1809" s="8" t="s">
        <v>9276</v>
      </c>
      <c r="O1809" s="8" t="s">
        <v>1018</v>
      </c>
      <c r="P1809" s="8" t="s">
        <v>405</v>
      </c>
      <c r="Q1809" s="12" t="s">
        <v>9277</v>
      </c>
      <c r="R1809" s="8" t="s">
        <v>100</v>
      </c>
      <c r="S1809" s="7" t="s">
        <v>28</v>
      </c>
      <c r="T1809" s="6"/>
      <c r="U1809" s="8"/>
    </row>
    <row r="1810" spans="1:24" ht="13.5" customHeight="1">
      <c r="A1810" s="8" t="s">
        <v>9278</v>
      </c>
      <c r="B1810" s="16">
        <v>17</v>
      </c>
      <c r="C1810" s="8" t="s">
        <v>20</v>
      </c>
      <c r="D1810" s="8" t="s">
        <v>48</v>
      </c>
      <c r="F1810" s="17">
        <v>41803</v>
      </c>
      <c r="G1810" s="8" t="s">
        <v>9279</v>
      </c>
      <c r="H1810" s="8" t="s">
        <v>934</v>
      </c>
      <c r="I1810" s="8" t="s">
        <v>73</v>
      </c>
      <c r="J1810" s="16" t="s">
        <v>9280</v>
      </c>
      <c r="K1810" s="2" t="s">
        <v>74</v>
      </c>
      <c r="L1810" s="8" t="s">
        <v>935</v>
      </c>
      <c r="M1810" s="8" t="s">
        <v>27</v>
      </c>
      <c r="N1810" s="8" t="s">
        <v>9281</v>
      </c>
      <c r="O1810" s="8" t="s">
        <v>1018</v>
      </c>
      <c r="P1810" s="8" t="s">
        <v>405</v>
      </c>
      <c r="Q1810" s="12" t="s">
        <v>9282</v>
      </c>
      <c r="R1810" s="8" t="s">
        <v>100</v>
      </c>
      <c r="S1810" s="7" t="s">
        <v>28</v>
      </c>
      <c r="T1810" s="6"/>
      <c r="U1810" s="8"/>
    </row>
    <row r="1811" spans="1:24" ht="13.5" customHeight="1">
      <c r="A1811" s="8" t="s">
        <v>9320</v>
      </c>
      <c r="B1811" s="16">
        <v>58</v>
      </c>
      <c r="C1811" s="8" t="s">
        <v>20</v>
      </c>
      <c r="D1811" s="8" t="s">
        <v>37</v>
      </c>
      <c r="E1811" s="8" t="s">
        <v>9321</v>
      </c>
      <c r="F1811" s="17">
        <v>41802</v>
      </c>
      <c r="G1811" s="8" t="s">
        <v>9322</v>
      </c>
      <c r="H1811" s="8" t="s">
        <v>2163</v>
      </c>
      <c r="I1811" s="8" t="s">
        <v>25</v>
      </c>
      <c r="J1811" s="16" t="s">
        <v>2164</v>
      </c>
      <c r="K1811" s="2" t="s">
        <v>2165</v>
      </c>
      <c r="L1811" s="8" t="s">
        <v>9323</v>
      </c>
      <c r="M1811" s="8" t="s">
        <v>27</v>
      </c>
      <c r="N1811" s="8" t="s">
        <v>9324</v>
      </c>
      <c r="O1811" s="8" t="s">
        <v>554</v>
      </c>
      <c r="P1811" s="8" t="s">
        <v>405</v>
      </c>
      <c r="Q1811" s="12" t="s">
        <v>9325</v>
      </c>
      <c r="R1811" s="8" t="s">
        <v>29</v>
      </c>
      <c r="S1811" s="7" t="s">
        <v>28</v>
      </c>
      <c r="T1811" s="6"/>
      <c r="U1811" s="8"/>
    </row>
    <row r="1812" spans="1:24" ht="13.5" customHeight="1">
      <c r="A1812" s="8" t="s">
        <v>9299</v>
      </c>
      <c r="B1812" s="16">
        <v>23</v>
      </c>
      <c r="C1812" s="8" t="s">
        <v>20</v>
      </c>
      <c r="D1812" s="8" t="s">
        <v>37</v>
      </c>
      <c r="E1812" s="8" t="s">
        <v>9300</v>
      </c>
      <c r="F1812" s="17">
        <v>41802</v>
      </c>
      <c r="G1812" s="8" t="s">
        <v>9301</v>
      </c>
      <c r="H1812" s="8" t="s">
        <v>1577</v>
      </c>
      <c r="I1812" s="8" t="s">
        <v>118</v>
      </c>
      <c r="J1812" s="16" t="s">
        <v>9302</v>
      </c>
      <c r="K1812" s="2" t="s">
        <v>1579</v>
      </c>
      <c r="L1812" s="8" t="s">
        <v>18230</v>
      </c>
      <c r="M1812" s="8" t="s">
        <v>27</v>
      </c>
      <c r="N1812" s="8" t="s">
        <v>9303</v>
      </c>
      <c r="O1812" s="8" t="s">
        <v>554</v>
      </c>
      <c r="P1812" s="8" t="s">
        <v>405</v>
      </c>
      <c r="Q1812" s="12" t="s">
        <v>9304</v>
      </c>
      <c r="R1812" s="8" t="s">
        <v>559</v>
      </c>
      <c r="S1812" s="7" t="s">
        <v>28</v>
      </c>
      <c r="T1812" s="6"/>
      <c r="U1812" s="8"/>
    </row>
    <row r="1813" spans="1:24" ht="13.5" customHeight="1">
      <c r="A1813" s="8" t="s">
        <v>9293</v>
      </c>
      <c r="B1813" s="16">
        <v>28</v>
      </c>
      <c r="C1813" s="8" t="s">
        <v>20</v>
      </c>
      <c r="D1813" s="8" t="s">
        <v>85</v>
      </c>
      <c r="E1813" s="8" t="s">
        <v>9294</v>
      </c>
      <c r="F1813" s="17">
        <v>41802</v>
      </c>
      <c r="G1813" s="8" t="s">
        <v>9295</v>
      </c>
      <c r="H1813" s="8" t="s">
        <v>9245</v>
      </c>
      <c r="I1813" s="8" t="s">
        <v>62</v>
      </c>
      <c r="J1813" s="16" t="s">
        <v>9246</v>
      </c>
      <c r="K1813" s="2" t="s">
        <v>9247</v>
      </c>
      <c r="L1813" s="8" t="s">
        <v>9296</v>
      </c>
      <c r="M1813" s="8" t="s">
        <v>383</v>
      </c>
      <c r="N1813" s="8" t="s">
        <v>9297</v>
      </c>
      <c r="O1813" s="8" t="s">
        <v>1018</v>
      </c>
      <c r="P1813" s="8" t="s">
        <v>405</v>
      </c>
      <c r="Q1813" s="12" t="s">
        <v>9298</v>
      </c>
      <c r="R1813" s="8" t="s">
        <v>100</v>
      </c>
      <c r="S1813" s="7" t="s">
        <v>28</v>
      </c>
      <c r="T1813" s="6"/>
      <c r="U1813" s="8"/>
    </row>
    <row r="1814" spans="1:24" ht="13.5" customHeight="1">
      <c r="A1814" s="8" t="s">
        <v>9313</v>
      </c>
      <c r="B1814" s="16">
        <v>18</v>
      </c>
      <c r="C1814" s="8" t="s">
        <v>20</v>
      </c>
      <c r="D1814" s="8" t="s">
        <v>37</v>
      </c>
      <c r="E1814" s="8" t="s">
        <v>9314</v>
      </c>
      <c r="F1814" s="17">
        <v>41802</v>
      </c>
      <c r="G1814" s="8" t="s">
        <v>9315</v>
      </c>
      <c r="H1814" s="8" t="s">
        <v>9316</v>
      </c>
      <c r="I1814" s="8" t="s">
        <v>152</v>
      </c>
      <c r="J1814" s="16" t="s">
        <v>9317</v>
      </c>
      <c r="K1814" s="2" t="s">
        <v>2933</v>
      </c>
      <c r="L1814" s="8" t="s">
        <v>17722</v>
      </c>
      <c r="M1814" s="8" t="s">
        <v>27</v>
      </c>
      <c r="N1814" s="8" t="s">
        <v>9318</v>
      </c>
      <c r="O1814" s="8" t="s">
        <v>554</v>
      </c>
      <c r="P1814" s="8" t="s">
        <v>405</v>
      </c>
      <c r="Q1814" s="12" t="s">
        <v>9319</v>
      </c>
      <c r="R1814" s="8" t="s">
        <v>559</v>
      </c>
      <c r="S1814" s="7" t="s">
        <v>18</v>
      </c>
      <c r="T1814" s="6"/>
      <c r="U1814" s="8"/>
    </row>
    <row r="1815" spans="1:24" ht="13.5" customHeight="1">
      <c r="A1815" s="8" t="s">
        <v>9305</v>
      </c>
      <c r="B1815" s="16">
        <v>38</v>
      </c>
      <c r="C1815" s="8" t="s">
        <v>20</v>
      </c>
      <c r="D1815" s="8" t="s">
        <v>37</v>
      </c>
      <c r="E1815" s="8" t="s">
        <v>9306</v>
      </c>
      <c r="F1815" s="17">
        <v>41802</v>
      </c>
      <c r="G1815" s="8" t="s">
        <v>9307</v>
      </c>
      <c r="H1815" s="8" t="s">
        <v>9308</v>
      </c>
      <c r="I1815" s="8" t="s">
        <v>118</v>
      </c>
      <c r="J1815" s="16" t="s">
        <v>9309</v>
      </c>
      <c r="K1815" s="2" t="s">
        <v>4309</v>
      </c>
      <c r="L1815" s="8" t="s">
        <v>9310</v>
      </c>
      <c r="M1815" s="8" t="s">
        <v>27</v>
      </c>
      <c r="N1815" s="8" t="s">
        <v>9311</v>
      </c>
      <c r="O1815" s="8" t="s">
        <v>1018</v>
      </c>
      <c r="P1815" s="8" t="s">
        <v>405</v>
      </c>
      <c r="Q1815" s="12" t="s">
        <v>9312</v>
      </c>
      <c r="R1815" s="8" t="s">
        <v>100</v>
      </c>
      <c r="S1815" s="7" t="s">
        <v>28</v>
      </c>
      <c r="T1815" s="6"/>
      <c r="U1815" s="8"/>
    </row>
    <row r="1816" spans="1:24" ht="13.5" customHeight="1">
      <c r="A1816" s="8" t="s">
        <v>9326</v>
      </c>
      <c r="B1816" s="16">
        <v>22</v>
      </c>
      <c r="C1816" s="8" t="s">
        <v>20</v>
      </c>
      <c r="D1816" s="8" t="s">
        <v>48</v>
      </c>
      <c r="F1816" s="17">
        <v>41801</v>
      </c>
      <c r="G1816" s="8" t="s">
        <v>9327</v>
      </c>
      <c r="H1816" s="8" t="s">
        <v>203</v>
      </c>
      <c r="I1816" s="8" t="s">
        <v>45</v>
      </c>
      <c r="J1816" s="16" t="s">
        <v>9328</v>
      </c>
      <c r="K1816" s="2" t="s">
        <v>203</v>
      </c>
      <c r="L1816" s="8" t="s">
        <v>204</v>
      </c>
      <c r="M1816" s="8" t="s">
        <v>27</v>
      </c>
      <c r="N1816" s="8" t="s">
        <v>9329</v>
      </c>
      <c r="O1816" s="8" t="s">
        <v>1018</v>
      </c>
      <c r="P1816" s="8" t="s">
        <v>405</v>
      </c>
      <c r="Q1816" s="12" t="s">
        <v>9330</v>
      </c>
      <c r="R1816" s="8" t="s">
        <v>972</v>
      </c>
      <c r="S1816" s="7" t="s">
        <v>28</v>
      </c>
      <c r="T1816" s="6"/>
      <c r="U1816" s="8"/>
    </row>
    <row r="1817" spans="1:24" ht="13.5" customHeight="1">
      <c r="A1817" s="8" t="s">
        <v>9337</v>
      </c>
      <c r="B1817" s="16">
        <v>37</v>
      </c>
      <c r="C1817" s="8" t="s">
        <v>20</v>
      </c>
      <c r="D1817" s="8" t="s">
        <v>37</v>
      </c>
      <c r="E1817" s="8" t="s">
        <v>9338</v>
      </c>
      <c r="F1817" s="17">
        <v>41801</v>
      </c>
      <c r="G1817" s="8" t="s">
        <v>9339</v>
      </c>
      <c r="H1817" s="8" t="s">
        <v>1290</v>
      </c>
      <c r="I1817" s="8" t="s">
        <v>272</v>
      </c>
      <c r="J1817" s="16" t="s">
        <v>9340</v>
      </c>
      <c r="K1817" s="2" t="s">
        <v>574</v>
      </c>
      <c r="L1817" s="8" t="s">
        <v>1497</v>
      </c>
      <c r="M1817" s="8" t="s">
        <v>27</v>
      </c>
      <c r="N1817" s="8" t="s">
        <v>9341</v>
      </c>
      <c r="O1817" s="8" t="s">
        <v>1018</v>
      </c>
      <c r="P1817" s="8" t="s">
        <v>405</v>
      </c>
      <c r="Q1817" s="12" t="s">
        <v>9342</v>
      </c>
      <c r="R1817" s="8" t="s">
        <v>29</v>
      </c>
      <c r="S1817" s="7" t="s">
        <v>28</v>
      </c>
      <c r="T1817" s="6"/>
      <c r="U1817" s="8"/>
    </row>
    <row r="1818" spans="1:24" ht="13.5" customHeight="1">
      <c r="A1818" s="8" t="s">
        <v>9331</v>
      </c>
      <c r="B1818" s="16">
        <v>55</v>
      </c>
      <c r="C1818" s="8" t="s">
        <v>20</v>
      </c>
      <c r="D1818" s="8" t="s">
        <v>30</v>
      </c>
      <c r="F1818" s="17">
        <v>41801</v>
      </c>
      <c r="G1818" s="8" t="s">
        <v>9332</v>
      </c>
      <c r="H1818" s="8" t="s">
        <v>9333</v>
      </c>
      <c r="I1818" s="8" t="s">
        <v>45</v>
      </c>
      <c r="J1818" s="16">
        <v>95490</v>
      </c>
      <c r="K1818" s="2" t="s">
        <v>5836</v>
      </c>
      <c r="L1818" s="8" t="s">
        <v>9334</v>
      </c>
      <c r="M1818" s="8" t="s">
        <v>2312</v>
      </c>
      <c r="N1818" s="8" t="s">
        <v>9335</v>
      </c>
      <c r="P1818" s="8" t="s">
        <v>405</v>
      </c>
      <c r="Q1818" s="12" t="s">
        <v>9336</v>
      </c>
      <c r="S1818" s="7" t="s">
        <v>18</v>
      </c>
      <c r="T1818" s="6"/>
      <c r="U1818" s="8"/>
      <c r="V1818" s="8"/>
      <c r="W1818" s="8"/>
      <c r="X1818" s="8"/>
    </row>
    <row r="1819" spans="1:24" ht="13.5" customHeight="1">
      <c r="A1819" s="8" t="s">
        <v>9343</v>
      </c>
      <c r="B1819" s="16">
        <v>30</v>
      </c>
      <c r="C1819" s="8" t="s">
        <v>20</v>
      </c>
      <c r="D1819" s="8" t="s">
        <v>37</v>
      </c>
      <c r="E1819" s="8" t="s">
        <v>9344</v>
      </c>
      <c r="F1819" s="17">
        <v>41801</v>
      </c>
      <c r="G1819" s="8" t="s">
        <v>9345</v>
      </c>
      <c r="H1819" s="8" t="s">
        <v>9346</v>
      </c>
      <c r="I1819" s="8" t="s">
        <v>427</v>
      </c>
      <c r="J1819" s="16" t="s">
        <v>9347</v>
      </c>
      <c r="K1819" s="2" t="s">
        <v>585</v>
      </c>
      <c r="L1819" s="8" t="s">
        <v>9348</v>
      </c>
      <c r="M1819" s="8" t="s">
        <v>8430</v>
      </c>
      <c r="N1819" s="8" t="s">
        <v>9349</v>
      </c>
      <c r="O1819" s="8" t="s">
        <v>1018</v>
      </c>
      <c r="P1819" s="8" t="s">
        <v>405</v>
      </c>
      <c r="Q1819" s="12" t="s">
        <v>9350</v>
      </c>
      <c r="R1819" s="8" t="s">
        <v>100</v>
      </c>
      <c r="S1819" s="7" t="s">
        <v>35</v>
      </c>
      <c r="T1819" s="6"/>
      <c r="U1819" s="8"/>
      <c r="V1819" s="13"/>
      <c r="W1819" s="13"/>
      <c r="X1819" s="13"/>
    </row>
    <row r="1820" spans="1:24" ht="13.5" customHeight="1">
      <c r="A1820" s="8" t="s">
        <v>9351</v>
      </c>
      <c r="B1820" s="16">
        <v>21</v>
      </c>
      <c r="C1820" s="8" t="s">
        <v>20</v>
      </c>
      <c r="D1820" s="8" t="s">
        <v>85</v>
      </c>
      <c r="E1820" s="8" t="s">
        <v>9352</v>
      </c>
      <c r="F1820" s="17">
        <v>41800</v>
      </c>
      <c r="G1820" s="8" t="s">
        <v>9353</v>
      </c>
      <c r="H1820" s="8" t="s">
        <v>3819</v>
      </c>
      <c r="I1820" s="8" t="s">
        <v>175</v>
      </c>
      <c r="J1820" s="16" t="s">
        <v>3820</v>
      </c>
      <c r="K1820" s="2" t="s">
        <v>1317</v>
      </c>
      <c r="L1820" s="8" t="s">
        <v>9354</v>
      </c>
      <c r="M1820" s="8" t="s">
        <v>27</v>
      </c>
      <c r="N1820" s="8" t="s">
        <v>9355</v>
      </c>
      <c r="O1820" s="8" t="s">
        <v>1018</v>
      </c>
      <c r="P1820" s="8" t="s">
        <v>405</v>
      </c>
      <c r="Q1820" s="12" t="s">
        <v>9356</v>
      </c>
      <c r="R1820" s="8" t="s">
        <v>100</v>
      </c>
      <c r="S1820" s="7" t="s">
        <v>28</v>
      </c>
      <c r="T1820" s="6"/>
      <c r="U1820" s="8"/>
    </row>
    <row r="1821" spans="1:24" ht="13.5" customHeight="1">
      <c r="A1821" s="8" t="s">
        <v>9370</v>
      </c>
      <c r="B1821" s="16">
        <v>73</v>
      </c>
      <c r="C1821" s="8" t="s">
        <v>20</v>
      </c>
      <c r="D1821" s="8" t="s">
        <v>37</v>
      </c>
      <c r="F1821" s="17">
        <v>41800</v>
      </c>
      <c r="G1821" s="8" t="s">
        <v>9371</v>
      </c>
      <c r="H1821" s="8" t="s">
        <v>9372</v>
      </c>
      <c r="I1821" s="8" t="s">
        <v>118</v>
      </c>
      <c r="J1821" s="16" t="s">
        <v>9373</v>
      </c>
      <c r="K1821" s="2" t="s">
        <v>437</v>
      </c>
      <c r="L1821" s="8" t="s">
        <v>9374</v>
      </c>
      <c r="M1821" s="8" t="s">
        <v>27</v>
      </c>
      <c r="N1821" s="8" t="s">
        <v>9375</v>
      </c>
      <c r="O1821" s="8" t="s">
        <v>1018</v>
      </c>
      <c r="P1821" s="8" t="s">
        <v>405</v>
      </c>
      <c r="Q1821" s="12" t="s">
        <v>9376</v>
      </c>
      <c r="R1821" s="8" t="s">
        <v>100</v>
      </c>
      <c r="S1821" s="7" t="s">
        <v>28</v>
      </c>
      <c r="T1821" s="6"/>
      <c r="U1821" s="8"/>
    </row>
    <row r="1822" spans="1:24" ht="13.5" customHeight="1">
      <c r="A1822" s="8" t="s">
        <v>9362</v>
      </c>
      <c r="B1822" s="16">
        <v>25</v>
      </c>
      <c r="C1822" s="8" t="s">
        <v>20</v>
      </c>
      <c r="D1822" s="8" t="s">
        <v>37</v>
      </c>
      <c r="E1822" s="8" t="s">
        <v>9363</v>
      </c>
      <c r="F1822" s="17">
        <v>41800</v>
      </c>
      <c r="G1822" s="8" t="s">
        <v>9364</v>
      </c>
      <c r="H1822" s="8" t="s">
        <v>9365</v>
      </c>
      <c r="I1822" s="8" t="s">
        <v>435</v>
      </c>
      <c r="J1822" s="16" t="s">
        <v>9366</v>
      </c>
      <c r="K1822" s="2" t="s">
        <v>9367</v>
      </c>
      <c r="L1822" s="8" t="s">
        <v>9368</v>
      </c>
      <c r="M1822" s="8" t="s">
        <v>27</v>
      </c>
      <c r="N1822" s="8" t="s">
        <v>9369</v>
      </c>
      <c r="O1822" s="8" t="s">
        <v>554</v>
      </c>
      <c r="P1822" s="8" t="s">
        <v>405</v>
      </c>
      <c r="Q1822" s="12"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1822" s="8" t="s">
        <v>559</v>
      </c>
      <c r="S1822" s="7" t="s">
        <v>28</v>
      </c>
      <c r="T1822" s="6"/>
      <c r="U1822" s="8"/>
    </row>
    <row r="1823" spans="1:24" ht="13.5" customHeight="1">
      <c r="A1823" s="8" t="s">
        <v>9357</v>
      </c>
      <c r="B1823" s="16">
        <v>31</v>
      </c>
      <c r="C1823" s="8" t="s">
        <v>20</v>
      </c>
      <c r="D1823" s="8" t="s">
        <v>48</v>
      </c>
      <c r="F1823" s="17">
        <v>41800</v>
      </c>
      <c r="G1823" s="8" t="s">
        <v>9358</v>
      </c>
      <c r="H1823" s="8" t="s">
        <v>4307</v>
      </c>
      <c r="I1823" s="8" t="s">
        <v>45</v>
      </c>
      <c r="J1823" s="16" t="s">
        <v>6146</v>
      </c>
      <c r="K1823" s="2" t="s">
        <v>313</v>
      </c>
      <c r="L1823" s="8" t="s">
        <v>9359</v>
      </c>
      <c r="M1823" s="8" t="s">
        <v>27</v>
      </c>
      <c r="N1823" s="8" t="s">
        <v>9360</v>
      </c>
      <c r="O1823" s="8" t="s">
        <v>1018</v>
      </c>
      <c r="P1823" s="8" t="s">
        <v>405</v>
      </c>
      <c r="Q1823" s="12" t="s">
        <v>9361</v>
      </c>
      <c r="R1823" s="8" t="s">
        <v>100</v>
      </c>
      <c r="S1823" s="7" t="s">
        <v>28</v>
      </c>
      <c r="T1823" s="6"/>
      <c r="U1823" s="8"/>
    </row>
    <row r="1824" spans="1:24" ht="13.5" customHeight="1">
      <c r="A1824" s="8" t="s">
        <v>9389</v>
      </c>
      <c r="B1824" s="16">
        <v>48</v>
      </c>
      <c r="C1824" s="8" t="s">
        <v>20</v>
      </c>
      <c r="D1824" s="8" t="s">
        <v>37</v>
      </c>
      <c r="E1824" s="8" t="s">
        <v>9390</v>
      </c>
      <c r="F1824" s="17">
        <v>41799</v>
      </c>
      <c r="G1824" s="8" t="s">
        <v>9391</v>
      </c>
      <c r="H1824" s="8" t="s">
        <v>9392</v>
      </c>
      <c r="I1824" s="8" t="s">
        <v>467</v>
      </c>
      <c r="J1824" s="16" t="s">
        <v>9393</v>
      </c>
      <c r="K1824" s="2" t="s">
        <v>9394</v>
      </c>
      <c r="L1824" s="8" t="s">
        <v>9395</v>
      </c>
      <c r="M1824" s="8" t="s">
        <v>27</v>
      </c>
      <c r="N1824" s="8" t="s">
        <v>9396</v>
      </c>
      <c r="O1824" s="8" t="s">
        <v>29</v>
      </c>
      <c r="P1824" s="8" t="s">
        <v>405</v>
      </c>
      <c r="Q1824" s="12" t="s">
        <v>9397</v>
      </c>
      <c r="R1824" s="8" t="s">
        <v>29</v>
      </c>
      <c r="S1824" s="7" t="s">
        <v>35</v>
      </c>
      <c r="T1824" s="6"/>
      <c r="U1824" s="8"/>
    </row>
    <row r="1825" spans="1:34" ht="13.5" customHeight="1">
      <c r="A1825" s="8" t="s">
        <v>9384</v>
      </c>
      <c r="B1825" s="16">
        <v>43</v>
      </c>
      <c r="C1825" s="8" t="s">
        <v>20</v>
      </c>
      <c r="D1825" s="8" t="s">
        <v>37</v>
      </c>
      <c r="E1825" s="8" t="s">
        <v>9385</v>
      </c>
      <c r="F1825" s="17">
        <v>41799</v>
      </c>
      <c r="G1825" s="8" t="s">
        <v>9386</v>
      </c>
      <c r="H1825" s="8" t="s">
        <v>1104</v>
      </c>
      <c r="I1825" s="8" t="s">
        <v>399</v>
      </c>
      <c r="J1825" s="16" t="s">
        <v>6282</v>
      </c>
      <c r="K1825" s="2" t="s">
        <v>1105</v>
      </c>
      <c r="L1825" s="8" t="s">
        <v>1106</v>
      </c>
      <c r="M1825" s="8" t="s">
        <v>27</v>
      </c>
      <c r="N1825" s="8" t="s">
        <v>9387</v>
      </c>
      <c r="O1825" s="8" t="s">
        <v>1018</v>
      </c>
      <c r="P1825" s="8" t="s">
        <v>405</v>
      </c>
      <c r="Q1825" s="12" t="s">
        <v>9388</v>
      </c>
      <c r="R1825" s="8" t="s">
        <v>100</v>
      </c>
      <c r="S1825" s="7" t="s">
        <v>28</v>
      </c>
      <c r="T1825" s="6"/>
      <c r="U1825" s="8"/>
    </row>
    <row r="1826" spans="1:34" ht="13.5" customHeight="1">
      <c r="A1826" s="8" t="s">
        <v>9377</v>
      </c>
      <c r="B1826" s="16">
        <v>48</v>
      </c>
      <c r="C1826" s="8" t="s">
        <v>20</v>
      </c>
      <c r="D1826" s="8" t="s">
        <v>85</v>
      </c>
      <c r="E1826" s="8" t="s">
        <v>9378</v>
      </c>
      <c r="F1826" s="17">
        <v>41799</v>
      </c>
      <c r="G1826" s="8" t="s">
        <v>9379</v>
      </c>
      <c r="H1826" s="8" t="s">
        <v>713</v>
      </c>
      <c r="I1826" s="8" t="s">
        <v>94</v>
      </c>
      <c r="J1826" s="16" t="s">
        <v>9380</v>
      </c>
      <c r="K1826" s="2" t="s">
        <v>713</v>
      </c>
      <c r="L1826" s="8" t="s">
        <v>9381</v>
      </c>
      <c r="M1826" s="8" t="s">
        <v>27</v>
      </c>
      <c r="N1826" s="8" t="s">
        <v>9382</v>
      </c>
      <c r="O1826" s="8" t="s">
        <v>1018</v>
      </c>
      <c r="P1826" s="8" t="s">
        <v>405</v>
      </c>
      <c r="Q1826" s="12" t="s">
        <v>9383</v>
      </c>
      <c r="R1826" s="8" t="s">
        <v>100</v>
      </c>
      <c r="S1826" s="7" t="s">
        <v>28</v>
      </c>
      <c r="T1826" s="6"/>
      <c r="U1826" s="8"/>
    </row>
    <row r="1827" spans="1:34" ht="13.5" customHeight="1">
      <c r="A1827" s="8" t="s">
        <v>9398</v>
      </c>
      <c r="B1827" s="16">
        <v>24</v>
      </c>
      <c r="C1827" s="8" t="s">
        <v>20</v>
      </c>
      <c r="D1827" s="8" t="s">
        <v>37</v>
      </c>
      <c r="E1827" s="8" t="s">
        <v>9399</v>
      </c>
      <c r="F1827" s="17">
        <v>41799</v>
      </c>
      <c r="G1827" s="8" t="s">
        <v>9400</v>
      </c>
      <c r="H1827" s="8" t="s">
        <v>9401</v>
      </c>
      <c r="I1827" s="8" t="s">
        <v>198</v>
      </c>
      <c r="J1827" s="16" t="s">
        <v>9402</v>
      </c>
      <c r="K1827" s="2" t="s">
        <v>9403</v>
      </c>
      <c r="L1827" s="8" t="s">
        <v>9404</v>
      </c>
      <c r="M1827" s="8" t="s">
        <v>27</v>
      </c>
      <c r="N1827" s="8" t="s">
        <v>9405</v>
      </c>
      <c r="O1827" s="8" t="s">
        <v>4742</v>
      </c>
      <c r="P1827" s="8" t="s">
        <v>405</v>
      </c>
      <c r="Q1827" s="12" t="s">
        <v>9406</v>
      </c>
      <c r="R1827" s="8" t="s">
        <v>100</v>
      </c>
      <c r="S1827" s="7" t="s">
        <v>18</v>
      </c>
      <c r="T1827" s="6"/>
      <c r="U1827" s="8"/>
    </row>
    <row r="1828" spans="1:34" ht="13.5" customHeight="1">
      <c r="A1828" s="8" t="s">
        <v>9407</v>
      </c>
      <c r="B1828" s="16">
        <v>29</v>
      </c>
      <c r="C1828" s="8" t="s">
        <v>20</v>
      </c>
      <c r="D1828" s="8" t="s">
        <v>85</v>
      </c>
      <c r="E1828" s="8" t="s">
        <v>9408</v>
      </c>
      <c r="F1828" s="17">
        <v>41798</v>
      </c>
      <c r="G1828" s="8" t="s">
        <v>9409</v>
      </c>
      <c r="H1828" s="8" t="s">
        <v>9410</v>
      </c>
      <c r="I1828" s="8" t="s">
        <v>675</v>
      </c>
      <c r="J1828" s="16" t="s">
        <v>9411</v>
      </c>
      <c r="K1828" s="2" t="s">
        <v>437</v>
      </c>
      <c r="L1828" s="8" t="s">
        <v>9412</v>
      </c>
      <c r="M1828" s="8" t="s">
        <v>27</v>
      </c>
      <c r="N1828" s="8" t="s">
        <v>9413</v>
      </c>
      <c r="O1828" s="8" t="s">
        <v>1018</v>
      </c>
      <c r="P1828" s="8" t="s">
        <v>405</v>
      </c>
      <c r="Q1828" s="12" t="s">
        <v>9414</v>
      </c>
      <c r="R1828" s="8" t="s">
        <v>29</v>
      </c>
      <c r="S1828" s="7" t="s">
        <v>18</v>
      </c>
      <c r="T1828" s="6"/>
      <c r="U1828" s="8"/>
    </row>
    <row r="1829" spans="1:34" ht="13.5" customHeight="1">
      <c r="A1829" s="8" t="s">
        <v>9422</v>
      </c>
      <c r="B1829" s="16">
        <v>31</v>
      </c>
      <c r="C1829" s="8" t="s">
        <v>20</v>
      </c>
      <c r="D1829" s="8" t="s">
        <v>37</v>
      </c>
      <c r="E1829" s="8" t="s">
        <v>9423</v>
      </c>
      <c r="F1829" s="17">
        <v>41798</v>
      </c>
      <c r="G1829" s="8" t="s">
        <v>9424</v>
      </c>
      <c r="H1829" s="8" t="s">
        <v>661</v>
      </c>
      <c r="I1829" s="8" t="s">
        <v>272</v>
      </c>
      <c r="J1829" s="16" t="s">
        <v>9425</v>
      </c>
      <c r="K1829" s="2" t="s">
        <v>574</v>
      </c>
      <c r="L1829" s="8" t="s">
        <v>575</v>
      </c>
      <c r="M1829" s="8" t="s">
        <v>27</v>
      </c>
      <c r="N1829" s="8" t="s">
        <v>9426</v>
      </c>
      <c r="O1829" s="8" t="s">
        <v>554</v>
      </c>
      <c r="P1829" s="8" t="s">
        <v>405</v>
      </c>
      <c r="Q1829" s="12"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1829" s="8" t="s">
        <v>100</v>
      </c>
      <c r="S1829" s="7" t="s">
        <v>28</v>
      </c>
      <c r="T1829" s="6"/>
      <c r="U1829" s="8"/>
    </row>
    <row r="1830" spans="1:34" ht="13.5" customHeight="1">
      <c r="A1830" s="8" t="s">
        <v>9415</v>
      </c>
      <c r="B1830" s="16">
        <v>16</v>
      </c>
      <c r="C1830" s="8" t="s">
        <v>20</v>
      </c>
      <c r="D1830" s="8" t="s">
        <v>48</v>
      </c>
      <c r="E1830" s="8" t="s">
        <v>9416</v>
      </c>
      <c r="F1830" s="17">
        <v>41798</v>
      </c>
      <c r="G1830" s="8" t="s">
        <v>9417</v>
      </c>
      <c r="H1830" s="8" t="s">
        <v>6582</v>
      </c>
      <c r="I1830" s="8" t="s">
        <v>198</v>
      </c>
      <c r="J1830" s="16" t="s">
        <v>9418</v>
      </c>
      <c r="K1830" s="2" t="s">
        <v>6584</v>
      </c>
      <c r="L1830" s="8" t="s">
        <v>9419</v>
      </c>
      <c r="M1830" s="8" t="s">
        <v>27</v>
      </c>
      <c r="N1830" s="8" t="s">
        <v>9420</v>
      </c>
      <c r="O1830" s="8" t="s">
        <v>554</v>
      </c>
      <c r="P1830" s="8" t="s">
        <v>405</v>
      </c>
      <c r="Q1830" s="12" t="s">
        <v>9421</v>
      </c>
      <c r="R1830" s="8" t="s">
        <v>559</v>
      </c>
      <c r="S1830" s="7" t="s">
        <v>18</v>
      </c>
      <c r="T1830" s="6"/>
      <c r="U1830" s="8"/>
    </row>
    <row r="1831" spans="1:34" ht="13.5" customHeight="1">
      <c r="A1831" s="8" t="s">
        <v>9433</v>
      </c>
      <c r="B1831" s="16">
        <v>38</v>
      </c>
      <c r="C1831" s="8" t="s">
        <v>115</v>
      </c>
      <c r="D1831" s="8" t="s">
        <v>30</v>
      </c>
      <c r="F1831" s="17">
        <v>41797</v>
      </c>
      <c r="G1831" s="8" t="s">
        <v>9434</v>
      </c>
      <c r="H1831" s="8" t="s">
        <v>9435</v>
      </c>
      <c r="I1831" s="8" t="s">
        <v>52</v>
      </c>
      <c r="J1831" s="16">
        <v>21061</v>
      </c>
      <c r="K1831" s="2" t="s">
        <v>3217</v>
      </c>
      <c r="L1831" s="8" t="s">
        <v>9436</v>
      </c>
      <c r="M1831" s="8" t="s">
        <v>27</v>
      </c>
      <c r="N1831" s="8" t="s">
        <v>9437</v>
      </c>
      <c r="P1831" s="8" t="s">
        <v>405</v>
      </c>
      <c r="Q1831" s="12"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S1831" s="7" t="s">
        <v>18</v>
      </c>
      <c r="T1831" s="6"/>
      <c r="U1831" s="8"/>
      <c r="Y1831" s="8"/>
      <c r="Z1831" s="8"/>
      <c r="AA1831" s="8"/>
      <c r="AB1831" s="8"/>
      <c r="AC1831" s="8"/>
      <c r="AD1831" s="8"/>
      <c r="AE1831" s="8"/>
      <c r="AF1831" s="8"/>
      <c r="AG1831" s="8"/>
      <c r="AH1831" s="8"/>
    </row>
    <row r="1832" spans="1:34" ht="13.5" customHeight="1">
      <c r="A1832" s="8" t="s">
        <v>9438</v>
      </c>
      <c r="B1832" s="16">
        <v>34</v>
      </c>
      <c r="C1832" s="8" t="s">
        <v>20</v>
      </c>
      <c r="D1832" s="8" t="s">
        <v>37</v>
      </c>
      <c r="F1832" s="17">
        <v>41797</v>
      </c>
      <c r="G1832" s="8" t="s">
        <v>9439</v>
      </c>
      <c r="H1832" s="8" t="s">
        <v>814</v>
      </c>
      <c r="I1832" s="8" t="s">
        <v>124</v>
      </c>
      <c r="J1832" s="16" t="s">
        <v>9440</v>
      </c>
      <c r="K1832" s="2" t="s">
        <v>639</v>
      </c>
      <c r="L1832" s="8" t="s">
        <v>815</v>
      </c>
      <c r="M1832" s="8" t="s">
        <v>395</v>
      </c>
      <c r="N1832" s="8" t="s">
        <v>9441</v>
      </c>
      <c r="O1832" s="8" t="s">
        <v>1018</v>
      </c>
      <c r="P1832" s="8" t="s">
        <v>405</v>
      </c>
      <c r="Q1832" s="12" t="s">
        <v>9442</v>
      </c>
      <c r="R1832" s="8" t="s">
        <v>972</v>
      </c>
      <c r="S1832" s="7" t="s">
        <v>18</v>
      </c>
      <c r="T1832" s="6"/>
      <c r="U1832" s="8"/>
    </row>
    <row r="1833" spans="1:34" ht="13.5" customHeight="1">
      <c r="A1833" s="8" t="s">
        <v>9427</v>
      </c>
      <c r="B1833" s="16">
        <v>31</v>
      </c>
      <c r="C1833" s="8" t="s">
        <v>20</v>
      </c>
      <c r="D1833" s="8" t="s">
        <v>85</v>
      </c>
      <c r="E1833" s="8" t="s">
        <v>9428</v>
      </c>
      <c r="F1833" s="17">
        <v>41797</v>
      </c>
      <c r="G1833" s="8" t="s">
        <v>9429</v>
      </c>
      <c r="H1833" s="8" t="s">
        <v>9430</v>
      </c>
      <c r="I1833" s="8" t="s">
        <v>323</v>
      </c>
      <c r="J1833" s="16" t="s">
        <v>9431</v>
      </c>
      <c r="K1833" s="2" t="s">
        <v>2708</v>
      </c>
      <c r="L1833" s="8" t="s">
        <v>7921</v>
      </c>
      <c r="M1833" s="8" t="s">
        <v>27</v>
      </c>
      <c r="N1833" s="8" t="s">
        <v>9432</v>
      </c>
      <c r="O1833" s="8" t="s">
        <v>1018</v>
      </c>
      <c r="P1833" s="8" t="s">
        <v>405</v>
      </c>
      <c r="Q1833" s="12" t="str">
        <f>HYPERLINK("http://www.local8now.com/home/headlines/KPD-officer-shot-in-East-KNoxville-262228291.html","http://www.local8now.com/home/headlines/KPD-officer-shot-in-East-KNoxville-262228291.html")</f>
        <v>http://www.local8now.com/home/headlines/KPD-officer-shot-in-East-KNoxville-262228291.html</v>
      </c>
      <c r="R1833" s="8" t="s">
        <v>100</v>
      </c>
      <c r="S1833" s="7" t="s">
        <v>28</v>
      </c>
      <c r="T1833" s="6"/>
      <c r="U1833" s="8"/>
    </row>
    <row r="1834" spans="1:34" ht="13.5" customHeight="1">
      <c r="A1834" s="8" t="s">
        <v>9443</v>
      </c>
      <c r="B1834" s="16">
        <v>35</v>
      </c>
      <c r="C1834" s="8" t="s">
        <v>20</v>
      </c>
      <c r="D1834" s="8" t="s">
        <v>85</v>
      </c>
      <c r="E1834" s="8" t="s">
        <v>9444</v>
      </c>
      <c r="F1834" s="17">
        <v>41796</v>
      </c>
      <c r="G1834" s="8" t="s">
        <v>9445</v>
      </c>
      <c r="H1834" s="8" t="s">
        <v>3353</v>
      </c>
      <c r="I1834" s="8" t="s">
        <v>247</v>
      </c>
      <c r="J1834" s="16" t="s">
        <v>9446</v>
      </c>
      <c r="K1834" s="2" t="s">
        <v>3353</v>
      </c>
      <c r="L1834" s="8" t="s">
        <v>5114</v>
      </c>
      <c r="M1834" s="8" t="s">
        <v>27</v>
      </c>
      <c r="N1834" s="8" t="s">
        <v>9447</v>
      </c>
      <c r="O1834" s="8" t="s">
        <v>1804</v>
      </c>
      <c r="P1834" s="8" t="s">
        <v>1171</v>
      </c>
      <c r="Q1834" s="12" t="s">
        <v>9448</v>
      </c>
      <c r="R1834" s="8" t="s">
        <v>559</v>
      </c>
      <c r="S1834" s="7" t="s">
        <v>28</v>
      </c>
      <c r="T1834" s="6"/>
      <c r="U1834" s="8"/>
    </row>
    <row r="1835" spans="1:34" ht="13.5" customHeight="1">
      <c r="A1835" s="8" t="s">
        <v>9461</v>
      </c>
      <c r="B1835" s="16">
        <v>48</v>
      </c>
      <c r="C1835" s="8" t="s">
        <v>20</v>
      </c>
      <c r="D1835" s="8" t="s">
        <v>37</v>
      </c>
      <c r="E1835" s="8" t="s">
        <v>9462</v>
      </c>
      <c r="F1835" s="17">
        <v>41796</v>
      </c>
      <c r="G1835" s="8" t="s">
        <v>9463</v>
      </c>
      <c r="H1835" s="8" t="s">
        <v>9464</v>
      </c>
      <c r="I1835" s="8" t="s">
        <v>175</v>
      </c>
      <c r="J1835" s="16" t="s">
        <v>9465</v>
      </c>
      <c r="K1835" s="2" t="s">
        <v>9466</v>
      </c>
      <c r="L1835" s="8" t="s">
        <v>9467</v>
      </c>
      <c r="M1835" s="8" t="s">
        <v>27</v>
      </c>
      <c r="N1835" s="8" t="s">
        <v>9468</v>
      </c>
      <c r="O1835" s="8" t="s">
        <v>554</v>
      </c>
      <c r="P1835" s="8" t="s">
        <v>405</v>
      </c>
      <c r="Q1835" s="12" t="s">
        <v>9469</v>
      </c>
      <c r="R1835" s="8" t="s">
        <v>100</v>
      </c>
      <c r="S1835" s="7" t="s">
        <v>28</v>
      </c>
      <c r="T1835" s="6"/>
      <c r="U1835" s="8"/>
    </row>
    <row r="1836" spans="1:34" ht="13.5" customHeight="1">
      <c r="A1836" s="8" t="s">
        <v>9449</v>
      </c>
      <c r="B1836" s="16">
        <v>25</v>
      </c>
      <c r="C1836" s="8" t="s">
        <v>20</v>
      </c>
      <c r="D1836" s="8" t="s">
        <v>37</v>
      </c>
      <c r="E1836" s="8" t="s">
        <v>9450</v>
      </c>
      <c r="F1836" s="17">
        <v>41796</v>
      </c>
      <c r="G1836" s="8" t="s">
        <v>9451</v>
      </c>
      <c r="H1836" s="8" t="s">
        <v>5585</v>
      </c>
      <c r="I1836" s="8" t="s">
        <v>408</v>
      </c>
      <c r="J1836" s="16" t="s">
        <v>9452</v>
      </c>
      <c r="K1836" s="2" t="s">
        <v>5585</v>
      </c>
      <c r="L1836" s="8" t="s">
        <v>9453</v>
      </c>
      <c r="M1836" s="8" t="s">
        <v>27</v>
      </c>
      <c r="N1836" s="8" t="s">
        <v>9454</v>
      </c>
      <c r="O1836" s="8" t="s">
        <v>554</v>
      </c>
      <c r="P1836" s="8" t="s">
        <v>405</v>
      </c>
      <c r="Q1836" s="12" t="s">
        <v>9455</v>
      </c>
      <c r="R1836" s="8" t="s">
        <v>29</v>
      </c>
      <c r="S1836" s="7" t="s">
        <v>18</v>
      </c>
      <c r="T1836" s="6"/>
      <c r="U1836" s="8"/>
    </row>
    <row r="1837" spans="1:34" ht="13.5" customHeight="1">
      <c r="A1837" s="8" t="s">
        <v>9456</v>
      </c>
      <c r="B1837" s="16">
        <v>50</v>
      </c>
      <c r="C1837" s="8" t="s">
        <v>20</v>
      </c>
      <c r="D1837" s="8" t="s">
        <v>37</v>
      </c>
      <c r="F1837" s="17">
        <v>41796</v>
      </c>
      <c r="G1837" s="8" t="s">
        <v>9457</v>
      </c>
      <c r="H1837" s="8" t="s">
        <v>3871</v>
      </c>
      <c r="I1837" s="8" t="s">
        <v>212</v>
      </c>
      <c r="J1837" s="16" t="s">
        <v>9458</v>
      </c>
      <c r="K1837" s="2" t="s">
        <v>3873</v>
      </c>
      <c r="L1837" s="8" t="s">
        <v>3874</v>
      </c>
      <c r="M1837" s="8" t="s">
        <v>27</v>
      </c>
      <c r="N1837" s="8" t="s">
        <v>9459</v>
      </c>
      <c r="O1837" s="8" t="s">
        <v>404</v>
      </c>
      <c r="P1837" s="8" t="s">
        <v>405</v>
      </c>
      <c r="Q1837" s="12" t="s">
        <v>9460</v>
      </c>
      <c r="R1837" s="8" t="s">
        <v>559</v>
      </c>
      <c r="S1837" s="7" t="s">
        <v>28</v>
      </c>
      <c r="T1837" s="6"/>
      <c r="U1837" s="8"/>
      <c r="Y1837" s="8"/>
      <c r="Z1837" s="8"/>
      <c r="AA1837" s="8"/>
      <c r="AB1837" s="8"/>
      <c r="AC1837" s="8"/>
      <c r="AD1837" s="8"/>
      <c r="AE1837" s="8"/>
      <c r="AF1837" s="8"/>
      <c r="AG1837" s="8"/>
      <c r="AH1837" s="8"/>
    </row>
    <row r="1838" spans="1:34" ht="13.5" customHeight="1">
      <c r="A1838" s="8" t="s">
        <v>9470</v>
      </c>
      <c r="B1838" s="16" t="s">
        <v>9471</v>
      </c>
      <c r="C1838" s="8" t="s">
        <v>20</v>
      </c>
      <c r="D1838" s="8" t="s">
        <v>37</v>
      </c>
      <c r="E1838" s="8" t="s">
        <v>9472</v>
      </c>
      <c r="F1838" s="17">
        <v>41796</v>
      </c>
      <c r="G1838" s="8" t="s">
        <v>9473</v>
      </c>
      <c r="H1838" s="8" t="s">
        <v>9474</v>
      </c>
      <c r="I1838" s="8" t="s">
        <v>798</v>
      </c>
      <c r="J1838" s="16" t="s">
        <v>9475</v>
      </c>
      <c r="K1838" s="2" t="s">
        <v>9476</v>
      </c>
      <c r="L1838" s="8" t="s">
        <v>9477</v>
      </c>
      <c r="M1838" s="8" t="s">
        <v>27</v>
      </c>
      <c r="N1838" s="8" t="s">
        <v>9478</v>
      </c>
      <c r="O1838" s="8" t="s">
        <v>29</v>
      </c>
      <c r="P1838" s="8" t="s">
        <v>405</v>
      </c>
      <c r="Q1838" s="12" t="s">
        <v>9479</v>
      </c>
      <c r="R1838" s="8" t="s">
        <v>100</v>
      </c>
      <c r="S1838" s="7" t="s">
        <v>28</v>
      </c>
      <c r="T1838" s="6"/>
      <c r="U1838" s="8"/>
    </row>
    <row r="1839" spans="1:34" ht="13.5" customHeight="1">
      <c r="A1839" s="8" t="s">
        <v>9485</v>
      </c>
      <c r="B1839" s="16">
        <v>53</v>
      </c>
      <c r="C1839" s="8" t="s">
        <v>20</v>
      </c>
      <c r="D1839" s="8" t="s">
        <v>37</v>
      </c>
      <c r="E1839" s="8" t="s">
        <v>9486</v>
      </c>
      <c r="F1839" s="17">
        <v>41795</v>
      </c>
      <c r="G1839" s="8" t="s">
        <v>9487</v>
      </c>
      <c r="H1839" s="8" t="s">
        <v>779</v>
      </c>
      <c r="I1839" s="8" t="s">
        <v>45</v>
      </c>
      <c r="J1839" s="16" t="s">
        <v>9488</v>
      </c>
      <c r="K1839" s="2" t="s">
        <v>613</v>
      </c>
      <c r="L1839" s="8" t="s">
        <v>780</v>
      </c>
      <c r="M1839" s="8" t="s">
        <v>27</v>
      </c>
      <c r="N1839" s="8" t="s">
        <v>9489</v>
      </c>
      <c r="O1839" s="8" t="s">
        <v>1018</v>
      </c>
      <c r="P1839" s="8" t="s">
        <v>405</v>
      </c>
      <c r="Q1839" s="12" t="s">
        <v>9490</v>
      </c>
      <c r="R1839" s="8" t="s">
        <v>100</v>
      </c>
      <c r="S1839" s="7" t="s">
        <v>18</v>
      </c>
      <c r="T1839" s="6"/>
      <c r="U1839" s="8"/>
    </row>
    <row r="1840" spans="1:34" ht="13.5" customHeight="1">
      <c r="A1840" s="8" t="s">
        <v>9480</v>
      </c>
      <c r="B1840" s="16">
        <v>26</v>
      </c>
      <c r="C1840" s="8" t="s">
        <v>20</v>
      </c>
      <c r="D1840" s="8" t="s">
        <v>85</v>
      </c>
      <c r="E1840" s="8" t="s">
        <v>9481</v>
      </c>
      <c r="F1840" s="17">
        <v>41795</v>
      </c>
      <c r="G1840" s="8" t="s">
        <v>9482</v>
      </c>
      <c r="H1840" s="8" t="s">
        <v>4775</v>
      </c>
      <c r="I1840" s="8" t="s">
        <v>62</v>
      </c>
      <c r="J1840" s="16" t="s">
        <v>4776</v>
      </c>
      <c r="K1840" s="2" t="s">
        <v>1134</v>
      </c>
      <c r="L1840" s="8" t="s">
        <v>4438</v>
      </c>
      <c r="M1840" s="8" t="s">
        <v>27</v>
      </c>
      <c r="N1840" s="8" t="s">
        <v>9483</v>
      </c>
      <c r="O1840" s="8" t="s">
        <v>404</v>
      </c>
      <c r="P1840" s="8" t="s">
        <v>405</v>
      </c>
      <c r="Q1840" s="12" t="s">
        <v>9484</v>
      </c>
      <c r="R1840" s="8" t="s">
        <v>100</v>
      </c>
      <c r="S1840" s="7" t="s">
        <v>28</v>
      </c>
      <c r="T1840" s="6"/>
      <c r="U1840" s="8"/>
    </row>
    <row r="1841" spans="1:34" ht="13.5" customHeight="1">
      <c r="A1841" s="8" t="s">
        <v>9491</v>
      </c>
      <c r="B1841" s="16">
        <v>22</v>
      </c>
      <c r="C1841" s="8" t="s">
        <v>20</v>
      </c>
      <c r="D1841" s="8" t="s">
        <v>85</v>
      </c>
      <c r="E1841" s="8" t="s">
        <v>9492</v>
      </c>
      <c r="F1841" s="17">
        <v>41794</v>
      </c>
      <c r="G1841" s="8" t="s">
        <v>9493</v>
      </c>
      <c r="H1841" s="8" t="s">
        <v>8900</v>
      </c>
      <c r="I1841" s="8" t="s">
        <v>57</v>
      </c>
      <c r="J1841" s="16" t="s">
        <v>9494</v>
      </c>
      <c r="K1841" s="2" t="s">
        <v>8606</v>
      </c>
      <c r="L1841" s="8" t="s">
        <v>4002</v>
      </c>
      <c r="M1841" s="8" t="s">
        <v>27</v>
      </c>
      <c r="N1841" s="8" t="s">
        <v>9495</v>
      </c>
      <c r="O1841" s="8" t="s">
        <v>554</v>
      </c>
      <c r="P1841" s="8" t="s">
        <v>405</v>
      </c>
      <c r="Q1841" s="12" t="str">
        <f>HYPERLINK("http://www.mlive.com/news/flint/index.ssf/2013/10/prosecutor_says_michigan_state.html","http://www.mlive.com/news/flint/index.ssf/2013/10/prosecutor_says_michigan_state.html")</f>
        <v>http://www.mlive.com/news/flint/index.ssf/2013/10/prosecutor_says_michigan_state.html</v>
      </c>
      <c r="R1841" s="8" t="s">
        <v>100</v>
      </c>
      <c r="S1841" s="7" t="s">
        <v>28</v>
      </c>
      <c r="T1841" s="6"/>
      <c r="U1841" s="8"/>
    </row>
    <row r="1842" spans="1:34" ht="13.5" customHeight="1">
      <c r="A1842" s="8" t="s">
        <v>9511</v>
      </c>
      <c r="B1842" s="16">
        <v>35</v>
      </c>
      <c r="C1842" s="8" t="s">
        <v>20</v>
      </c>
      <c r="D1842" s="8" t="s">
        <v>37</v>
      </c>
      <c r="E1842" s="8" t="s">
        <v>9512</v>
      </c>
      <c r="F1842" s="17">
        <v>41794</v>
      </c>
      <c r="G1842" s="8" t="s">
        <v>9513</v>
      </c>
      <c r="H1842" s="8" t="s">
        <v>144</v>
      </c>
      <c r="I1842" s="8" t="s">
        <v>145</v>
      </c>
      <c r="J1842" s="16" t="s">
        <v>9514</v>
      </c>
      <c r="K1842" s="2" t="s">
        <v>146</v>
      </c>
      <c r="L1842" s="8" t="s">
        <v>147</v>
      </c>
      <c r="M1842" s="8" t="s">
        <v>27</v>
      </c>
      <c r="N1842" s="8" t="s">
        <v>9515</v>
      </c>
      <c r="O1842" s="8" t="s">
        <v>1018</v>
      </c>
      <c r="P1842" s="8" t="s">
        <v>405</v>
      </c>
      <c r="Q1842" s="12"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1842" s="8" t="s">
        <v>559</v>
      </c>
      <c r="S1842" s="7" t="s">
        <v>28</v>
      </c>
      <c r="T1842" s="6"/>
      <c r="U1842" s="8"/>
    </row>
    <row r="1843" spans="1:34" ht="13.5" customHeight="1">
      <c r="A1843" s="8" t="s">
        <v>9505</v>
      </c>
      <c r="B1843" s="16">
        <v>35</v>
      </c>
      <c r="C1843" s="8" t="s">
        <v>20</v>
      </c>
      <c r="D1843" s="8" t="s">
        <v>37</v>
      </c>
      <c r="E1843" s="8" t="s">
        <v>9506</v>
      </c>
      <c r="F1843" s="17">
        <v>41794</v>
      </c>
      <c r="G1843" s="8" t="s">
        <v>9507</v>
      </c>
      <c r="H1843" s="8" t="s">
        <v>9508</v>
      </c>
      <c r="I1843" s="8" t="s">
        <v>243</v>
      </c>
      <c r="J1843" s="16" t="s">
        <v>7412</v>
      </c>
      <c r="K1843" s="2" t="s">
        <v>1461</v>
      </c>
      <c r="L1843" s="8" t="s">
        <v>9509</v>
      </c>
      <c r="M1843" s="8" t="s">
        <v>27</v>
      </c>
      <c r="N1843" s="8" t="s">
        <v>9510</v>
      </c>
      <c r="O1843" s="8" t="s">
        <v>404</v>
      </c>
      <c r="P1843" s="8" t="s">
        <v>405</v>
      </c>
      <c r="Q1843" s="12" t="s">
        <v>5329</v>
      </c>
      <c r="R1843" s="8" t="s">
        <v>100</v>
      </c>
      <c r="S1843" s="7" t="s">
        <v>28</v>
      </c>
      <c r="T1843" s="6"/>
      <c r="U1843" s="8"/>
    </row>
    <row r="1844" spans="1:34" ht="13.5" customHeight="1">
      <c r="A1844" s="8" t="s">
        <v>9496</v>
      </c>
      <c r="B1844" s="16">
        <v>72</v>
      </c>
      <c r="C1844" s="8" t="s">
        <v>20</v>
      </c>
      <c r="D1844" s="8" t="s">
        <v>85</v>
      </c>
      <c r="F1844" s="17">
        <v>41794</v>
      </c>
      <c r="G1844" s="8" t="s">
        <v>9497</v>
      </c>
      <c r="H1844" s="8" t="s">
        <v>3353</v>
      </c>
      <c r="I1844" s="8" t="s">
        <v>247</v>
      </c>
      <c r="J1844" s="16" t="s">
        <v>9498</v>
      </c>
      <c r="K1844" s="2" t="s">
        <v>3353</v>
      </c>
      <c r="L1844" s="8" t="s">
        <v>5114</v>
      </c>
      <c r="M1844" s="8" t="s">
        <v>27</v>
      </c>
      <c r="N1844" s="8" t="s">
        <v>9499</v>
      </c>
      <c r="O1844" s="8" t="s">
        <v>554</v>
      </c>
      <c r="P1844" s="8" t="s">
        <v>405</v>
      </c>
      <c r="Q1844" s="12" t="s">
        <v>9500</v>
      </c>
      <c r="R1844" s="8" t="s">
        <v>559</v>
      </c>
      <c r="S1844" s="7" t="s">
        <v>28</v>
      </c>
      <c r="T1844" s="6"/>
      <c r="U1844" s="8"/>
    </row>
    <row r="1845" spans="1:34" ht="13.5" customHeight="1">
      <c r="A1845" s="8" t="s">
        <v>9501</v>
      </c>
      <c r="B1845" s="16" t="s">
        <v>9471</v>
      </c>
      <c r="C1845" s="8" t="s">
        <v>20</v>
      </c>
      <c r="D1845" s="8" t="s">
        <v>85</v>
      </c>
      <c r="E1845" s="8" t="s">
        <v>9502</v>
      </c>
      <c r="F1845" s="17">
        <v>41794</v>
      </c>
      <c r="G1845" s="8" t="s">
        <v>9503</v>
      </c>
      <c r="H1845" s="8" t="s">
        <v>657</v>
      </c>
      <c r="I1845" s="8" t="s">
        <v>62</v>
      </c>
      <c r="J1845" s="16" t="s">
        <v>5883</v>
      </c>
      <c r="K1845" s="2" t="s">
        <v>658</v>
      </c>
      <c r="L1845" s="8" t="s">
        <v>659</v>
      </c>
      <c r="M1845" s="8" t="s">
        <v>27</v>
      </c>
      <c r="N1845" s="8" t="s">
        <v>9504</v>
      </c>
      <c r="O1845" s="8" t="s">
        <v>554</v>
      </c>
      <c r="P1845" s="8" t="s">
        <v>405</v>
      </c>
      <c r="Q1845" s="12"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1845" s="8" t="s">
        <v>100</v>
      </c>
      <c r="S1845" s="7" t="s">
        <v>28</v>
      </c>
      <c r="T1845" s="6"/>
      <c r="U1845" s="8"/>
    </row>
    <row r="1846" spans="1:34" ht="13.5" customHeight="1">
      <c r="A1846" s="8" t="s">
        <v>9516</v>
      </c>
      <c r="B1846" s="16">
        <v>56</v>
      </c>
      <c r="C1846" s="8" t="s">
        <v>20</v>
      </c>
      <c r="D1846" s="8" t="s">
        <v>37</v>
      </c>
      <c r="F1846" s="17">
        <v>41794</v>
      </c>
      <c r="G1846" s="8" t="s">
        <v>9517</v>
      </c>
      <c r="H1846" s="8" t="s">
        <v>9518</v>
      </c>
      <c r="I1846" s="8" t="s">
        <v>367</v>
      </c>
      <c r="J1846" s="16" t="s">
        <v>9519</v>
      </c>
      <c r="K1846" s="2" t="s">
        <v>9518</v>
      </c>
      <c r="L1846" s="8" t="s">
        <v>9520</v>
      </c>
      <c r="M1846" s="8" t="s">
        <v>27</v>
      </c>
      <c r="N1846" s="8" t="s">
        <v>9521</v>
      </c>
      <c r="O1846" s="8" t="s">
        <v>1018</v>
      </c>
      <c r="P1846" s="8" t="s">
        <v>405</v>
      </c>
      <c r="Q1846" s="12" t="s">
        <v>9522</v>
      </c>
      <c r="R1846" s="8" t="s">
        <v>29</v>
      </c>
      <c r="S1846" s="7" t="s">
        <v>18</v>
      </c>
      <c r="T1846" s="6"/>
      <c r="U1846" s="8"/>
    </row>
    <row r="1847" spans="1:34" ht="13.5" customHeight="1">
      <c r="A1847" s="8" t="s">
        <v>9523</v>
      </c>
      <c r="B1847" s="16" t="s">
        <v>9524</v>
      </c>
      <c r="C1847" s="8" t="s">
        <v>115</v>
      </c>
      <c r="D1847" s="8" t="s">
        <v>48</v>
      </c>
      <c r="E1847" s="8" t="s">
        <v>9525</v>
      </c>
      <c r="F1847" s="17">
        <v>41793</v>
      </c>
      <c r="G1847" s="8" t="s">
        <v>9526</v>
      </c>
      <c r="H1847" s="8" t="s">
        <v>9527</v>
      </c>
      <c r="I1847" s="8" t="s">
        <v>45</v>
      </c>
      <c r="J1847" s="16" t="s">
        <v>9528</v>
      </c>
      <c r="K1847" s="2" t="s">
        <v>4689</v>
      </c>
      <c r="L1847" s="8" t="s">
        <v>19507</v>
      </c>
      <c r="M1847" s="8" t="s">
        <v>27</v>
      </c>
      <c r="N1847" s="8" t="s">
        <v>9529</v>
      </c>
      <c r="O1847" s="8" t="s">
        <v>29</v>
      </c>
      <c r="P1847" s="8" t="s">
        <v>405</v>
      </c>
      <c r="Q1847" s="12" t="s">
        <v>9530</v>
      </c>
      <c r="R1847" s="8" t="s">
        <v>559</v>
      </c>
      <c r="S1847" s="7" t="s">
        <v>28</v>
      </c>
      <c r="T1847" s="6"/>
      <c r="U1847" s="8"/>
    </row>
    <row r="1848" spans="1:34" ht="13.5" customHeight="1">
      <c r="A1848" s="8" t="s">
        <v>9535</v>
      </c>
      <c r="B1848" s="16">
        <v>52</v>
      </c>
      <c r="C1848" s="8" t="s">
        <v>115</v>
      </c>
      <c r="D1848" s="8" t="s">
        <v>37</v>
      </c>
      <c r="F1848" s="17">
        <v>41792</v>
      </c>
      <c r="G1848" s="8" t="s">
        <v>9536</v>
      </c>
      <c r="H1848" s="8" t="s">
        <v>1801</v>
      </c>
      <c r="I1848" s="8" t="s">
        <v>32</v>
      </c>
      <c r="J1848" s="16" t="s">
        <v>9537</v>
      </c>
      <c r="K1848" s="2" t="s">
        <v>1801</v>
      </c>
      <c r="L1848" s="8" t="s">
        <v>9538</v>
      </c>
      <c r="M1848" s="8" t="s">
        <v>27</v>
      </c>
      <c r="N1848" s="8" t="s">
        <v>9539</v>
      </c>
      <c r="O1848" s="8" t="s">
        <v>1018</v>
      </c>
      <c r="P1848" s="8" t="s">
        <v>405</v>
      </c>
      <c r="Q1848" s="12" t="s">
        <v>9540</v>
      </c>
      <c r="R1848" s="8" t="s">
        <v>559</v>
      </c>
      <c r="S1848" s="7" t="s">
        <v>28</v>
      </c>
      <c r="T1848" s="6"/>
      <c r="U1848" s="8"/>
      <c r="Y1848" s="8"/>
      <c r="Z1848" s="8"/>
      <c r="AA1848" s="8"/>
      <c r="AB1848" s="8"/>
      <c r="AC1848" s="8"/>
      <c r="AD1848" s="8"/>
      <c r="AE1848" s="8"/>
      <c r="AF1848" s="8"/>
      <c r="AG1848" s="8"/>
      <c r="AH1848" s="8"/>
    </row>
    <row r="1849" spans="1:34" ht="13.5" customHeight="1">
      <c r="A1849" s="8" t="s">
        <v>9541</v>
      </c>
      <c r="B1849" s="16">
        <v>21</v>
      </c>
      <c r="C1849" s="8" t="s">
        <v>20</v>
      </c>
      <c r="D1849" s="8" t="s">
        <v>37</v>
      </c>
      <c r="E1849" s="8" t="s">
        <v>9542</v>
      </c>
      <c r="F1849" s="17">
        <v>41792</v>
      </c>
      <c r="G1849" s="8" t="s">
        <v>9543</v>
      </c>
      <c r="H1849" s="8" t="s">
        <v>9544</v>
      </c>
      <c r="I1849" s="8" t="s">
        <v>370</v>
      </c>
      <c r="J1849" s="16" t="s">
        <v>9545</v>
      </c>
      <c r="K1849" s="2" t="s">
        <v>9546</v>
      </c>
      <c r="L1849" s="8" t="s">
        <v>9547</v>
      </c>
      <c r="M1849" s="8" t="s">
        <v>27</v>
      </c>
      <c r="N1849" s="8" t="s">
        <v>9548</v>
      </c>
      <c r="O1849" s="8" t="s">
        <v>1018</v>
      </c>
      <c r="P1849" s="8" t="s">
        <v>405</v>
      </c>
      <c r="Q1849" s="12"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1849" s="8" t="s">
        <v>100</v>
      </c>
      <c r="S1849" s="7" t="s">
        <v>28</v>
      </c>
      <c r="T1849" s="6"/>
      <c r="U1849" s="8"/>
    </row>
    <row r="1850" spans="1:34" ht="13.5" customHeight="1">
      <c r="A1850" s="8" t="s">
        <v>9531</v>
      </c>
      <c r="B1850" s="16">
        <v>34</v>
      </c>
      <c r="C1850" s="8" t="s">
        <v>20</v>
      </c>
      <c r="D1850" s="8" t="s">
        <v>85</v>
      </c>
      <c r="E1850" s="8" t="s">
        <v>9532</v>
      </c>
      <c r="F1850" s="17">
        <v>41792</v>
      </c>
      <c r="G1850" s="8" t="s">
        <v>9533</v>
      </c>
      <c r="H1850" s="8" t="s">
        <v>407</v>
      </c>
      <c r="I1850" s="8" t="s">
        <v>408</v>
      </c>
      <c r="J1850" s="16" t="s">
        <v>1977</v>
      </c>
      <c r="K1850" s="2" t="s">
        <v>914</v>
      </c>
      <c r="L1850" s="8" t="s">
        <v>1978</v>
      </c>
      <c r="M1850" s="8" t="s">
        <v>27</v>
      </c>
      <c r="N1850" s="8" t="s">
        <v>9534</v>
      </c>
      <c r="O1850" s="8" t="s">
        <v>1018</v>
      </c>
      <c r="P1850" s="8" t="s">
        <v>405</v>
      </c>
      <c r="Q1850" s="12" t="str">
        <f>HYPERLINK("http://6abc.com/news/officer-released-from-hospital-suspect-dead-in-chester/89060/","http://6abc.com/news/officer-released-from-hospital-suspect-dead-in-chester/89060/")</f>
        <v>http://6abc.com/news/officer-released-from-hospital-suspect-dead-in-chester/89060/</v>
      </c>
      <c r="R1850" s="8" t="s">
        <v>100</v>
      </c>
      <c r="S1850" s="7" t="s">
        <v>28</v>
      </c>
      <c r="T1850" s="6"/>
      <c r="U1850" s="8"/>
    </row>
    <row r="1851" spans="1:34" ht="13.5" customHeight="1">
      <c r="A1851" s="8" t="s">
        <v>9549</v>
      </c>
      <c r="B1851" s="16">
        <v>22</v>
      </c>
      <c r="C1851" s="8" t="s">
        <v>20</v>
      </c>
      <c r="D1851" s="8" t="s">
        <v>37</v>
      </c>
      <c r="E1851" s="8" t="s">
        <v>9550</v>
      </c>
      <c r="F1851" s="17">
        <v>41792</v>
      </c>
      <c r="G1851" s="8" t="s">
        <v>9551</v>
      </c>
      <c r="H1851" s="8" t="s">
        <v>9552</v>
      </c>
      <c r="I1851" s="8" t="s">
        <v>32</v>
      </c>
      <c r="J1851" s="16" t="s">
        <v>9553</v>
      </c>
      <c r="K1851" s="2" t="s">
        <v>33</v>
      </c>
      <c r="L1851" s="8" t="s">
        <v>34</v>
      </c>
      <c r="M1851" s="8" t="s">
        <v>27</v>
      </c>
      <c r="N1851" s="8" t="s">
        <v>9554</v>
      </c>
      <c r="O1851" s="8" t="s">
        <v>1018</v>
      </c>
      <c r="P1851" s="8" t="s">
        <v>405</v>
      </c>
      <c r="Q1851" s="12"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1851" s="8" t="s">
        <v>29</v>
      </c>
      <c r="S1851" s="7" t="s">
        <v>18</v>
      </c>
      <c r="T1851" s="6"/>
      <c r="U1851" s="8"/>
      <c r="Y1851" s="8"/>
      <c r="Z1851" s="8"/>
      <c r="AA1851" s="8"/>
      <c r="AB1851" s="8"/>
      <c r="AC1851" s="8"/>
      <c r="AD1851" s="8"/>
      <c r="AE1851" s="8"/>
      <c r="AF1851" s="8"/>
      <c r="AG1851" s="8"/>
      <c r="AH1851" s="8"/>
    </row>
    <row r="1852" spans="1:34" ht="13.5" customHeight="1">
      <c r="A1852" s="8" t="s">
        <v>9555</v>
      </c>
      <c r="B1852" s="16">
        <v>52</v>
      </c>
      <c r="C1852" s="8" t="s">
        <v>20</v>
      </c>
      <c r="D1852" s="8" t="s">
        <v>30</v>
      </c>
      <c r="F1852" s="17">
        <v>41791</v>
      </c>
      <c r="G1852" s="8" t="s">
        <v>9556</v>
      </c>
      <c r="H1852" s="8" t="s">
        <v>5422</v>
      </c>
      <c r="I1852" s="8" t="s">
        <v>367</v>
      </c>
      <c r="J1852" s="16" t="s">
        <v>9557</v>
      </c>
      <c r="K1852" s="2" t="s">
        <v>1065</v>
      </c>
      <c r="L1852" s="8" t="s">
        <v>19947</v>
      </c>
      <c r="M1852" s="8" t="s">
        <v>27</v>
      </c>
      <c r="N1852" s="8" t="s">
        <v>9558</v>
      </c>
      <c r="O1852" s="8" t="s">
        <v>1018</v>
      </c>
      <c r="P1852" s="8" t="s">
        <v>405</v>
      </c>
      <c r="Q1852" s="12" t="s">
        <v>9559</v>
      </c>
      <c r="R1852" s="8" t="s">
        <v>29</v>
      </c>
      <c r="S1852" s="7" t="s">
        <v>28</v>
      </c>
      <c r="T1852" s="6"/>
      <c r="U1852" s="8"/>
    </row>
    <row r="1853" spans="1:34" ht="13.5" customHeight="1">
      <c r="A1853" s="8" t="s">
        <v>9585</v>
      </c>
      <c r="B1853" s="16">
        <v>20</v>
      </c>
      <c r="C1853" s="8" t="s">
        <v>20</v>
      </c>
      <c r="D1853" s="8" t="s">
        <v>37</v>
      </c>
      <c r="E1853" s="8" t="s">
        <v>9586</v>
      </c>
      <c r="F1853" s="17">
        <v>41790</v>
      </c>
      <c r="G1853" s="8" t="s">
        <v>9587</v>
      </c>
      <c r="H1853" s="8" t="s">
        <v>9588</v>
      </c>
      <c r="I1853" s="8" t="s">
        <v>435</v>
      </c>
      <c r="J1853" s="16" t="s">
        <v>9589</v>
      </c>
      <c r="K1853" s="2" t="s">
        <v>5486</v>
      </c>
      <c r="L1853" s="8" t="s">
        <v>9590</v>
      </c>
      <c r="M1853" s="8" t="s">
        <v>9591</v>
      </c>
      <c r="N1853" s="8" t="s">
        <v>9592</v>
      </c>
      <c r="O1853" s="8" t="s">
        <v>3421</v>
      </c>
      <c r="P1853" s="8" t="s">
        <v>405</v>
      </c>
      <c r="Q1853" s="12" t="s">
        <v>9593</v>
      </c>
      <c r="R1853" s="8" t="s">
        <v>100</v>
      </c>
      <c r="S1853" s="7" t="s">
        <v>18</v>
      </c>
      <c r="T1853" s="6"/>
      <c r="U1853" s="8"/>
    </row>
    <row r="1854" spans="1:34" ht="13.5" customHeight="1">
      <c r="A1854" s="8" t="s">
        <v>9594</v>
      </c>
      <c r="B1854" s="16">
        <v>64</v>
      </c>
      <c r="C1854" s="8" t="s">
        <v>20</v>
      </c>
      <c r="D1854" s="8" t="s">
        <v>37</v>
      </c>
      <c r="E1854" s="8" t="s">
        <v>9595</v>
      </c>
      <c r="F1854" s="17">
        <v>41790</v>
      </c>
      <c r="G1854" s="8" t="s">
        <v>9596</v>
      </c>
      <c r="H1854" s="8" t="s">
        <v>2339</v>
      </c>
      <c r="I1854" s="8" t="s">
        <v>467</v>
      </c>
      <c r="J1854" s="16" t="s">
        <v>9597</v>
      </c>
      <c r="K1854" s="2" t="s">
        <v>1507</v>
      </c>
      <c r="L1854" s="8" t="s">
        <v>9598</v>
      </c>
      <c r="M1854" s="8" t="s">
        <v>27</v>
      </c>
      <c r="N1854" s="8" t="s">
        <v>9599</v>
      </c>
      <c r="O1854" s="8" t="s">
        <v>554</v>
      </c>
      <c r="P1854" s="8" t="s">
        <v>405</v>
      </c>
      <c r="Q1854" s="12" t="s">
        <v>9600</v>
      </c>
      <c r="R1854" s="8" t="s">
        <v>29</v>
      </c>
      <c r="S1854" s="7" t="s">
        <v>28</v>
      </c>
      <c r="T1854" s="6"/>
      <c r="U1854" s="8"/>
    </row>
    <row r="1855" spans="1:34" ht="13.5" customHeight="1">
      <c r="A1855" s="8" t="s">
        <v>9577</v>
      </c>
      <c r="B1855" s="16">
        <v>44</v>
      </c>
      <c r="C1855" s="8" t="s">
        <v>20</v>
      </c>
      <c r="D1855" s="8" t="s">
        <v>85</v>
      </c>
      <c r="E1855" s="8" t="s">
        <v>9578</v>
      </c>
      <c r="F1855" s="17">
        <v>41790</v>
      </c>
      <c r="G1855" s="8" t="s">
        <v>9579</v>
      </c>
      <c r="H1855" s="8" t="s">
        <v>9580</v>
      </c>
      <c r="I1855" s="8" t="s">
        <v>81</v>
      </c>
      <c r="J1855" s="16" t="s">
        <v>9581</v>
      </c>
      <c r="K1855" s="2" t="s">
        <v>9582</v>
      </c>
      <c r="L1855" s="8" t="s">
        <v>9583</v>
      </c>
      <c r="M1855" s="8" t="s">
        <v>27</v>
      </c>
      <c r="N1855" s="8" t="s">
        <v>9584</v>
      </c>
      <c r="O1855" s="8" t="s">
        <v>554</v>
      </c>
      <c r="P1855" s="8" t="s">
        <v>405</v>
      </c>
      <c r="Q1855" s="12" t="str">
        <f>HYPERLINK("http://patersontimes.com/2014/05/31/armed-city-man-killed-by-city-detective-on-montgomery-street/","http://patersontimes.com/2014/05/31/armed-city-man-killed-by-city-detective-on-montgomery-street/")</f>
        <v>http://patersontimes.com/2014/05/31/armed-city-man-killed-by-city-detective-on-montgomery-street/</v>
      </c>
      <c r="R1855" s="8" t="s">
        <v>100</v>
      </c>
      <c r="S1855" s="7" t="s">
        <v>28</v>
      </c>
      <c r="T1855" s="6"/>
      <c r="U1855" s="8"/>
    </row>
    <row r="1856" spans="1:34" ht="13.5" customHeight="1">
      <c r="A1856" s="8" t="s">
        <v>9560</v>
      </c>
      <c r="B1856" s="16">
        <v>33</v>
      </c>
      <c r="C1856" s="8" t="s">
        <v>20</v>
      </c>
      <c r="D1856" s="8" t="s">
        <v>85</v>
      </c>
      <c r="E1856" s="8" t="s">
        <v>9561</v>
      </c>
      <c r="F1856" s="17">
        <v>41790</v>
      </c>
      <c r="G1856" s="8" t="s">
        <v>9562</v>
      </c>
      <c r="H1856" s="8" t="s">
        <v>9563</v>
      </c>
      <c r="I1856" s="8" t="s">
        <v>370</v>
      </c>
      <c r="J1856" s="16" t="s">
        <v>9564</v>
      </c>
      <c r="K1856" s="2" t="s">
        <v>9565</v>
      </c>
      <c r="L1856" s="8" t="s">
        <v>9566</v>
      </c>
      <c r="M1856" s="8" t="s">
        <v>27</v>
      </c>
      <c r="N1856" s="8" t="s">
        <v>9567</v>
      </c>
      <c r="O1856" s="8" t="s">
        <v>1018</v>
      </c>
      <c r="P1856" s="8" t="s">
        <v>405</v>
      </c>
      <c r="Q1856" s="12" t="s">
        <v>9568</v>
      </c>
      <c r="R1856" s="8" t="s">
        <v>100</v>
      </c>
      <c r="S1856" s="7" t="s">
        <v>18</v>
      </c>
      <c r="T1856" s="6"/>
      <c r="U1856" s="8"/>
    </row>
    <row r="1857" spans="1:24" ht="13.5" customHeight="1">
      <c r="A1857" s="8" t="s">
        <v>9569</v>
      </c>
      <c r="B1857" s="16">
        <v>22</v>
      </c>
      <c r="C1857" s="8" t="s">
        <v>20</v>
      </c>
      <c r="D1857" s="8" t="s">
        <v>85</v>
      </c>
      <c r="E1857" s="8" t="s">
        <v>9570</v>
      </c>
      <c r="F1857" s="17">
        <v>41790</v>
      </c>
      <c r="G1857" s="8" t="s">
        <v>9571</v>
      </c>
      <c r="H1857" s="8" t="s">
        <v>9572</v>
      </c>
      <c r="I1857" s="8" t="s">
        <v>367</v>
      </c>
      <c r="J1857" s="16" t="s">
        <v>9573</v>
      </c>
      <c r="K1857" s="2" t="s">
        <v>9574</v>
      </c>
      <c r="L1857" s="8" t="s">
        <v>9575</v>
      </c>
      <c r="M1857" s="8" t="s">
        <v>27</v>
      </c>
      <c r="N1857" s="8" t="s">
        <v>9576</v>
      </c>
      <c r="O1857" s="8" t="s">
        <v>29</v>
      </c>
      <c r="P1857" s="8" t="s">
        <v>405</v>
      </c>
      <c r="Q1857" s="12"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1857" s="8" t="s">
        <v>100</v>
      </c>
      <c r="S1857" s="7" t="s">
        <v>28</v>
      </c>
      <c r="T1857" s="6"/>
      <c r="U1857" s="8"/>
    </row>
    <row r="1858" spans="1:24" ht="13.5" customHeight="1">
      <c r="A1858" s="8" t="s">
        <v>9617</v>
      </c>
      <c r="B1858" s="16">
        <v>26</v>
      </c>
      <c r="C1858" s="8" t="s">
        <v>20</v>
      </c>
      <c r="D1858" s="8" t="s">
        <v>48</v>
      </c>
      <c r="F1858" s="17">
        <v>41789</v>
      </c>
      <c r="G1858" s="8" t="s">
        <v>9618</v>
      </c>
      <c r="H1858" s="8" t="s">
        <v>1924</v>
      </c>
      <c r="I1858" s="8" t="s">
        <v>45</v>
      </c>
      <c r="J1858" s="16" t="s">
        <v>9619</v>
      </c>
      <c r="K1858" s="2" t="s">
        <v>7895</v>
      </c>
      <c r="L1858" s="8" t="s">
        <v>1926</v>
      </c>
      <c r="M1858" s="8" t="s">
        <v>27</v>
      </c>
      <c r="N1858" s="8" t="s">
        <v>9620</v>
      </c>
      <c r="O1858" s="8" t="s">
        <v>404</v>
      </c>
      <c r="P1858" s="8" t="s">
        <v>405</v>
      </c>
      <c r="Q1858" s="12" t="s">
        <v>9621</v>
      </c>
      <c r="R1858" s="8" t="s">
        <v>100</v>
      </c>
      <c r="S1858" s="7" t="s">
        <v>28</v>
      </c>
      <c r="T1858" s="6"/>
      <c r="U1858" s="8"/>
      <c r="V1858" s="8"/>
      <c r="W1858" s="8"/>
      <c r="X1858" s="8"/>
    </row>
    <row r="1859" spans="1:24" ht="13.5" customHeight="1">
      <c r="A1859" s="8" t="s">
        <v>9633</v>
      </c>
      <c r="B1859" s="16">
        <v>49</v>
      </c>
      <c r="C1859" s="8" t="s">
        <v>20</v>
      </c>
      <c r="D1859" s="8" t="s">
        <v>37</v>
      </c>
      <c r="E1859" s="8" t="s">
        <v>9634</v>
      </c>
      <c r="F1859" s="17">
        <v>41789</v>
      </c>
      <c r="G1859" s="8" t="s">
        <v>9635</v>
      </c>
      <c r="H1859" s="8" t="s">
        <v>9636</v>
      </c>
      <c r="I1859" s="8" t="s">
        <v>45</v>
      </c>
      <c r="J1859" s="16" t="s">
        <v>9637</v>
      </c>
      <c r="K1859" s="2" t="s">
        <v>1437</v>
      </c>
      <c r="L1859" s="8" t="s">
        <v>9638</v>
      </c>
      <c r="M1859" s="8" t="s">
        <v>27</v>
      </c>
      <c r="N1859" s="8" t="s">
        <v>9639</v>
      </c>
      <c r="O1859" s="8" t="s">
        <v>1018</v>
      </c>
      <c r="P1859" s="8" t="s">
        <v>405</v>
      </c>
      <c r="Q1859" s="12" t="s">
        <v>9640</v>
      </c>
      <c r="R1859" s="8" t="s">
        <v>29</v>
      </c>
      <c r="S1859" s="7" t="s">
        <v>28</v>
      </c>
      <c r="T1859" s="6"/>
      <c r="U1859" s="8"/>
    </row>
    <row r="1860" spans="1:24" ht="13.5" customHeight="1">
      <c r="A1860" s="8" t="s">
        <v>9628</v>
      </c>
      <c r="B1860" s="16">
        <v>31</v>
      </c>
      <c r="C1860" s="8" t="s">
        <v>20</v>
      </c>
      <c r="D1860" s="8" t="s">
        <v>37</v>
      </c>
      <c r="E1860" s="8" t="s">
        <v>9629</v>
      </c>
      <c r="F1860" s="17">
        <v>41789</v>
      </c>
      <c r="G1860" s="8" t="s">
        <v>6393</v>
      </c>
      <c r="H1860" s="8" t="s">
        <v>661</v>
      </c>
      <c r="I1860" s="8" t="s">
        <v>272</v>
      </c>
      <c r="J1860" s="16" t="s">
        <v>9630</v>
      </c>
      <c r="K1860" s="2" t="s">
        <v>574</v>
      </c>
      <c r="L1860" s="8" t="s">
        <v>575</v>
      </c>
      <c r="M1860" s="8" t="s">
        <v>27</v>
      </c>
      <c r="N1860" s="8" t="s">
        <v>9631</v>
      </c>
      <c r="O1860" s="8" t="s">
        <v>1018</v>
      </c>
      <c r="P1860" s="8" t="s">
        <v>405</v>
      </c>
      <c r="Q1860" s="12" t="s">
        <v>9632</v>
      </c>
      <c r="R1860" s="8" t="s">
        <v>100</v>
      </c>
      <c r="S1860" s="7" t="s">
        <v>28</v>
      </c>
      <c r="T1860" s="6"/>
      <c r="U1860" s="8"/>
    </row>
    <row r="1861" spans="1:24" ht="13.5" customHeight="1">
      <c r="A1861" s="8" t="s">
        <v>9641</v>
      </c>
      <c r="B1861" s="16">
        <v>29</v>
      </c>
      <c r="C1861" s="8" t="s">
        <v>20</v>
      </c>
      <c r="D1861" s="8" t="s">
        <v>37</v>
      </c>
      <c r="E1861" s="8" t="s">
        <v>9642</v>
      </c>
      <c r="F1861" s="17">
        <v>41789</v>
      </c>
      <c r="G1861" s="8" t="s">
        <v>9643</v>
      </c>
      <c r="H1861" s="8" t="s">
        <v>3353</v>
      </c>
      <c r="I1861" s="8" t="s">
        <v>247</v>
      </c>
      <c r="J1861" s="16" t="s">
        <v>9644</v>
      </c>
      <c r="K1861" s="2" t="s">
        <v>3353</v>
      </c>
      <c r="L1861" s="8" t="s">
        <v>5114</v>
      </c>
      <c r="M1861" s="8" t="s">
        <v>27</v>
      </c>
      <c r="N1861" s="8" t="s">
        <v>9645</v>
      </c>
      <c r="O1861" s="8" t="s">
        <v>1018</v>
      </c>
      <c r="P1861" s="8" t="s">
        <v>405</v>
      </c>
      <c r="Q1861" s="12" t="s">
        <v>9646</v>
      </c>
      <c r="R1861" s="8" t="s">
        <v>29</v>
      </c>
      <c r="S1861" s="7" t="s">
        <v>28</v>
      </c>
      <c r="T1861" s="6"/>
      <c r="U1861" s="8"/>
    </row>
    <row r="1862" spans="1:24" ht="13.5" customHeight="1">
      <c r="A1862" s="8" t="s">
        <v>9610</v>
      </c>
      <c r="B1862" s="16">
        <v>31</v>
      </c>
      <c r="C1862" s="8" t="s">
        <v>20</v>
      </c>
      <c r="D1862" s="8" t="s">
        <v>48</v>
      </c>
      <c r="E1862" s="8" t="s">
        <v>9611</v>
      </c>
      <c r="F1862" s="17">
        <v>41789</v>
      </c>
      <c r="G1862" s="8" t="s">
        <v>9612</v>
      </c>
      <c r="H1862" s="8" t="s">
        <v>9613</v>
      </c>
      <c r="I1862" s="8" t="s">
        <v>124</v>
      </c>
      <c r="J1862" s="16" t="s">
        <v>9614</v>
      </c>
      <c r="K1862" s="2" t="s">
        <v>566</v>
      </c>
      <c r="L1862" s="8" t="s">
        <v>4790</v>
      </c>
      <c r="M1862" s="8" t="s">
        <v>27</v>
      </c>
      <c r="N1862" s="8" t="s">
        <v>9615</v>
      </c>
      <c r="O1862" s="8" t="s">
        <v>1018</v>
      </c>
      <c r="P1862" s="8" t="s">
        <v>405</v>
      </c>
      <c r="Q1862" s="12" t="s">
        <v>9616</v>
      </c>
      <c r="R1862" s="8" t="s">
        <v>100</v>
      </c>
      <c r="S1862" s="7" t="s">
        <v>18</v>
      </c>
      <c r="T1862" s="6"/>
      <c r="U1862" s="8"/>
    </row>
    <row r="1863" spans="1:24" ht="13.5" customHeight="1">
      <c r="A1863" s="8" t="s">
        <v>9622</v>
      </c>
      <c r="B1863" s="16">
        <v>61</v>
      </c>
      <c r="C1863" s="8" t="s">
        <v>20</v>
      </c>
      <c r="D1863" s="8" t="s">
        <v>30</v>
      </c>
      <c r="F1863" s="17">
        <v>41789</v>
      </c>
      <c r="G1863" s="8" t="s">
        <v>9623</v>
      </c>
      <c r="H1863" s="8" t="s">
        <v>9624</v>
      </c>
      <c r="I1863" s="8" t="s">
        <v>319</v>
      </c>
      <c r="J1863" s="16" t="s">
        <v>9625</v>
      </c>
      <c r="K1863" s="2" t="s">
        <v>2528</v>
      </c>
      <c r="L1863" s="8" t="s">
        <v>3406</v>
      </c>
      <c r="M1863" s="8" t="s">
        <v>27</v>
      </c>
      <c r="N1863" s="8" t="s">
        <v>9626</v>
      </c>
      <c r="O1863" s="8" t="s">
        <v>1018</v>
      </c>
      <c r="P1863" s="8" t="s">
        <v>405</v>
      </c>
      <c r="Q1863" s="12" t="s">
        <v>9627</v>
      </c>
      <c r="R1863" s="8" t="s">
        <v>29</v>
      </c>
      <c r="S1863" s="7" t="s">
        <v>28</v>
      </c>
      <c r="T1863" s="6"/>
      <c r="U1863" s="8"/>
    </row>
    <row r="1864" spans="1:24" ht="13.5" customHeight="1">
      <c r="A1864" s="8" t="s">
        <v>9601</v>
      </c>
      <c r="B1864" s="16">
        <v>20</v>
      </c>
      <c r="C1864" s="8" t="s">
        <v>20</v>
      </c>
      <c r="D1864" s="8" t="s">
        <v>85</v>
      </c>
      <c r="F1864" s="17">
        <v>41789</v>
      </c>
      <c r="G1864" s="8" t="s">
        <v>9602</v>
      </c>
      <c r="H1864" s="8" t="s">
        <v>6622</v>
      </c>
      <c r="I1864" s="8" t="s">
        <v>52</v>
      </c>
      <c r="J1864" s="16" t="s">
        <v>6623</v>
      </c>
      <c r="K1864" s="2" t="s">
        <v>2403</v>
      </c>
      <c r="L1864" s="8" t="s">
        <v>767</v>
      </c>
      <c r="M1864" s="8" t="s">
        <v>27</v>
      </c>
      <c r="N1864" s="8" t="s">
        <v>9603</v>
      </c>
      <c r="O1864" s="8" t="s">
        <v>1018</v>
      </c>
      <c r="P1864" s="8" t="s">
        <v>405</v>
      </c>
      <c r="Q1864" s="12" t="s">
        <v>9604</v>
      </c>
      <c r="R1864" s="8" t="s">
        <v>100</v>
      </c>
      <c r="S1864" s="7" t="s">
        <v>18</v>
      </c>
      <c r="T1864" s="6"/>
      <c r="U1864" s="8"/>
    </row>
    <row r="1865" spans="1:24" ht="13.5" customHeight="1">
      <c r="A1865" s="8" t="s">
        <v>9605</v>
      </c>
      <c r="B1865" s="16">
        <v>36</v>
      </c>
      <c r="C1865" s="8" t="s">
        <v>20</v>
      </c>
      <c r="D1865" s="8" t="s">
        <v>85</v>
      </c>
      <c r="E1865" s="8" t="s">
        <v>9606</v>
      </c>
      <c r="F1865" s="17">
        <v>41789</v>
      </c>
      <c r="G1865" s="8" t="s">
        <v>9607</v>
      </c>
      <c r="H1865" s="8" t="s">
        <v>219</v>
      </c>
      <c r="I1865" s="8" t="s">
        <v>220</v>
      </c>
      <c r="J1865" s="16" t="s">
        <v>1632</v>
      </c>
      <c r="K1865" s="2" t="s">
        <v>424</v>
      </c>
      <c r="L1865" s="8" t="s">
        <v>221</v>
      </c>
      <c r="M1865" s="8" t="s">
        <v>27</v>
      </c>
      <c r="N1865" s="8" t="s">
        <v>9608</v>
      </c>
      <c r="O1865" s="8" t="s">
        <v>1018</v>
      </c>
      <c r="P1865" s="8" t="s">
        <v>405</v>
      </c>
      <c r="Q1865" s="12" t="s">
        <v>9609</v>
      </c>
      <c r="R1865" s="8" t="s">
        <v>29</v>
      </c>
      <c r="S1865" s="7" t="s">
        <v>28</v>
      </c>
      <c r="T1865" s="6"/>
      <c r="U1865" s="8"/>
    </row>
    <row r="1866" spans="1:24" ht="13.5" customHeight="1">
      <c r="A1866" s="8" t="s">
        <v>9654</v>
      </c>
      <c r="B1866" s="16">
        <v>18</v>
      </c>
      <c r="C1866" s="8" t="s">
        <v>20</v>
      </c>
      <c r="D1866" s="8" t="s">
        <v>85</v>
      </c>
      <c r="E1866" s="8" t="s">
        <v>9655</v>
      </c>
      <c r="F1866" s="17">
        <v>41788</v>
      </c>
      <c r="G1866" s="8" t="s">
        <v>9656</v>
      </c>
      <c r="H1866" s="8" t="s">
        <v>3541</v>
      </c>
      <c r="I1866" s="8" t="s">
        <v>62</v>
      </c>
      <c r="J1866" s="16" t="s">
        <v>9657</v>
      </c>
      <c r="K1866" s="2" t="s">
        <v>3543</v>
      </c>
      <c r="L1866" s="8" t="s">
        <v>3544</v>
      </c>
      <c r="M1866" s="8" t="s">
        <v>27</v>
      </c>
      <c r="N1866" s="8" t="s">
        <v>9658</v>
      </c>
      <c r="O1866" s="8" t="s">
        <v>554</v>
      </c>
      <c r="P1866" s="8" t="s">
        <v>405</v>
      </c>
      <c r="Q1866" s="12" t="s">
        <v>9659</v>
      </c>
      <c r="R1866" s="8" t="s">
        <v>972</v>
      </c>
      <c r="S1866" s="7" t="s">
        <v>35</v>
      </c>
      <c r="T1866" s="6"/>
      <c r="U1866" s="8"/>
    </row>
    <row r="1867" spans="1:24" ht="13.5" customHeight="1">
      <c r="A1867" s="8" t="s">
        <v>9660</v>
      </c>
      <c r="B1867" s="16">
        <v>22</v>
      </c>
      <c r="C1867" s="8" t="s">
        <v>20</v>
      </c>
      <c r="D1867" s="8" t="s">
        <v>37</v>
      </c>
      <c r="E1867" s="8" t="s">
        <v>9661</v>
      </c>
      <c r="F1867" s="17">
        <v>41788</v>
      </c>
      <c r="G1867" s="8" t="s">
        <v>9662</v>
      </c>
      <c r="H1867" s="8" t="s">
        <v>9663</v>
      </c>
      <c r="I1867" s="8" t="s">
        <v>45</v>
      </c>
      <c r="J1867" s="16" t="s">
        <v>9664</v>
      </c>
      <c r="K1867" s="2" t="s">
        <v>1070</v>
      </c>
      <c r="L1867" s="8" t="s">
        <v>9665</v>
      </c>
      <c r="M1867" s="8" t="s">
        <v>27</v>
      </c>
      <c r="N1867" s="8" t="s">
        <v>9666</v>
      </c>
      <c r="O1867" s="8" t="s">
        <v>404</v>
      </c>
      <c r="P1867" s="8" t="s">
        <v>405</v>
      </c>
      <c r="Q1867" s="12" t="s">
        <v>9667</v>
      </c>
      <c r="R1867" s="8" t="s">
        <v>559</v>
      </c>
      <c r="S1867" s="7" t="s">
        <v>28</v>
      </c>
      <c r="T1867" s="6"/>
      <c r="U1867" s="8"/>
    </row>
    <row r="1868" spans="1:24" ht="13.5" customHeight="1">
      <c r="A1868" s="8" t="s">
        <v>9647</v>
      </c>
      <c r="B1868" s="16">
        <v>17</v>
      </c>
      <c r="C1868" s="8" t="s">
        <v>20</v>
      </c>
      <c r="D1868" s="8" t="s">
        <v>85</v>
      </c>
      <c r="E1868" s="8" t="s">
        <v>9648</v>
      </c>
      <c r="F1868" s="17">
        <v>41788</v>
      </c>
      <c r="G1868" s="8" t="s">
        <v>9649</v>
      </c>
      <c r="H1868" s="8" t="s">
        <v>1048</v>
      </c>
      <c r="I1868" s="8" t="s">
        <v>25</v>
      </c>
      <c r="J1868" s="16" t="s">
        <v>9650</v>
      </c>
      <c r="K1868" s="2" t="s">
        <v>2605</v>
      </c>
      <c r="L1868" s="8" t="s">
        <v>9651</v>
      </c>
      <c r="M1868" s="8" t="s">
        <v>27</v>
      </c>
      <c r="N1868" s="8" t="s">
        <v>9652</v>
      </c>
      <c r="O1868" s="8" t="s">
        <v>554</v>
      </c>
      <c r="P1868" s="8" t="s">
        <v>405</v>
      </c>
      <c r="Q1868" s="12" t="s">
        <v>9653</v>
      </c>
      <c r="R1868" s="8" t="s">
        <v>29</v>
      </c>
      <c r="S1868" s="7" t="s">
        <v>28</v>
      </c>
      <c r="T1868" s="6"/>
      <c r="U1868" s="8"/>
    </row>
    <row r="1869" spans="1:24" ht="13.5" customHeight="1">
      <c r="A1869" s="8" t="s">
        <v>9668</v>
      </c>
      <c r="B1869" s="16">
        <v>45</v>
      </c>
      <c r="C1869" s="8" t="s">
        <v>20</v>
      </c>
      <c r="D1869" s="8" t="s">
        <v>37</v>
      </c>
      <c r="E1869" s="8" t="s">
        <v>9669</v>
      </c>
      <c r="F1869" s="17">
        <v>41788</v>
      </c>
      <c r="G1869" s="8" t="s">
        <v>9670</v>
      </c>
      <c r="H1869" s="8" t="s">
        <v>6645</v>
      </c>
      <c r="I1869" s="8" t="s">
        <v>323</v>
      </c>
      <c r="J1869" s="16" t="s">
        <v>9671</v>
      </c>
      <c r="K1869" s="2" t="s">
        <v>2942</v>
      </c>
      <c r="L1869" s="8" t="s">
        <v>120</v>
      </c>
      <c r="M1869" s="8" t="s">
        <v>27</v>
      </c>
      <c r="N1869" s="8" t="s">
        <v>9672</v>
      </c>
      <c r="O1869" s="8" t="s">
        <v>554</v>
      </c>
      <c r="P1869" s="8" t="s">
        <v>405</v>
      </c>
      <c r="Q1869" s="12" t="str">
        <f>HYPERLINK("http://www.tricities.com/news/article_0ec2ddf4-e749-11e3-a6a8-0017a43b2370.html","http://www.tricities.com/news/article_0ec2ddf4-e749-11e3-a6a8-0017a43b2370.html")</f>
        <v>http://www.tricities.com/news/article_0ec2ddf4-e749-11e3-a6a8-0017a43b2370.html</v>
      </c>
      <c r="R1869" s="8" t="s">
        <v>100</v>
      </c>
      <c r="S1869" s="7" t="s">
        <v>383</v>
      </c>
      <c r="T1869" s="6"/>
      <c r="U1869" s="8"/>
    </row>
    <row r="1870" spans="1:24" ht="13.5" customHeight="1">
      <c r="A1870" s="8" t="s">
        <v>9673</v>
      </c>
      <c r="B1870" s="16">
        <v>20</v>
      </c>
      <c r="C1870" s="8" t="s">
        <v>20</v>
      </c>
      <c r="D1870" s="8" t="s">
        <v>85</v>
      </c>
      <c r="E1870" s="8" t="s">
        <v>9674</v>
      </c>
      <c r="F1870" s="17">
        <v>41787</v>
      </c>
      <c r="G1870" s="8" t="s">
        <v>9675</v>
      </c>
      <c r="H1870" s="8" t="s">
        <v>6721</v>
      </c>
      <c r="I1870" s="8" t="s">
        <v>675</v>
      </c>
      <c r="J1870" s="16" t="s">
        <v>6722</v>
      </c>
      <c r="K1870" s="2" t="s">
        <v>1195</v>
      </c>
      <c r="L1870" s="8" t="s">
        <v>1196</v>
      </c>
      <c r="M1870" s="8" t="s">
        <v>27</v>
      </c>
      <c r="N1870" s="8" t="s">
        <v>9676</v>
      </c>
      <c r="O1870" s="8" t="s">
        <v>1018</v>
      </c>
      <c r="P1870" s="8" t="s">
        <v>405</v>
      </c>
      <c r="Q1870" s="12" t="s">
        <v>9677</v>
      </c>
      <c r="R1870" s="8" t="s">
        <v>100</v>
      </c>
      <c r="S1870" s="7" t="s">
        <v>28</v>
      </c>
      <c r="T1870" s="6"/>
      <c r="U1870" s="8"/>
    </row>
    <row r="1871" spans="1:24" ht="13.5" customHeight="1">
      <c r="A1871" s="8" t="s">
        <v>9678</v>
      </c>
      <c r="B1871" s="16">
        <v>54</v>
      </c>
      <c r="C1871" s="8" t="s">
        <v>20</v>
      </c>
      <c r="D1871" s="8" t="s">
        <v>37</v>
      </c>
      <c r="F1871" s="17">
        <v>41787</v>
      </c>
      <c r="G1871" s="8" t="s">
        <v>9679</v>
      </c>
      <c r="H1871" s="8" t="s">
        <v>9680</v>
      </c>
      <c r="I1871" s="8" t="s">
        <v>435</v>
      </c>
      <c r="J1871" s="16" t="s">
        <v>9681</v>
      </c>
      <c r="K1871" s="2" t="s">
        <v>3324</v>
      </c>
      <c r="L1871" s="8" t="s">
        <v>9682</v>
      </c>
      <c r="M1871" s="8" t="s">
        <v>27</v>
      </c>
      <c r="N1871" s="8" t="s">
        <v>9683</v>
      </c>
      <c r="O1871" s="8" t="s">
        <v>1018</v>
      </c>
      <c r="P1871" s="8" t="s">
        <v>405</v>
      </c>
      <c r="Q1871" s="12" t="s">
        <v>9684</v>
      </c>
      <c r="R1871" s="8" t="s">
        <v>100</v>
      </c>
      <c r="S1871" s="7" t="s">
        <v>28</v>
      </c>
      <c r="T1871" s="6"/>
      <c r="U1871" s="8"/>
    </row>
    <row r="1872" spans="1:24" ht="13.5" customHeight="1">
      <c r="A1872" s="8" t="s">
        <v>9685</v>
      </c>
      <c r="B1872" s="16">
        <v>42</v>
      </c>
      <c r="C1872" s="8" t="s">
        <v>20</v>
      </c>
      <c r="D1872" s="8" t="s">
        <v>37</v>
      </c>
      <c r="E1872" s="8" t="s">
        <v>9686</v>
      </c>
      <c r="F1872" s="17">
        <v>41786</v>
      </c>
      <c r="G1872" s="8" t="s">
        <v>9687</v>
      </c>
      <c r="H1872" s="8" t="s">
        <v>9688</v>
      </c>
      <c r="I1872" s="8" t="s">
        <v>69</v>
      </c>
      <c r="J1872" s="16" t="s">
        <v>9689</v>
      </c>
      <c r="K1872" s="2" t="s">
        <v>4113</v>
      </c>
      <c r="L1872" s="8" t="s">
        <v>9690</v>
      </c>
      <c r="M1872" s="8" t="s">
        <v>27</v>
      </c>
      <c r="N1872" s="8" t="s">
        <v>9691</v>
      </c>
      <c r="O1872" s="8" t="s">
        <v>554</v>
      </c>
      <c r="P1872" s="8" t="s">
        <v>405</v>
      </c>
      <c r="Q1872" s="12" t="s">
        <v>9692</v>
      </c>
      <c r="R1872" s="8" t="s">
        <v>100</v>
      </c>
      <c r="S1872" s="7" t="s">
        <v>28</v>
      </c>
      <c r="T1872" s="6"/>
      <c r="U1872" s="8"/>
    </row>
    <row r="1873" spans="1:34" ht="13.5" customHeight="1">
      <c r="A1873" s="8" t="s">
        <v>9693</v>
      </c>
      <c r="B1873" s="16">
        <v>29</v>
      </c>
      <c r="C1873" s="8" t="s">
        <v>20</v>
      </c>
      <c r="D1873" s="8" t="s">
        <v>37</v>
      </c>
      <c r="E1873" s="8" t="s">
        <v>9694</v>
      </c>
      <c r="F1873" s="17">
        <v>41786</v>
      </c>
      <c r="G1873" s="8" t="s">
        <v>9695</v>
      </c>
      <c r="H1873" s="8" t="s">
        <v>1583</v>
      </c>
      <c r="I1873" s="8" t="s">
        <v>62</v>
      </c>
      <c r="J1873" s="16" t="s">
        <v>1584</v>
      </c>
      <c r="K1873" s="2" t="s">
        <v>644</v>
      </c>
      <c r="L1873" s="8" t="s">
        <v>1585</v>
      </c>
      <c r="M1873" s="8" t="s">
        <v>27</v>
      </c>
      <c r="N1873" s="8" t="s">
        <v>9696</v>
      </c>
      <c r="O1873" s="8" t="s">
        <v>554</v>
      </c>
      <c r="P1873" s="8" t="s">
        <v>405</v>
      </c>
      <c r="Q1873" s="12" t="s">
        <v>9697</v>
      </c>
      <c r="R1873" s="8" t="s">
        <v>100</v>
      </c>
      <c r="S1873" s="7" t="s">
        <v>28</v>
      </c>
      <c r="T1873" s="6"/>
      <c r="U1873" s="8"/>
    </row>
    <row r="1874" spans="1:34" ht="13.5" customHeight="1">
      <c r="A1874" s="8" t="s">
        <v>9703</v>
      </c>
      <c r="B1874" s="16">
        <v>23</v>
      </c>
      <c r="C1874" s="8" t="s">
        <v>20</v>
      </c>
      <c r="D1874" s="8" t="s">
        <v>48</v>
      </c>
      <c r="E1874" s="8" t="s">
        <v>9704</v>
      </c>
      <c r="F1874" s="17">
        <v>41785</v>
      </c>
      <c r="G1874" s="8" t="s">
        <v>9705</v>
      </c>
      <c r="H1874" s="8" t="s">
        <v>493</v>
      </c>
      <c r="I1874" s="8" t="s">
        <v>45</v>
      </c>
      <c r="J1874" s="16" t="s">
        <v>9706</v>
      </c>
      <c r="K1874" s="2" t="s">
        <v>98</v>
      </c>
      <c r="L1874" s="8" t="s">
        <v>418</v>
      </c>
      <c r="M1874" s="8" t="s">
        <v>27</v>
      </c>
      <c r="N1874" s="8" t="s">
        <v>9707</v>
      </c>
      <c r="O1874" s="8" t="s">
        <v>1018</v>
      </c>
      <c r="P1874" s="8" t="s">
        <v>405</v>
      </c>
      <c r="Q1874" s="12" t="s">
        <v>9708</v>
      </c>
      <c r="R1874" s="8" t="s">
        <v>100</v>
      </c>
      <c r="S1874" s="7" t="s">
        <v>28</v>
      </c>
      <c r="T1874" s="6"/>
      <c r="U1874" s="8"/>
    </row>
    <row r="1875" spans="1:34" ht="13.5" customHeight="1">
      <c r="A1875" s="8" t="s">
        <v>9698</v>
      </c>
      <c r="B1875" s="16">
        <v>45</v>
      </c>
      <c r="C1875" s="8" t="s">
        <v>20</v>
      </c>
      <c r="D1875" s="8" t="s">
        <v>85</v>
      </c>
      <c r="E1875" s="8" t="s">
        <v>9699</v>
      </c>
      <c r="F1875" s="17">
        <v>41785</v>
      </c>
      <c r="G1875" s="8" t="s">
        <v>9700</v>
      </c>
      <c r="H1875" s="8" t="s">
        <v>1064</v>
      </c>
      <c r="I1875" s="8" t="s">
        <v>69</v>
      </c>
      <c r="J1875" s="16" t="s">
        <v>9701</v>
      </c>
      <c r="K1875" s="2" t="s">
        <v>1065</v>
      </c>
      <c r="L1875" s="8" t="s">
        <v>6086</v>
      </c>
      <c r="M1875" s="8" t="s">
        <v>27</v>
      </c>
      <c r="N1875" s="8" t="s">
        <v>9702</v>
      </c>
      <c r="O1875" s="8" t="s">
        <v>1018</v>
      </c>
      <c r="P1875" s="8" t="s">
        <v>405</v>
      </c>
      <c r="Q1875" s="12"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1875" s="8" t="s">
        <v>29</v>
      </c>
      <c r="S1875" s="7" t="s">
        <v>28</v>
      </c>
      <c r="T1875" s="6"/>
      <c r="U1875" s="8"/>
    </row>
    <row r="1876" spans="1:34" ht="13.5" customHeight="1">
      <c r="A1876" s="8" t="s">
        <v>9717</v>
      </c>
      <c r="B1876" s="16">
        <v>26</v>
      </c>
      <c r="C1876" s="8" t="s">
        <v>20</v>
      </c>
      <c r="D1876" s="8" t="s">
        <v>37</v>
      </c>
      <c r="E1876" s="8" t="s">
        <v>9718</v>
      </c>
      <c r="F1876" s="17">
        <v>41784</v>
      </c>
      <c r="G1876" s="8" t="s">
        <v>9719</v>
      </c>
      <c r="H1876" s="8" t="s">
        <v>434</v>
      </c>
      <c r="I1876" s="8" t="s">
        <v>435</v>
      </c>
      <c r="J1876" s="16" t="s">
        <v>9720</v>
      </c>
      <c r="K1876" s="2" t="s">
        <v>437</v>
      </c>
      <c r="L1876" s="8" t="s">
        <v>438</v>
      </c>
      <c r="M1876" s="8" t="s">
        <v>27</v>
      </c>
      <c r="N1876" s="8" t="s">
        <v>9721</v>
      </c>
      <c r="O1876" s="8" t="s">
        <v>1018</v>
      </c>
      <c r="P1876" s="8" t="s">
        <v>405</v>
      </c>
      <c r="Q1876" s="12" t="s">
        <v>9722</v>
      </c>
      <c r="R1876" s="8" t="s">
        <v>559</v>
      </c>
      <c r="S1876" s="7" t="s">
        <v>28</v>
      </c>
      <c r="T1876" s="6"/>
      <c r="U1876" s="8"/>
    </row>
    <row r="1877" spans="1:34" ht="13.5" customHeight="1">
      <c r="A1877" s="8" t="s">
        <v>9709</v>
      </c>
      <c r="B1877" s="16">
        <v>26</v>
      </c>
      <c r="C1877" s="8" t="s">
        <v>20</v>
      </c>
      <c r="D1877" s="8" t="s">
        <v>85</v>
      </c>
      <c r="E1877" s="8" t="s">
        <v>9710</v>
      </c>
      <c r="F1877" s="17">
        <v>41784</v>
      </c>
      <c r="G1877" s="8" t="s">
        <v>9711</v>
      </c>
      <c r="H1877" s="8" t="s">
        <v>9712</v>
      </c>
      <c r="I1877" s="8" t="s">
        <v>370</v>
      </c>
      <c r="J1877" s="16" t="s">
        <v>9713</v>
      </c>
      <c r="K1877" s="2" t="s">
        <v>9466</v>
      </c>
      <c r="L1877" s="8" t="s">
        <v>9714</v>
      </c>
      <c r="M1877" s="8" t="s">
        <v>27</v>
      </c>
      <c r="N1877" s="8" t="s">
        <v>9715</v>
      </c>
      <c r="O1877" s="8" t="s">
        <v>554</v>
      </c>
      <c r="P1877" s="8" t="s">
        <v>405</v>
      </c>
      <c r="Q1877" s="12" t="s">
        <v>9716</v>
      </c>
      <c r="R1877" s="8" t="s">
        <v>100</v>
      </c>
      <c r="S1877" s="7" t="s">
        <v>18</v>
      </c>
      <c r="T1877" s="6"/>
      <c r="U1877" s="8"/>
      <c r="V1877" s="8"/>
      <c r="W1877" s="8"/>
      <c r="X1877" s="8"/>
    </row>
    <row r="1878" spans="1:34" ht="13.5" customHeight="1">
      <c r="A1878" s="8" t="s">
        <v>9744</v>
      </c>
      <c r="B1878" s="16">
        <v>54</v>
      </c>
      <c r="C1878" s="8" t="s">
        <v>20</v>
      </c>
      <c r="D1878" s="8" t="s">
        <v>48</v>
      </c>
      <c r="E1878" s="8" t="s">
        <v>9745</v>
      </c>
      <c r="F1878" s="17">
        <v>41783</v>
      </c>
      <c r="G1878" s="8" t="s">
        <v>9746</v>
      </c>
      <c r="H1878" s="8" t="s">
        <v>98</v>
      </c>
      <c r="I1878" s="8" t="s">
        <v>45</v>
      </c>
      <c r="J1878" s="16" t="s">
        <v>3971</v>
      </c>
      <c r="K1878" s="2" t="s">
        <v>98</v>
      </c>
      <c r="L1878" s="8" t="s">
        <v>99</v>
      </c>
      <c r="M1878" s="8" t="s">
        <v>9747</v>
      </c>
      <c r="N1878" s="8" t="s">
        <v>9748</v>
      </c>
      <c r="O1878" s="8" t="s">
        <v>1018</v>
      </c>
      <c r="P1878" s="8" t="s">
        <v>405</v>
      </c>
      <c r="Q1878" s="12" t="s">
        <v>9749</v>
      </c>
      <c r="R1878" s="8" t="s">
        <v>559</v>
      </c>
      <c r="S1878" s="7" t="s">
        <v>18</v>
      </c>
      <c r="T1878" s="6"/>
      <c r="U1878" s="8"/>
    </row>
    <row r="1879" spans="1:34" ht="13.5" customHeight="1">
      <c r="A1879" s="8" t="s">
        <v>9736</v>
      </c>
      <c r="B1879" s="16">
        <v>17</v>
      </c>
      <c r="C1879" s="8" t="s">
        <v>20</v>
      </c>
      <c r="D1879" s="8" t="s">
        <v>48</v>
      </c>
      <c r="F1879" s="17">
        <v>41783</v>
      </c>
      <c r="G1879" s="8" t="s">
        <v>9737</v>
      </c>
      <c r="H1879" s="8" t="s">
        <v>9738</v>
      </c>
      <c r="I1879" s="8" t="s">
        <v>247</v>
      </c>
      <c r="J1879" s="16" t="s">
        <v>9739</v>
      </c>
      <c r="K1879" s="2" t="s">
        <v>9740</v>
      </c>
      <c r="L1879" s="8" t="s">
        <v>9741</v>
      </c>
      <c r="M1879" s="8" t="s">
        <v>27</v>
      </c>
      <c r="N1879" s="8" t="s">
        <v>9742</v>
      </c>
      <c r="O1879" s="8" t="s">
        <v>554</v>
      </c>
      <c r="P1879" s="8" t="s">
        <v>405</v>
      </c>
      <c r="Q1879" s="12" t="s">
        <v>9743</v>
      </c>
      <c r="R1879" s="8" t="s">
        <v>559</v>
      </c>
      <c r="S1879" s="7" t="s">
        <v>28</v>
      </c>
      <c r="T1879" s="6"/>
      <c r="U1879" s="8"/>
    </row>
    <row r="1880" spans="1:34" ht="13.5" customHeight="1">
      <c r="A1880" s="8" t="s">
        <v>9755</v>
      </c>
      <c r="B1880" s="16">
        <v>59</v>
      </c>
      <c r="C1880" s="8" t="s">
        <v>20</v>
      </c>
      <c r="D1880" s="8" t="s">
        <v>37</v>
      </c>
      <c r="E1880" s="8" t="s">
        <v>9756</v>
      </c>
      <c r="F1880" s="17">
        <v>41783</v>
      </c>
      <c r="G1880" s="8" t="s">
        <v>9757</v>
      </c>
      <c r="H1880" s="8" t="s">
        <v>9758</v>
      </c>
      <c r="I1880" s="8" t="s">
        <v>435</v>
      </c>
      <c r="J1880" s="16" t="s">
        <v>9759</v>
      </c>
      <c r="K1880" s="2" t="s">
        <v>5585</v>
      </c>
      <c r="L1880" s="8" t="s">
        <v>9760</v>
      </c>
      <c r="M1880" s="8" t="s">
        <v>27</v>
      </c>
      <c r="N1880" s="8" t="s">
        <v>9761</v>
      </c>
      <c r="O1880" s="8" t="s">
        <v>404</v>
      </c>
      <c r="P1880" s="8" t="s">
        <v>405</v>
      </c>
      <c r="Q1880" s="12" t="s">
        <v>9762</v>
      </c>
      <c r="R1880" s="8" t="s">
        <v>100</v>
      </c>
      <c r="S1880" s="7" t="s">
        <v>28</v>
      </c>
      <c r="T1880" s="6"/>
      <c r="U1880" s="8"/>
    </row>
    <row r="1881" spans="1:34" ht="13.5" customHeight="1">
      <c r="A1881" s="8" t="s">
        <v>9750</v>
      </c>
      <c r="B1881" s="16">
        <v>49</v>
      </c>
      <c r="C1881" s="8" t="s">
        <v>20</v>
      </c>
      <c r="D1881" s="8" t="s">
        <v>37</v>
      </c>
      <c r="F1881" s="17">
        <v>41783</v>
      </c>
      <c r="G1881" s="8" t="s">
        <v>9751</v>
      </c>
      <c r="H1881" s="8" t="s">
        <v>9752</v>
      </c>
      <c r="I1881" s="8" t="s">
        <v>45</v>
      </c>
      <c r="J1881" s="16" t="s">
        <v>9753</v>
      </c>
      <c r="K1881" s="2" t="s">
        <v>687</v>
      </c>
      <c r="L1881" s="8" t="s">
        <v>755</v>
      </c>
      <c r="M1881" s="8" t="s">
        <v>27</v>
      </c>
      <c r="N1881" s="8" t="s">
        <v>9754</v>
      </c>
      <c r="O1881" s="8" t="s">
        <v>1018</v>
      </c>
      <c r="P1881" s="8" t="s">
        <v>405</v>
      </c>
      <c r="Q1881" s="12" t="str">
        <f>HYPERLINK("http://www.bakersfieldnow.com/news/local/1-shot-killed-by-KC-deputy-in-Lebec-260562651.html","http://www.bakersfieldnow.com/news/local/1-shot-killed-by-KC-deputy-in-Lebec-260562651.html")</f>
        <v>http://www.bakersfieldnow.com/news/local/1-shot-killed-by-KC-deputy-in-Lebec-260562651.html</v>
      </c>
      <c r="R1881" s="8" t="s">
        <v>100</v>
      </c>
      <c r="S1881" s="7" t="s">
        <v>28</v>
      </c>
      <c r="T1881" s="6"/>
      <c r="U1881" s="8"/>
    </row>
    <row r="1882" spans="1:34" ht="13.5" customHeight="1">
      <c r="A1882" s="8" t="s">
        <v>9723</v>
      </c>
      <c r="B1882" s="16">
        <v>62</v>
      </c>
      <c r="C1882" s="8" t="s">
        <v>20</v>
      </c>
      <c r="D1882" s="8" t="s">
        <v>85</v>
      </c>
      <c r="F1882" s="17">
        <v>41783</v>
      </c>
      <c r="G1882" s="8" t="s">
        <v>9724</v>
      </c>
      <c r="H1882" s="8" t="s">
        <v>87</v>
      </c>
      <c r="I1882" s="8" t="s">
        <v>44</v>
      </c>
      <c r="J1882" s="16" t="s">
        <v>9725</v>
      </c>
      <c r="K1882" s="2" t="s">
        <v>88</v>
      </c>
      <c r="L1882" s="8" t="s">
        <v>89</v>
      </c>
      <c r="M1882" s="8" t="s">
        <v>27</v>
      </c>
      <c r="N1882" s="8" t="s">
        <v>9726</v>
      </c>
      <c r="O1882" s="8" t="s">
        <v>1018</v>
      </c>
      <c r="P1882" s="8" t="s">
        <v>405</v>
      </c>
      <c r="Q1882" s="12" t="s">
        <v>9727</v>
      </c>
      <c r="R1882" s="8" t="s">
        <v>29</v>
      </c>
      <c r="S1882" s="7" t="s">
        <v>28</v>
      </c>
      <c r="T1882" s="6"/>
      <c r="U1882" s="8"/>
    </row>
    <row r="1883" spans="1:34" ht="13.5" customHeight="1">
      <c r="A1883" s="8" t="s">
        <v>9728</v>
      </c>
      <c r="B1883" s="16">
        <v>27</v>
      </c>
      <c r="C1883" s="8" t="s">
        <v>20</v>
      </c>
      <c r="D1883" s="8" t="s">
        <v>85</v>
      </c>
      <c r="E1883" s="8" t="s">
        <v>9729</v>
      </c>
      <c r="F1883" s="17">
        <v>41783</v>
      </c>
      <c r="G1883" s="8" t="s">
        <v>9730</v>
      </c>
      <c r="H1883" s="8" t="s">
        <v>9731</v>
      </c>
      <c r="I1883" s="8" t="s">
        <v>427</v>
      </c>
      <c r="J1883" s="16" t="s">
        <v>9732</v>
      </c>
      <c r="K1883" s="2" t="s">
        <v>2489</v>
      </c>
      <c r="L1883" s="8" t="s">
        <v>9733</v>
      </c>
      <c r="M1883" s="8" t="s">
        <v>27</v>
      </c>
      <c r="N1883" s="8" t="s">
        <v>9734</v>
      </c>
      <c r="O1883" s="8" t="s">
        <v>1018</v>
      </c>
      <c r="P1883" s="8" t="s">
        <v>405</v>
      </c>
      <c r="Q1883" s="12" t="s">
        <v>9735</v>
      </c>
      <c r="R1883" s="8" t="s">
        <v>972</v>
      </c>
      <c r="S1883" s="7" t="s">
        <v>28</v>
      </c>
      <c r="T1883" s="6"/>
      <c r="U1883" s="8"/>
    </row>
    <row r="1884" spans="1:34" ht="13.5" customHeight="1">
      <c r="A1884" s="8" t="s">
        <v>9763</v>
      </c>
      <c r="B1884" s="16">
        <v>42</v>
      </c>
      <c r="C1884" s="8" t="s">
        <v>20</v>
      </c>
      <c r="D1884" s="8" t="s">
        <v>30</v>
      </c>
      <c r="F1884" s="17">
        <v>41782</v>
      </c>
      <c r="G1884" s="8" t="s">
        <v>9764</v>
      </c>
      <c r="H1884" s="8" t="s">
        <v>1656</v>
      </c>
      <c r="I1884" s="8" t="s">
        <v>45</v>
      </c>
      <c r="J1884" s="16" t="s">
        <v>1657</v>
      </c>
      <c r="K1884" s="2" t="s">
        <v>1658</v>
      </c>
      <c r="L1884" s="8" t="s">
        <v>1659</v>
      </c>
      <c r="M1884" s="8" t="s">
        <v>27</v>
      </c>
      <c r="N1884" s="8" t="s">
        <v>9765</v>
      </c>
      <c r="O1884" s="8" t="s">
        <v>4742</v>
      </c>
      <c r="P1884" s="8" t="s">
        <v>405</v>
      </c>
      <c r="Q1884" s="12" t="s">
        <v>9766</v>
      </c>
      <c r="R1884" s="8" t="s">
        <v>100</v>
      </c>
      <c r="S1884" s="7" t="s">
        <v>18</v>
      </c>
      <c r="T1884" s="6"/>
      <c r="U1884" s="8"/>
    </row>
    <row r="1885" spans="1:34" ht="13.5" customHeight="1">
      <c r="A1885" s="8" t="s">
        <v>9767</v>
      </c>
      <c r="B1885" s="16">
        <v>44</v>
      </c>
      <c r="C1885" s="8" t="s">
        <v>20</v>
      </c>
      <c r="D1885" s="8" t="s">
        <v>85</v>
      </c>
      <c r="E1885" s="8" t="s">
        <v>9768</v>
      </c>
      <c r="F1885" s="17">
        <v>41781</v>
      </c>
      <c r="G1885" s="8" t="s">
        <v>9769</v>
      </c>
      <c r="H1885" s="8" t="s">
        <v>434</v>
      </c>
      <c r="I1885" s="8" t="s">
        <v>367</v>
      </c>
      <c r="J1885" s="16" t="s">
        <v>9770</v>
      </c>
      <c r="K1885" s="2" t="s">
        <v>604</v>
      </c>
      <c r="L1885" s="8" t="s">
        <v>2140</v>
      </c>
      <c r="M1885" s="8" t="s">
        <v>8430</v>
      </c>
      <c r="N1885" s="8" t="s">
        <v>9771</v>
      </c>
      <c r="O1885" s="8" t="s">
        <v>4742</v>
      </c>
      <c r="P1885" s="8" t="s">
        <v>405</v>
      </c>
      <c r="Q1885" s="12" t="s">
        <v>9772</v>
      </c>
      <c r="R1885" s="8" t="s">
        <v>100</v>
      </c>
      <c r="S1885" s="7" t="s">
        <v>18</v>
      </c>
      <c r="T1885" s="6"/>
      <c r="U1885" s="8"/>
    </row>
    <row r="1886" spans="1:34" ht="13.5" customHeight="1">
      <c r="A1886" s="8" t="s">
        <v>9779</v>
      </c>
      <c r="B1886" s="16">
        <v>34</v>
      </c>
      <c r="C1886" s="8" t="s">
        <v>20</v>
      </c>
      <c r="D1886" s="8" t="s">
        <v>37</v>
      </c>
      <c r="F1886" s="17">
        <v>41781</v>
      </c>
      <c r="G1886" s="8" t="s">
        <v>9780</v>
      </c>
      <c r="H1886" s="8" t="s">
        <v>9781</v>
      </c>
      <c r="I1886" s="8" t="s">
        <v>175</v>
      </c>
      <c r="J1886" s="16" t="s">
        <v>9782</v>
      </c>
      <c r="K1886" s="2" t="s">
        <v>9783</v>
      </c>
      <c r="L1886" s="8" t="s">
        <v>9784</v>
      </c>
      <c r="M1886" s="8" t="s">
        <v>27</v>
      </c>
      <c r="N1886" s="8" t="s">
        <v>9785</v>
      </c>
      <c r="O1886" s="8" t="s">
        <v>554</v>
      </c>
      <c r="P1886" s="8" t="s">
        <v>405</v>
      </c>
      <c r="Q1886" s="12" t="s">
        <v>9786</v>
      </c>
      <c r="R1886" s="8" t="s">
        <v>972</v>
      </c>
      <c r="S1886" s="7" t="s">
        <v>35</v>
      </c>
      <c r="T1886" s="6"/>
      <c r="U1886" s="8"/>
    </row>
    <row r="1887" spans="1:34" ht="13.5" customHeight="1">
      <c r="A1887" s="8" t="s">
        <v>9773</v>
      </c>
      <c r="B1887" s="16" t="s">
        <v>8822</v>
      </c>
      <c r="C1887" s="8" t="s">
        <v>20</v>
      </c>
      <c r="D1887" s="8" t="s">
        <v>48</v>
      </c>
      <c r="E1887" s="8" t="s">
        <v>9774</v>
      </c>
      <c r="F1887" s="17">
        <v>41781</v>
      </c>
      <c r="G1887" s="8" t="s">
        <v>9775</v>
      </c>
      <c r="H1887" s="8" t="s">
        <v>930</v>
      </c>
      <c r="I1887" s="8" t="s">
        <v>198</v>
      </c>
      <c r="J1887" s="16" t="s">
        <v>9776</v>
      </c>
      <c r="K1887" s="2" t="s">
        <v>471</v>
      </c>
      <c r="L1887" s="8" t="s">
        <v>5024</v>
      </c>
      <c r="M1887" s="8" t="s">
        <v>27</v>
      </c>
      <c r="N1887" s="8" t="s">
        <v>9777</v>
      </c>
      <c r="O1887" s="8" t="s">
        <v>29</v>
      </c>
      <c r="P1887" s="8" t="s">
        <v>405</v>
      </c>
      <c r="Q1887" s="12" t="s">
        <v>9778</v>
      </c>
      <c r="R1887" s="8" t="s">
        <v>100</v>
      </c>
      <c r="S1887" s="7" t="s">
        <v>28</v>
      </c>
      <c r="T1887" s="6"/>
      <c r="U1887" s="8"/>
      <c r="Y1887" s="8"/>
      <c r="Z1887" s="8"/>
      <c r="AA1887" s="8"/>
      <c r="AB1887" s="8"/>
      <c r="AC1887" s="8"/>
      <c r="AD1887" s="8"/>
      <c r="AE1887" s="8"/>
      <c r="AF1887" s="8"/>
      <c r="AG1887" s="8"/>
      <c r="AH1887" s="8"/>
    </row>
    <row r="1888" spans="1:34" ht="13.5" customHeight="1">
      <c r="A1888" s="8" t="s">
        <v>9787</v>
      </c>
      <c r="B1888" s="16">
        <v>20</v>
      </c>
      <c r="C1888" s="8" t="s">
        <v>20</v>
      </c>
      <c r="D1888" s="8" t="s">
        <v>85</v>
      </c>
      <c r="E1888" s="8" t="s">
        <v>9788</v>
      </c>
      <c r="F1888" s="17">
        <v>41780</v>
      </c>
      <c r="G1888" s="8" t="s">
        <v>9789</v>
      </c>
      <c r="H1888" s="8" t="s">
        <v>1069</v>
      </c>
      <c r="I1888" s="8" t="s">
        <v>62</v>
      </c>
      <c r="J1888" s="16" t="s">
        <v>9790</v>
      </c>
      <c r="K1888" s="2" t="s">
        <v>1070</v>
      </c>
      <c r="L1888" s="8" t="s">
        <v>1071</v>
      </c>
      <c r="M1888" s="8" t="s">
        <v>27</v>
      </c>
      <c r="N1888" s="8" t="s">
        <v>9791</v>
      </c>
      <c r="O1888" s="8" t="s">
        <v>4742</v>
      </c>
      <c r="P1888" s="8" t="s">
        <v>405</v>
      </c>
      <c r="Q1888" s="12" t="s">
        <v>9792</v>
      </c>
      <c r="R1888" s="8" t="s">
        <v>100</v>
      </c>
      <c r="S1888" s="7" t="s">
        <v>28</v>
      </c>
      <c r="T1888" s="6"/>
      <c r="U1888" s="8"/>
    </row>
    <row r="1889" spans="1:21" ht="13.5" customHeight="1">
      <c r="A1889" s="8" t="s">
        <v>9793</v>
      </c>
      <c r="B1889" s="16">
        <v>31</v>
      </c>
      <c r="C1889" s="8" t="s">
        <v>20</v>
      </c>
      <c r="D1889" s="8" t="s">
        <v>48</v>
      </c>
      <c r="E1889" s="8" t="s">
        <v>9794</v>
      </c>
      <c r="F1889" s="17">
        <v>41780</v>
      </c>
      <c r="G1889" s="8" t="s">
        <v>9795</v>
      </c>
      <c r="H1889" s="8" t="s">
        <v>1720</v>
      </c>
      <c r="I1889" s="8" t="s">
        <v>212</v>
      </c>
      <c r="J1889" s="16" t="s">
        <v>1721</v>
      </c>
      <c r="K1889" s="2" t="s">
        <v>1722</v>
      </c>
      <c r="L1889" s="8" t="s">
        <v>1723</v>
      </c>
      <c r="M1889" s="8" t="s">
        <v>27</v>
      </c>
      <c r="N1889" s="8" t="s">
        <v>9796</v>
      </c>
      <c r="O1889" s="8" t="s">
        <v>554</v>
      </c>
      <c r="P1889" s="8" t="s">
        <v>405</v>
      </c>
      <c r="Q1889" s="12" t="s">
        <v>9797</v>
      </c>
      <c r="R1889" s="8" t="s">
        <v>100</v>
      </c>
      <c r="S1889" s="7" t="s">
        <v>28</v>
      </c>
      <c r="T1889" s="6"/>
      <c r="U1889" s="8"/>
    </row>
    <row r="1890" spans="1:21" ht="13.5" customHeight="1">
      <c r="A1890" s="8" t="s">
        <v>9798</v>
      </c>
      <c r="B1890" s="16">
        <v>28</v>
      </c>
      <c r="C1890" s="8" t="s">
        <v>20</v>
      </c>
      <c r="D1890" s="8" t="s">
        <v>37</v>
      </c>
      <c r="E1890" s="8" t="s">
        <v>9799</v>
      </c>
      <c r="F1890" s="17">
        <v>41780</v>
      </c>
      <c r="G1890" s="8" t="s">
        <v>9800</v>
      </c>
      <c r="H1890" s="8" t="s">
        <v>565</v>
      </c>
      <c r="I1890" s="8" t="s">
        <v>124</v>
      </c>
      <c r="J1890" s="16" t="s">
        <v>7491</v>
      </c>
      <c r="K1890" s="2" t="s">
        <v>566</v>
      </c>
      <c r="L1890" s="8" t="s">
        <v>567</v>
      </c>
      <c r="M1890" s="8" t="s">
        <v>27</v>
      </c>
      <c r="N1890" s="8" t="s">
        <v>9801</v>
      </c>
      <c r="O1890" s="8" t="s">
        <v>4742</v>
      </c>
      <c r="P1890" s="8" t="s">
        <v>405</v>
      </c>
      <c r="Q1890" s="12" t="s">
        <v>9802</v>
      </c>
      <c r="R1890" s="8" t="s">
        <v>100</v>
      </c>
      <c r="S1890" s="7" t="s">
        <v>18</v>
      </c>
      <c r="T1890" s="6"/>
      <c r="U1890" s="8"/>
    </row>
    <row r="1891" spans="1:21" ht="13.5" customHeight="1">
      <c r="A1891" s="8" t="s">
        <v>9803</v>
      </c>
      <c r="B1891" s="16">
        <v>44</v>
      </c>
      <c r="C1891" s="8" t="s">
        <v>20</v>
      </c>
      <c r="D1891" s="8" t="s">
        <v>48</v>
      </c>
      <c r="F1891" s="17">
        <v>41779</v>
      </c>
      <c r="G1891" s="8" t="s">
        <v>9804</v>
      </c>
      <c r="H1891" s="8" t="s">
        <v>6421</v>
      </c>
      <c r="I1891" s="8" t="s">
        <v>45</v>
      </c>
      <c r="J1891" s="16" t="s">
        <v>6422</v>
      </c>
      <c r="K1891" s="2" t="s">
        <v>65</v>
      </c>
      <c r="L1891" s="8" t="s">
        <v>6423</v>
      </c>
      <c r="M1891" s="8" t="s">
        <v>27</v>
      </c>
      <c r="N1891" s="8" t="s">
        <v>9805</v>
      </c>
      <c r="O1891" s="8" t="s">
        <v>4742</v>
      </c>
      <c r="P1891" s="8" t="s">
        <v>405</v>
      </c>
      <c r="Q1891" s="12" t="s">
        <v>9806</v>
      </c>
      <c r="R1891" s="8" t="s">
        <v>100</v>
      </c>
      <c r="S1891" s="7" t="s">
        <v>28</v>
      </c>
      <c r="T1891" s="6"/>
      <c r="U1891" s="8"/>
    </row>
    <row r="1892" spans="1:21" ht="13.5" customHeight="1">
      <c r="A1892" s="8" t="s">
        <v>9807</v>
      </c>
      <c r="B1892" s="16">
        <v>26</v>
      </c>
      <c r="C1892" s="8" t="s">
        <v>20</v>
      </c>
      <c r="D1892" s="8" t="s">
        <v>48</v>
      </c>
      <c r="E1892" s="8" t="s">
        <v>9808</v>
      </c>
      <c r="F1892" s="17">
        <v>41779</v>
      </c>
      <c r="G1892" s="8" t="s">
        <v>9809</v>
      </c>
      <c r="H1892" s="8" t="s">
        <v>203</v>
      </c>
      <c r="I1892" s="8" t="s">
        <v>45</v>
      </c>
      <c r="J1892" s="16" t="s">
        <v>9810</v>
      </c>
      <c r="K1892" s="2" t="s">
        <v>203</v>
      </c>
      <c r="L1892" s="8" t="s">
        <v>204</v>
      </c>
      <c r="M1892" s="8" t="s">
        <v>27</v>
      </c>
      <c r="N1892" s="8" t="s">
        <v>9811</v>
      </c>
      <c r="O1892" s="8" t="s">
        <v>1018</v>
      </c>
      <c r="P1892" s="8" t="s">
        <v>405</v>
      </c>
      <c r="Q1892" s="12" t="s">
        <v>9812</v>
      </c>
      <c r="R1892" s="8" t="s">
        <v>972</v>
      </c>
      <c r="S1892" s="7" t="s">
        <v>28</v>
      </c>
      <c r="T1892" s="6"/>
      <c r="U1892" s="8"/>
    </row>
    <row r="1893" spans="1:21" ht="13.5" customHeight="1">
      <c r="A1893" s="8" t="s">
        <v>9813</v>
      </c>
      <c r="B1893" s="16">
        <v>27</v>
      </c>
      <c r="C1893" s="8" t="s">
        <v>115</v>
      </c>
      <c r="D1893" s="8" t="s">
        <v>30</v>
      </c>
      <c r="F1893" s="17">
        <v>41779</v>
      </c>
      <c r="G1893" s="8" t="s">
        <v>9814</v>
      </c>
      <c r="H1893" s="8" t="s">
        <v>992</v>
      </c>
      <c r="I1893" s="8" t="s">
        <v>73</v>
      </c>
      <c r="J1893" s="16" t="s">
        <v>9815</v>
      </c>
      <c r="K1893" s="2" t="s">
        <v>1065</v>
      </c>
      <c r="L1893" s="8" t="s">
        <v>9816</v>
      </c>
      <c r="M1893" s="8" t="s">
        <v>27</v>
      </c>
      <c r="N1893" s="8" t="s">
        <v>9817</v>
      </c>
      <c r="O1893" s="8" t="s">
        <v>1018</v>
      </c>
      <c r="P1893" s="8" t="s">
        <v>405</v>
      </c>
      <c r="Q1893" s="12" t="s">
        <v>9818</v>
      </c>
      <c r="R1893" s="8" t="s">
        <v>972</v>
      </c>
      <c r="S1893" s="7" t="s">
        <v>28</v>
      </c>
      <c r="T1893" s="6"/>
      <c r="U1893" s="8"/>
    </row>
    <row r="1894" spans="1:21" ht="13.5" customHeight="1">
      <c r="A1894" s="8" t="s">
        <v>9849</v>
      </c>
      <c r="B1894" s="16">
        <v>25</v>
      </c>
      <c r="C1894" s="8" t="s">
        <v>20</v>
      </c>
      <c r="D1894" s="8" t="s">
        <v>37</v>
      </c>
      <c r="E1894" s="8" t="str">
        <f>HYPERLINK("https://www.facebook.com/curtise.welford","https://www.facebook.com/curtise.welford")</f>
        <v>https://www.facebook.com/curtise.welford</v>
      </c>
      <c r="F1894" s="17">
        <v>41778</v>
      </c>
      <c r="G1894" s="8" t="s">
        <v>9850</v>
      </c>
      <c r="H1894" s="8" t="s">
        <v>9851</v>
      </c>
      <c r="I1894" s="8" t="s">
        <v>675</v>
      </c>
      <c r="J1894" s="16" t="s">
        <v>9852</v>
      </c>
      <c r="K1894" s="2" t="s">
        <v>7138</v>
      </c>
      <c r="L1894" s="8" t="s">
        <v>9853</v>
      </c>
      <c r="M1894" s="8" t="s">
        <v>27</v>
      </c>
      <c r="N1894" s="8" t="s">
        <v>9854</v>
      </c>
      <c r="O1894" s="8" t="s">
        <v>4742</v>
      </c>
      <c r="P1894" s="8" t="s">
        <v>405</v>
      </c>
      <c r="Q1894" s="12" t="s">
        <v>9855</v>
      </c>
      <c r="R1894" s="8" t="s">
        <v>100</v>
      </c>
      <c r="S1894" s="7" t="s">
        <v>28</v>
      </c>
      <c r="T1894" s="6"/>
      <c r="U1894" s="8"/>
    </row>
    <row r="1895" spans="1:21" ht="13.5" customHeight="1">
      <c r="A1895" s="8" t="s">
        <v>9842</v>
      </c>
      <c r="B1895" s="16">
        <v>41</v>
      </c>
      <c r="C1895" s="8" t="s">
        <v>20</v>
      </c>
      <c r="D1895" s="8" t="s">
        <v>30</v>
      </c>
      <c r="F1895" s="17">
        <v>41778</v>
      </c>
      <c r="G1895" s="8" t="s">
        <v>9843</v>
      </c>
      <c r="H1895" s="8" t="s">
        <v>9844</v>
      </c>
      <c r="I1895" s="8" t="s">
        <v>370</v>
      </c>
      <c r="J1895" s="16" t="s">
        <v>9845</v>
      </c>
      <c r="K1895" s="2" t="s">
        <v>4016</v>
      </c>
      <c r="L1895" s="8" t="s">
        <v>9846</v>
      </c>
      <c r="M1895" s="8" t="s">
        <v>27</v>
      </c>
      <c r="N1895" s="8" t="s">
        <v>9847</v>
      </c>
      <c r="O1895" s="8" t="s">
        <v>1018</v>
      </c>
      <c r="P1895" s="8" t="s">
        <v>405</v>
      </c>
      <c r="Q1895" s="12" t="s">
        <v>9848</v>
      </c>
      <c r="R1895" s="8" t="s">
        <v>29</v>
      </c>
      <c r="S1895" s="7" t="s">
        <v>28</v>
      </c>
      <c r="T1895" s="6"/>
      <c r="U1895" s="8"/>
    </row>
    <row r="1896" spans="1:21" ht="13.5" customHeight="1">
      <c r="A1896" s="8" t="s">
        <v>9825</v>
      </c>
      <c r="B1896" s="16">
        <v>37</v>
      </c>
      <c r="C1896" s="8" t="s">
        <v>20</v>
      </c>
      <c r="D1896" s="8" t="s">
        <v>48</v>
      </c>
      <c r="E1896" s="8" t="s">
        <v>9826</v>
      </c>
      <c r="F1896" s="17">
        <v>41778</v>
      </c>
      <c r="G1896" s="8" t="s">
        <v>9827</v>
      </c>
      <c r="H1896" s="8" t="s">
        <v>9828</v>
      </c>
      <c r="I1896" s="8" t="s">
        <v>52</v>
      </c>
      <c r="J1896" s="16" t="s">
        <v>9829</v>
      </c>
      <c r="K1896" s="2" t="s">
        <v>9830</v>
      </c>
      <c r="L1896" s="8" t="s">
        <v>9831</v>
      </c>
      <c r="M1896" s="8" t="s">
        <v>27</v>
      </c>
      <c r="N1896" s="8" t="s">
        <v>9832</v>
      </c>
      <c r="O1896" s="8" t="s">
        <v>1018</v>
      </c>
      <c r="P1896" s="8" t="s">
        <v>405</v>
      </c>
      <c r="Q1896" s="12" t="s">
        <v>9833</v>
      </c>
      <c r="R1896" s="8" t="s">
        <v>100</v>
      </c>
      <c r="S1896" s="7" t="s">
        <v>28</v>
      </c>
      <c r="T1896" s="6"/>
      <c r="U1896" s="8"/>
    </row>
    <row r="1897" spans="1:21" ht="13.5" customHeight="1">
      <c r="A1897" s="8" t="s">
        <v>9819</v>
      </c>
      <c r="B1897" s="16">
        <v>39</v>
      </c>
      <c r="C1897" s="8" t="s">
        <v>20</v>
      </c>
      <c r="D1897" s="8" t="s">
        <v>85</v>
      </c>
      <c r="E1897" s="8" t="s">
        <v>9820</v>
      </c>
      <c r="F1897" s="17">
        <v>41778</v>
      </c>
      <c r="G1897" s="8" t="s">
        <v>9821</v>
      </c>
      <c r="H1897" s="8" t="s">
        <v>762</v>
      </c>
      <c r="I1897" s="8" t="s">
        <v>427</v>
      </c>
      <c r="J1897" s="16" t="s">
        <v>9822</v>
      </c>
      <c r="K1897" s="2" t="s">
        <v>762</v>
      </c>
      <c r="L1897" s="8" t="s">
        <v>586</v>
      </c>
      <c r="M1897" s="8" t="s">
        <v>27</v>
      </c>
      <c r="N1897" s="8" t="s">
        <v>9823</v>
      </c>
      <c r="O1897" s="8" t="s">
        <v>1018</v>
      </c>
      <c r="P1897" s="8" t="s">
        <v>405</v>
      </c>
      <c r="Q1897" s="12" t="s">
        <v>9824</v>
      </c>
      <c r="R1897" s="8" t="s">
        <v>972</v>
      </c>
      <c r="S1897" s="7" t="s">
        <v>28</v>
      </c>
      <c r="T1897" s="6"/>
      <c r="U1897" s="8"/>
    </row>
    <row r="1898" spans="1:21" ht="13.5" customHeight="1">
      <c r="A1898" s="8" t="s">
        <v>9834</v>
      </c>
      <c r="B1898" s="16">
        <v>56</v>
      </c>
      <c r="C1898" s="8" t="s">
        <v>20</v>
      </c>
      <c r="D1898" s="8" t="s">
        <v>30</v>
      </c>
      <c r="F1898" s="17">
        <v>41778</v>
      </c>
      <c r="G1898" s="8" t="s">
        <v>9835</v>
      </c>
      <c r="H1898" s="8" t="s">
        <v>9836</v>
      </c>
      <c r="I1898" s="8" t="s">
        <v>62</v>
      </c>
      <c r="J1898" s="16" t="s">
        <v>9837</v>
      </c>
      <c r="K1898" s="2" t="s">
        <v>9838</v>
      </c>
      <c r="L1898" s="8" t="s">
        <v>9839</v>
      </c>
      <c r="M1898" s="8" t="s">
        <v>27</v>
      </c>
      <c r="N1898" s="8" t="s">
        <v>9840</v>
      </c>
      <c r="O1898" s="8" t="s">
        <v>1018</v>
      </c>
      <c r="P1898" s="8" t="s">
        <v>405</v>
      </c>
      <c r="Q1898" s="12" t="s">
        <v>9841</v>
      </c>
      <c r="R1898" s="8" t="s">
        <v>100</v>
      </c>
      <c r="S1898" s="7" t="s">
        <v>28</v>
      </c>
      <c r="T1898" s="6"/>
      <c r="U1898" s="8"/>
    </row>
    <row r="1899" spans="1:21" ht="13.5" customHeight="1">
      <c r="A1899" s="8" t="s">
        <v>9873</v>
      </c>
      <c r="B1899" s="16">
        <v>26</v>
      </c>
      <c r="C1899" s="8" t="s">
        <v>115</v>
      </c>
      <c r="D1899" s="8" t="s">
        <v>37</v>
      </c>
      <c r="E1899" s="8" t="s">
        <v>9874</v>
      </c>
      <c r="F1899" s="17">
        <v>41777</v>
      </c>
      <c r="G1899" s="8" t="s">
        <v>9875</v>
      </c>
      <c r="H1899" s="8" t="s">
        <v>2179</v>
      </c>
      <c r="I1899" s="8" t="s">
        <v>442</v>
      </c>
      <c r="J1899" s="16" t="s">
        <v>9876</v>
      </c>
      <c r="K1899" s="2" t="s">
        <v>9877</v>
      </c>
      <c r="L1899" s="8" t="s">
        <v>3887</v>
      </c>
      <c r="M1899" s="8" t="s">
        <v>27</v>
      </c>
      <c r="N1899" s="8" t="s">
        <v>9878</v>
      </c>
      <c r="O1899" s="8" t="s">
        <v>1018</v>
      </c>
      <c r="P1899" s="8" t="s">
        <v>405</v>
      </c>
      <c r="Q1899" s="12" t="s">
        <v>9879</v>
      </c>
      <c r="R1899" s="8" t="s">
        <v>100</v>
      </c>
      <c r="S1899" s="7" t="s">
        <v>28</v>
      </c>
      <c r="T1899" s="6"/>
      <c r="U1899" s="8"/>
    </row>
    <row r="1900" spans="1:21" ht="13.5" customHeight="1">
      <c r="A1900" s="8" t="s">
        <v>9866</v>
      </c>
      <c r="B1900" s="16">
        <v>24</v>
      </c>
      <c r="C1900" s="8" t="s">
        <v>20</v>
      </c>
      <c r="D1900" s="8" t="s">
        <v>37</v>
      </c>
      <c r="F1900" s="17">
        <v>41777</v>
      </c>
      <c r="G1900" s="8" t="s">
        <v>9867</v>
      </c>
      <c r="H1900" s="8" t="s">
        <v>9868</v>
      </c>
      <c r="I1900" s="8" t="s">
        <v>45</v>
      </c>
      <c r="J1900" s="16" t="s">
        <v>9869</v>
      </c>
      <c r="K1900" s="2" t="s">
        <v>5303</v>
      </c>
      <c r="L1900" s="8" t="s">
        <v>9870</v>
      </c>
      <c r="M1900" s="8" t="s">
        <v>27</v>
      </c>
      <c r="N1900" s="8" t="s">
        <v>9871</v>
      </c>
      <c r="O1900" s="8" t="s">
        <v>1018</v>
      </c>
      <c r="P1900" s="8" t="s">
        <v>405</v>
      </c>
      <c r="Q1900" s="12" t="s">
        <v>9872</v>
      </c>
      <c r="R1900" s="8" t="s">
        <v>559</v>
      </c>
      <c r="S1900" s="7" t="s">
        <v>28</v>
      </c>
      <c r="T1900" s="6"/>
      <c r="U1900" s="8"/>
    </row>
    <row r="1901" spans="1:21" ht="13.5" customHeight="1">
      <c r="A1901" s="8" t="s">
        <v>9856</v>
      </c>
      <c r="B1901" s="16">
        <v>21</v>
      </c>
      <c r="C1901" s="8" t="s">
        <v>20</v>
      </c>
      <c r="D1901" s="8" t="s">
        <v>85</v>
      </c>
      <c r="F1901" s="17">
        <v>41777</v>
      </c>
      <c r="G1901" s="8" t="s">
        <v>9857</v>
      </c>
      <c r="H1901" s="8" t="s">
        <v>9858</v>
      </c>
      <c r="I1901" s="8" t="s">
        <v>986</v>
      </c>
      <c r="J1901" s="16" t="s">
        <v>9859</v>
      </c>
      <c r="K1901" s="2" t="s">
        <v>2521</v>
      </c>
      <c r="L1901" s="8" t="s">
        <v>9860</v>
      </c>
      <c r="M1901" s="8" t="s">
        <v>27</v>
      </c>
      <c r="N1901" s="8" t="s">
        <v>9861</v>
      </c>
      <c r="O1901" s="8" t="s">
        <v>1018</v>
      </c>
      <c r="P1901" s="8" t="s">
        <v>405</v>
      </c>
      <c r="Q1901" s="12" t="s">
        <v>9862</v>
      </c>
      <c r="R1901" s="8" t="s">
        <v>100</v>
      </c>
      <c r="S1901" s="7" t="s">
        <v>28</v>
      </c>
      <c r="T1901" s="6"/>
      <c r="U1901" s="8"/>
    </row>
    <row r="1902" spans="1:21" ht="13.5" customHeight="1">
      <c r="A1902" s="8" t="s">
        <v>9863</v>
      </c>
      <c r="B1902" s="16">
        <v>44</v>
      </c>
      <c r="C1902" s="8" t="s">
        <v>115</v>
      </c>
      <c r="D1902" s="8" t="s">
        <v>30</v>
      </c>
      <c r="F1902" s="17">
        <v>41777</v>
      </c>
      <c r="G1902" s="8" t="s">
        <v>9864</v>
      </c>
      <c r="H1902" s="8" t="s">
        <v>579</v>
      </c>
      <c r="I1902" s="8" t="s">
        <v>73</v>
      </c>
      <c r="J1902" s="16" t="s">
        <v>1596</v>
      </c>
      <c r="K1902" s="2" t="s">
        <v>580</v>
      </c>
      <c r="L1902" s="8" t="s">
        <v>581</v>
      </c>
      <c r="M1902" s="8" t="s">
        <v>27</v>
      </c>
      <c r="N1902" s="8" t="s">
        <v>9865</v>
      </c>
      <c r="O1902" s="8" t="s">
        <v>1018</v>
      </c>
      <c r="P1902" s="8" t="s">
        <v>405</v>
      </c>
      <c r="Q1902" s="12" t="str">
        <f>HYPERLINK("http://www.expressnews.com/news/local/article/Officer-shoots-kills-woman-who-police-said-5490353.php","http://www.expressnews.com/news/local/article/Officer-shoots-kills-woman-who-police-said-5490353.php")</f>
        <v>http://www.expressnews.com/news/local/article/Officer-shoots-kills-woman-who-police-said-5490353.php</v>
      </c>
      <c r="R1902" s="8" t="s">
        <v>29</v>
      </c>
      <c r="S1902" s="7" t="s">
        <v>28</v>
      </c>
      <c r="T1902" s="6"/>
      <c r="U1902" s="8"/>
    </row>
    <row r="1903" spans="1:21" ht="13.5" customHeight="1">
      <c r="A1903" s="8" t="s">
        <v>9880</v>
      </c>
      <c r="B1903" s="16">
        <v>47</v>
      </c>
      <c r="C1903" s="8" t="s">
        <v>20</v>
      </c>
      <c r="D1903" s="8" t="s">
        <v>37</v>
      </c>
      <c r="E1903" s="8" t="str">
        <f>HYPERLINK("http://nrvnews.com/wp-content/uploads/2014/05/saunders_thomas_neil.jpg","http://nrvnews.com/wp-content/uploads/2014/05/saunders_thomas_neil.jpg")</f>
        <v>http://nrvnews.com/wp-content/uploads/2014/05/saunders_thomas_neil.jpg</v>
      </c>
      <c r="F1903" s="17">
        <v>41777</v>
      </c>
      <c r="G1903" s="8" t="s">
        <v>9881</v>
      </c>
      <c r="H1903" s="8" t="s">
        <v>9882</v>
      </c>
      <c r="I1903" s="8" t="s">
        <v>247</v>
      </c>
      <c r="J1903" s="16" t="s">
        <v>9883</v>
      </c>
      <c r="K1903" s="2" t="s">
        <v>9884</v>
      </c>
      <c r="L1903" s="8" t="s">
        <v>9885</v>
      </c>
      <c r="M1903" s="8" t="s">
        <v>27</v>
      </c>
      <c r="N1903" s="8" t="s">
        <v>9886</v>
      </c>
      <c r="O1903" s="8" t="s">
        <v>404</v>
      </c>
      <c r="P1903" s="8" t="s">
        <v>405</v>
      </c>
      <c r="Q1903" s="12" t="str">
        <f>HYPERLINK("http://www.wdbj7.com/news/local/developing-story-officerinvolved-shooting-in-giles-county/26045058","http://www.wdbj7.com/news/local/developing-story-officerinvolved-shooting-in-giles-county/26045058")</f>
        <v>http://www.wdbj7.com/news/local/developing-story-officerinvolved-shooting-in-giles-county/26045058</v>
      </c>
      <c r="R1903" s="8" t="s">
        <v>100</v>
      </c>
      <c r="S1903" s="7" t="s">
        <v>28</v>
      </c>
      <c r="T1903" s="6"/>
      <c r="U1903" s="8"/>
    </row>
    <row r="1904" spans="1:21" ht="13.5" customHeight="1">
      <c r="A1904" s="8" t="s">
        <v>9892</v>
      </c>
      <c r="B1904" s="16">
        <v>30</v>
      </c>
      <c r="C1904" s="8" t="s">
        <v>20</v>
      </c>
      <c r="D1904" s="8" t="s">
        <v>37</v>
      </c>
      <c r="E1904" s="8" t="s">
        <v>9893</v>
      </c>
      <c r="F1904" s="17">
        <v>41776</v>
      </c>
      <c r="G1904" s="8" t="s">
        <v>9894</v>
      </c>
      <c r="H1904" s="8" t="s">
        <v>9895</v>
      </c>
      <c r="I1904" s="8" t="s">
        <v>442</v>
      </c>
      <c r="J1904" s="16" t="s">
        <v>9896</v>
      </c>
      <c r="K1904" s="2" t="s">
        <v>2364</v>
      </c>
      <c r="L1904" s="8" t="s">
        <v>9897</v>
      </c>
      <c r="M1904" s="8" t="s">
        <v>27</v>
      </c>
      <c r="N1904" s="8" t="s">
        <v>9898</v>
      </c>
      <c r="O1904" s="8" t="s">
        <v>1018</v>
      </c>
      <c r="P1904" s="8" t="s">
        <v>405</v>
      </c>
      <c r="Q1904" s="12" t="s">
        <v>9899</v>
      </c>
      <c r="R1904" s="8" t="s">
        <v>100</v>
      </c>
      <c r="S1904" s="7" t="s">
        <v>28</v>
      </c>
      <c r="T1904" s="6"/>
      <c r="U1904" s="8"/>
    </row>
    <row r="1905" spans="1:24" ht="13.5" customHeight="1">
      <c r="A1905" s="8" t="s">
        <v>9887</v>
      </c>
      <c r="B1905" s="16">
        <v>34</v>
      </c>
      <c r="C1905" s="8" t="s">
        <v>20</v>
      </c>
      <c r="D1905" s="8" t="s">
        <v>48</v>
      </c>
      <c r="F1905" s="17">
        <v>41776</v>
      </c>
      <c r="G1905" s="8" t="s">
        <v>9888</v>
      </c>
      <c r="H1905" s="8" t="s">
        <v>98</v>
      </c>
      <c r="I1905" s="8" t="s">
        <v>45</v>
      </c>
      <c r="J1905" s="16" t="s">
        <v>9889</v>
      </c>
      <c r="K1905" s="2" t="s">
        <v>98</v>
      </c>
      <c r="L1905" s="8" t="s">
        <v>99</v>
      </c>
      <c r="M1905" s="8" t="s">
        <v>27</v>
      </c>
      <c r="N1905" s="8" t="s">
        <v>9890</v>
      </c>
      <c r="O1905" s="8" t="s">
        <v>4742</v>
      </c>
      <c r="P1905" s="8" t="s">
        <v>405</v>
      </c>
      <c r="Q1905" s="12" t="s">
        <v>9891</v>
      </c>
      <c r="R1905" s="8" t="s">
        <v>100</v>
      </c>
      <c r="S1905" s="7" t="s">
        <v>28</v>
      </c>
      <c r="T1905" s="6"/>
      <c r="U1905" s="8"/>
    </row>
    <row r="1906" spans="1:24" ht="13.5" customHeight="1">
      <c r="A1906" s="8" t="s">
        <v>9920</v>
      </c>
      <c r="B1906" s="16">
        <v>47</v>
      </c>
      <c r="C1906" s="8" t="s">
        <v>20</v>
      </c>
      <c r="D1906" s="8" t="s">
        <v>30</v>
      </c>
      <c r="F1906" s="17">
        <v>41775</v>
      </c>
      <c r="G1906" s="8" t="s">
        <v>9921</v>
      </c>
      <c r="H1906" s="8" t="s">
        <v>9922</v>
      </c>
      <c r="I1906" s="8" t="s">
        <v>25</v>
      </c>
      <c r="J1906" s="16" t="s">
        <v>9923</v>
      </c>
      <c r="K1906" s="2" t="s">
        <v>1795</v>
      </c>
      <c r="L1906" s="8" t="s">
        <v>2451</v>
      </c>
      <c r="M1906" s="8" t="s">
        <v>27</v>
      </c>
      <c r="N1906" s="8" t="s">
        <v>9924</v>
      </c>
      <c r="O1906" s="8" t="s">
        <v>4742</v>
      </c>
      <c r="P1906" s="8" t="s">
        <v>405</v>
      </c>
      <c r="Q1906" s="12" t="s">
        <v>9925</v>
      </c>
      <c r="R1906" s="8" t="s">
        <v>29</v>
      </c>
      <c r="S1906" s="7" t="s">
        <v>28</v>
      </c>
      <c r="T1906" s="6"/>
      <c r="U1906" s="8"/>
    </row>
    <row r="1907" spans="1:24" ht="13.5" customHeight="1">
      <c r="A1907" s="8" t="s">
        <v>9900</v>
      </c>
      <c r="B1907" s="16">
        <v>24</v>
      </c>
      <c r="C1907" s="8" t="s">
        <v>20</v>
      </c>
      <c r="D1907" s="8" t="s">
        <v>85</v>
      </c>
      <c r="E1907" s="8" t="s">
        <v>9901</v>
      </c>
      <c r="F1907" s="17">
        <v>41775</v>
      </c>
      <c r="G1907" s="8" t="s">
        <v>9902</v>
      </c>
      <c r="H1907" s="8" t="s">
        <v>434</v>
      </c>
      <c r="I1907" s="8" t="s">
        <v>367</v>
      </c>
      <c r="J1907" s="16" t="s">
        <v>9903</v>
      </c>
      <c r="K1907" s="2" t="s">
        <v>604</v>
      </c>
      <c r="L1907" s="8" t="s">
        <v>2140</v>
      </c>
      <c r="M1907" s="8" t="s">
        <v>27</v>
      </c>
      <c r="N1907" s="8" t="s">
        <v>9904</v>
      </c>
      <c r="O1907" s="8" t="s">
        <v>4742</v>
      </c>
      <c r="P1907" s="8" t="s">
        <v>405</v>
      </c>
      <c r="Q1907" s="12" t="str">
        <f>HYPERLINK("http://www.kansascity.com/2014/05/20/5035276/kck-standoff-suspect-killed-by.html","http://www.kansascity.com/2014/05/20/5035276/kck-standoff-suspect-killed-by.html")</f>
        <v>http://www.kansascity.com/2014/05/20/5035276/kck-standoff-suspect-killed-by.html</v>
      </c>
      <c r="R1907" s="8" t="s">
        <v>100</v>
      </c>
      <c r="S1907" s="7" t="s">
        <v>28</v>
      </c>
      <c r="T1907" s="6"/>
      <c r="U1907" s="8"/>
    </row>
    <row r="1908" spans="1:24" ht="13.5" customHeight="1">
      <c r="A1908" s="8" t="s">
        <v>9926</v>
      </c>
      <c r="B1908" s="16">
        <v>38</v>
      </c>
      <c r="C1908" s="8" t="s">
        <v>20</v>
      </c>
      <c r="D1908" s="8" t="s">
        <v>37</v>
      </c>
      <c r="E1908" s="8" t="s">
        <v>9927</v>
      </c>
      <c r="F1908" s="17">
        <v>41775</v>
      </c>
      <c r="G1908" s="8" t="s">
        <v>9928</v>
      </c>
      <c r="H1908" s="8" t="s">
        <v>9929</v>
      </c>
      <c r="I1908" s="8" t="s">
        <v>319</v>
      </c>
      <c r="J1908" s="16" t="s">
        <v>9930</v>
      </c>
      <c r="K1908" s="2" t="s">
        <v>7379</v>
      </c>
      <c r="L1908" s="8" t="s">
        <v>3406</v>
      </c>
      <c r="M1908" s="8" t="s">
        <v>27</v>
      </c>
      <c r="N1908" s="8" t="s">
        <v>9931</v>
      </c>
      <c r="O1908" s="8" t="s">
        <v>4742</v>
      </c>
      <c r="P1908" s="8" t="s">
        <v>405</v>
      </c>
      <c r="Q1908" s="12" t="s">
        <v>9932</v>
      </c>
      <c r="R1908" s="8" t="s">
        <v>29</v>
      </c>
      <c r="S1908" s="7" t="s">
        <v>28</v>
      </c>
      <c r="T1908" s="6"/>
      <c r="U1908" s="8"/>
    </row>
    <row r="1909" spans="1:24" ht="13.5" customHeight="1">
      <c r="A1909" s="8" t="s">
        <v>9933</v>
      </c>
      <c r="B1909" s="16">
        <v>36</v>
      </c>
      <c r="C1909" s="8" t="s">
        <v>20</v>
      </c>
      <c r="D1909" s="8" t="s">
        <v>37</v>
      </c>
      <c r="E1909" s="8" t="s">
        <v>9934</v>
      </c>
      <c r="F1909" s="17">
        <v>41775</v>
      </c>
      <c r="G1909" s="8" t="s">
        <v>9935</v>
      </c>
      <c r="H1909" s="8" t="s">
        <v>9936</v>
      </c>
      <c r="I1909" s="8" t="s">
        <v>62</v>
      </c>
      <c r="J1909" s="16" t="s">
        <v>9937</v>
      </c>
      <c r="K1909" s="2" t="s">
        <v>2331</v>
      </c>
      <c r="L1909" s="8" t="s">
        <v>9938</v>
      </c>
      <c r="M1909" s="8" t="s">
        <v>27</v>
      </c>
      <c r="N1909" s="8" t="s">
        <v>9939</v>
      </c>
      <c r="O1909" s="8" t="s">
        <v>1018</v>
      </c>
      <c r="P1909" s="8" t="s">
        <v>405</v>
      </c>
      <c r="Q1909" s="12" t="s">
        <v>9940</v>
      </c>
      <c r="R1909" s="8" t="s">
        <v>29</v>
      </c>
      <c r="S1909" s="7" t="s">
        <v>28</v>
      </c>
      <c r="T1909" s="6"/>
      <c r="U1909" s="8"/>
    </row>
    <row r="1910" spans="1:24" ht="13.5" customHeight="1">
      <c r="A1910" s="8" t="s">
        <v>9918</v>
      </c>
      <c r="B1910" s="16">
        <v>25</v>
      </c>
      <c r="C1910" s="8" t="s">
        <v>20</v>
      </c>
      <c r="D1910" s="8" t="s">
        <v>85</v>
      </c>
      <c r="E1910" s="8" t="s">
        <v>9919</v>
      </c>
      <c r="F1910" s="17">
        <v>41775</v>
      </c>
      <c r="G1910" s="8" t="s">
        <v>9912</v>
      </c>
      <c r="H1910" s="8" t="s">
        <v>9913</v>
      </c>
      <c r="I1910" s="8" t="s">
        <v>175</v>
      </c>
      <c r="J1910" s="16" t="s">
        <v>9914</v>
      </c>
      <c r="K1910" s="2" t="s">
        <v>7091</v>
      </c>
      <c r="L1910" s="8" t="s">
        <v>9915</v>
      </c>
      <c r="M1910" s="8" t="s">
        <v>383</v>
      </c>
      <c r="N1910" s="8" t="s">
        <v>9916</v>
      </c>
      <c r="O1910" s="8" t="s">
        <v>1018</v>
      </c>
      <c r="P1910" s="8" t="s">
        <v>405</v>
      </c>
      <c r="Q1910" s="12" t="s">
        <v>9917</v>
      </c>
      <c r="R1910" s="8" t="s">
        <v>100</v>
      </c>
      <c r="S1910" s="7" t="s">
        <v>18</v>
      </c>
      <c r="T1910" s="6"/>
      <c r="U1910" s="8"/>
    </row>
    <row r="1911" spans="1:24" ht="13.5" customHeight="1">
      <c r="A1911" s="8" t="s">
        <v>9910</v>
      </c>
      <c r="B1911" s="16">
        <v>21</v>
      </c>
      <c r="C1911" s="8" t="s">
        <v>20</v>
      </c>
      <c r="D1911" s="8" t="s">
        <v>85</v>
      </c>
      <c r="E1911" s="8" t="s">
        <v>9911</v>
      </c>
      <c r="F1911" s="17">
        <v>41775</v>
      </c>
      <c r="G1911" s="8" t="s">
        <v>9912</v>
      </c>
      <c r="H1911" s="8" t="s">
        <v>9913</v>
      </c>
      <c r="I1911" s="8" t="s">
        <v>175</v>
      </c>
      <c r="J1911" s="16" t="s">
        <v>9914</v>
      </c>
      <c r="K1911" s="2" t="s">
        <v>7091</v>
      </c>
      <c r="L1911" s="8" t="s">
        <v>9915</v>
      </c>
      <c r="M1911" s="8" t="s">
        <v>383</v>
      </c>
      <c r="N1911" s="8" t="s">
        <v>9916</v>
      </c>
      <c r="O1911" s="8" t="s">
        <v>1018</v>
      </c>
      <c r="P1911" s="8" t="s">
        <v>405</v>
      </c>
      <c r="Q1911" s="12" t="s">
        <v>9917</v>
      </c>
      <c r="R1911" s="8" t="s">
        <v>100</v>
      </c>
      <c r="S1911" s="7" t="s">
        <v>18</v>
      </c>
      <c r="T1911" s="6"/>
      <c r="U1911" s="8"/>
    </row>
    <row r="1912" spans="1:24" ht="13.5" customHeight="1">
      <c r="A1912" s="8" t="s">
        <v>9905</v>
      </c>
      <c r="B1912" s="16">
        <v>45</v>
      </c>
      <c r="C1912" s="8" t="s">
        <v>20</v>
      </c>
      <c r="D1912" s="8" t="s">
        <v>85</v>
      </c>
      <c r="E1912" s="8" t="s">
        <v>9906</v>
      </c>
      <c r="F1912" s="17">
        <v>41775</v>
      </c>
      <c r="G1912" s="8" t="s">
        <v>9907</v>
      </c>
      <c r="H1912" s="8" t="s">
        <v>762</v>
      </c>
      <c r="I1912" s="8" t="s">
        <v>427</v>
      </c>
      <c r="J1912" s="16" t="s">
        <v>9908</v>
      </c>
      <c r="K1912" s="2" t="s">
        <v>762</v>
      </c>
      <c r="L1912" s="8" t="s">
        <v>586</v>
      </c>
      <c r="M1912" s="8" t="s">
        <v>27</v>
      </c>
      <c r="N1912" s="8" t="s">
        <v>9909</v>
      </c>
      <c r="O1912" s="8" t="s">
        <v>404</v>
      </c>
      <c r="P1912" s="8" t="s">
        <v>405</v>
      </c>
      <c r="Q1912" s="12" t="str">
        <f>HYPERLINK("http://www.nbcnewyork.com/news/local/NYPD-Shooting-FDR-Drive-96-Street-259556971.html","http://www.nbcnewyork.com/news/local/NYPD-Shooting-FDR-Drive-96-Street-259556971.html")</f>
        <v>http://www.nbcnewyork.com/news/local/NYPD-Shooting-FDR-Drive-96-Street-259556971.html</v>
      </c>
      <c r="R1912" s="8" t="s">
        <v>29</v>
      </c>
      <c r="S1912" s="7" t="s">
        <v>28</v>
      </c>
      <c r="T1912" s="6"/>
      <c r="U1912" s="8"/>
    </row>
    <row r="1913" spans="1:24" ht="13.5" customHeight="1">
      <c r="A1913" s="8" t="s">
        <v>9946</v>
      </c>
      <c r="B1913" s="16">
        <v>29</v>
      </c>
      <c r="C1913" s="8" t="s">
        <v>20</v>
      </c>
      <c r="D1913" s="8" t="s">
        <v>37</v>
      </c>
      <c r="F1913" s="17">
        <v>41774</v>
      </c>
      <c r="G1913" s="8" t="s">
        <v>9947</v>
      </c>
      <c r="H1913" s="8" t="s">
        <v>3946</v>
      </c>
      <c r="I1913" s="8" t="s">
        <v>46</v>
      </c>
      <c r="J1913" s="16" t="s">
        <v>9948</v>
      </c>
      <c r="K1913" s="2" t="s">
        <v>532</v>
      </c>
      <c r="L1913" s="8" t="s">
        <v>9949</v>
      </c>
      <c r="M1913" s="8" t="s">
        <v>27</v>
      </c>
      <c r="N1913" s="8" t="s">
        <v>9950</v>
      </c>
      <c r="O1913" s="8" t="s">
        <v>1018</v>
      </c>
      <c r="P1913" s="8" t="s">
        <v>405</v>
      </c>
      <c r="Q1913" s="12" t="s">
        <v>9951</v>
      </c>
      <c r="R1913" s="8" t="s">
        <v>100</v>
      </c>
      <c r="S1913" s="7" t="s">
        <v>28</v>
      </c>
      <c r="T1913" s="6"/>
      <c r="U1913" s="8"/>
    </row>
    <row r="1914" spans="1:24" ht="13.5" customHeight="1">
      <c r="A1914" s="8" t="s">
        <v>9952</v>
      </c>
      <c r="B1914" s="16">
        <v>43</v>
      </c>
      <c r="C1914" s="8" t="s">
        <v>20</v>
      </c>
      <c r="D1914" s="8" t="s">
        <v>37</v>
      </c>
      <c r="E1914" s="8" t="s">
        <v>9953</v>
      </c>
      <c r="F1914" s="17">
        <v>41774</v>
      </c>
      <c r="G1914" s="8" t="s">
        <v>9954</v>
      </c>
      <c r="H1914" s="8" t="s">
        <v>9955</v>
      </c>
      <c r="I1914" s="8" t="s">
        <v>62</v>
      </c>
      <c r="J1914" s="16" t="s">
        <v>9956</v>
      </c>
      <c r="K1914" s="2" t="s">
        <v>4406</v>
      </c>
      <c r="L1914" s="8" t="s">
        <v>5469</v>
      </c>
      <c r="M1914" s="8" t="s">
        <v>27</v>
      </c>
      <c r="N1914" s="8" t="s">
        <v>9957</v>
      </c>
      <c r="O1914" s="8" t="s">
        <v>1018</v>
      </c>
      <c r="P1914" s="8" t="s">
        <v>405</v>
      </c>
      <c r="Q1914" s="12" t="s">
        <v>9958</v>
      </c>
      <c r="R1914" s="8" t="s">
        <v>100</v>
      </c>
      <c r="S1914" s="7" t="s">
        <v>28</v>
      </c>
      <c r="T1914" s="6"/>
      <c r="U1914" s="8"/>
    </row>
    <row r="1915" spans="1:24" ht="13.5" customHeight="1">
      <c r="A1915" s="8" t="s">
        <v>9941</v>
      </c>
      <c r="B1915" s="16">
        <v>57</v>
      </c>
      <c r="C1915" s="8" t="s">
        <v>115</v>
      </c>
      <c r="D1915" s="8" t="s">
        <v>37</v>
      </c>
      <c r="E1915" s="8" t="s">
        <v>9942</v>
      </c>
      <c r="F1915" s="17">
        <v>41774</v>
      </c>
      <c r="G1915" s="8" t="s">
        <v>9943</v>
      </c>
      <c r="H1915" s="8" t="s">
        <v>6163</v>
      </c>
      <c r="I1915" s="8" t="s">
        <v>45</v>
      </c>
      <c r="J1915" s="16" t="s">
        <v>9944</v>
      </c>
      <c r="K1915" s="2" t="s">
        <v>4556</v>
      </c>
      <c r="L1915" s="8" t="s">
        <v>6165</v>
      </c>
      <c r="M1915" s="8" t="s">
        <v>27</v>
      </c>
      <c r="N1915" s="8" t="s">
        <v>9945</v>
      </c>
      <c r="O1915" s="8" t="s">
        <v>404</v>
      </c>
      <c r="P1915" s="8" t="s">
        <v>405</v>
      </c>
      <c r="Q1915" s="12" t="str">
        <f>HYPERLINK("http://www.mercurynews.com/my-town/ci_25773669/concord-police-shoot-kill-suspect-thursday-evening","http://www.mercurynews.com/my-town/ci_25773669/concord-police-shoot-kill-suspect-thursday-evening")</f>
        <v>http://www.mercurynews.com/my-town/ci_25773669/concord-police-shoot-kill-suspect-thursday-evening</v>
      </c>
      <c r="R1915" s="8" t="s">
        <v>559</v>
      </c>
      <c r="S1915" s="7" t="s">
        <v>28</v>
      </c>
      <c r="T1915" s="6"/>
      <c r="U1915" s="8"/>
    </row>
    <row r="1916" spans="1:24" ht="13.5" customHeight="1">
      <c r="A1916" s="8" t="s">
        <v>9959</v>
      </c>
      <c r="B1916" s="16">
        <v>22</v>
      </c>
      <c r="C1916" s="8" t="s">
        <v>20</v>
      </c>
      <c r="D1916" s="8" t="s">
        <v>48</v>
      </c>
      <c r="E1916" s="8" t="s">
        <v>9960</v>
      </c>
      <c r="F1916" s="17">
        <v>41773</v>
      </c>
      <c r="G1916" s="8" t="s">
        <v>9961</v>
      </c>
      <c r="H1916" s="8" t="s">
        <v>8647</v>
      </c>
      <c r="I1916" s="8" t="s">
        <v>73</v>
      </c>
      <c r="J1916" s="16" t="s">
        <v>9962</v>
      </c>
      <c r="K1916" s="2" t="s">
        <v>690</v>
      </c>
      <c r="L1916" s="8" t="s">
        <v>8649</v>
      </c>
      <c r="M1916" s="8" t="s">
        <v>27</v>
      </c>
      <c r="N1916" s="8" t="s">
        <v>9963</v>
      </c>
      <c r="O1916" s="8" t="s">
        <v>1018</v>
      </c>
      <c r="P1916" s="8" t="s">
        <v>405</v>
      </c>
      <c r="Q1916" s="12" t="s">
        <v>9964</v>
      </c>
      <c r="R1916" s="8" t="s">
        <v>100</v>
      </c>
      <c r="S1916" s="7" t="s">
        <v>18</v>
      </c>
      <c r="T1916" s="6"/>
      <c r="U1916" s="8"/>
      <c r="V1916" s="8"/>
      <c r="W1916" s="8"/>
      <c r="X1916" s="8"/>
    </row>
    <row r="1917" spans="1:24" ht="13.5" customHeight="1">
      <c r="A1917" s="8" t="s">
        <v>9965</v>
      </c>
      <c r="B1917" s="16">
        <v>31</v>
      </c>
      <c r="C1917" s="8" t="s">
        <v>20</v>
      </c>
      <c r="D1917" s="8" t="s">
        <v>85</v>
      </c>
      <c r="E1917" s="8" t="s">
        <v>9966</v>
      </c>
      <c r="F1917" s="17">
        <v>41772</v>
      </c>
      <c r="G1917" s="8" t="s">
        <v>9967</v>
      </c>
      <c r="H1917" s="8" t="s">
        <v>731</v>
      </c>
      <c r="I1917" s="8" t="s">
        <v>73</v>
      </c>
      <c r="J1917" s="16">
        <v>77048</v>
      </c>
      <c r="K1917" s="2" t="s">
        <v>562</v>
      </c>
      <c r="L1917" s="8" t="s">
        <v>732</v>
      </c>
      <c r="M1917" s="8" t="s">
        <v>2312</v>
      </c>
      <c r="N1917" s="8" t="s">
        <v>9968</v>
      </c>
      <c r="O1917" s="8" t="s">
        <v>1018</v>
      </c>
      <c r="P1917" s="8" t="s">
        <v>405</v>
      </c>
      <c r="Q1917" s="12" t="str">
        <f>HYPERLINK("http://www.houstontx.gov/police/nr/2014/may/nr051314-3.htm","http://www.houstontx.gov/police/nr/2014/may/nr051314-3.htm")</f>
        <v>http://www.houstontx.gov/police/nr/2014/may/nr051314-3.htm</v>
      </c>
      <c r="R1917" s="8" t="s">
        <v>559</v>
      </c>
      <c r="S1917" s="7" t="s">
        <v>18</v>
      </c>
      <c r="T1917" s="6"/>
      <c r="U1917" s="8"/>
    </row>
    <row r="1918" spans="1:24" ht="13.5" customHeight="1">
      <c r="A1918" s="8" t="s">
        <v>9969</v>
      </c>
      <c r="B1918" s="16">
        <v>41</v>
      </c>
      <c r="C1918" s="8" t="s">
        <v>20</v>
      </c>
      <c r="D1918" s="8" t="s">
        <v>37</v>
      </c>
      <c r="E1918" s="8" t="s">
        <v>9970</v>
      </c>
      <c r="F1918" s="17">
        <v>41772</v>
      </c>
      <c r="G1918" s="8" t="s">
        <v>9971</v>
      </c>
      <c r="H1918" s="8" t="s">
        <v>9972</v>
      </c>
      <c r="I1918" s="8" t="s">
        <v>62</v>
      </c>
      <c r="J1918" s="16" t="s">
        <v>9973</v>
      </c>
      <c r="K1918" s="2" t="s">
        <v>6063</v>
      </c>
      <c r="L1918" s="8" t="s">
        <v>6064</v>
      </c>
      <c r="M1918" s="8" t="s">
        <v>27</v>
      </c>
      <c r="N1918" s="8" t="s">
        <v>9974</v>
      </c>
      <c r="O1918" s="8" t="s">
        <v>1018</v>
      </c>
      <c r="P1918" s="8" t="s">
        <v>405</v>
      </c>
      <c r="Q1918" s="12" t="s">
        <v>9975</v>
      </c>
      <c r="R1918" s="8" t="s">
        <v>100</v>
      </c>
      <c r="S1918" s="7" t="s">
        <v>28</v>
      </c>
      <c r="T1918" s="6"/>
      <c r="U1918" s="8"/>
    </row>
    <row r="1919" spans="1:24" ht="13.5" customHeight="1">
      <c r="A1919" s="8" t="s">
        <v>9976</v>
      </c>
      <c r="B1919" s="16">
        <v>50</v>
      </c>
      <c r="C1919" s="8" t="s">
        <v>115</v>
      </c>
      <c r="D1919" s="8" t="s">
        <v>37</v>
      </c>
      <c r="E1919" s="8" t="s">
        <v>9977</v>
      </c>
      <c r="F1919" s="17">
        <v>41772</v>
      </c>
      <c r="G1919" s="8" t="s">
        <v>9978</v>
      </c>
      <c r="H1919" s="8" t="s">
        <v>4234</v>
      </c>
      <c r="I1919" s="8" t="s">
        <v>435</v>
      </c>
      <c r="J1919" s="16" t="s">
        <v>4235</v>
      </c>
      <c r="K1919" s="2" t="s">
        <v>5008</v>
      </c>
      <c r="L1919" s="8" t="s">
        <v>9979</v>
      </c>
      <c r="M1919" s="8" t="s">
        <v>27</v>
      </c>
      <c r="N1919" s="8" t="s">
        <v>9980</v>
      </c>
      <c r="O1919" s="8" t="s">
        <v>554</v>
      </c>
      <c r="P1919" s="8" t="s">
        <v>405</v>
      </c>
      <c r="Q1919" s="12" t="s">
        <v>9981</v>
      </c>
      <c r="R1919" s="8" t="s">
        <v>29</v>
      </c>
      <c r="S1919" s="7" t="s">
        <v>28</v>
      </c>
      <c r="T1919" s="6"/>
      <c r="U1919" s="8"/>
    </row>
    <row r="1920" spans="1:24" ht="13.5" customHeight="1">
      <c r="A1920" s="8" t="s">
        <v>10003</v>
      </c>
      <c r="B1920" s="16">
        <v>69</v>
      </c>
      <c r="C1920" s="8" t="s">
        <v>115</v>
      </c>
      <c r="D1920" s="8" t="s">
        <v>37</v>
      </c>
      <c r="E1920" s="8" t="s">
        <v>10004</v>
      </c>
      <c r="F1920" s="17">
        <v>41771</v>
      </c>
      <c r="G1920" s="8" t="s">
        <v>10005</v>
      </c>
      <c r="H1920" s="8" t="s">
        <v>10006</v>
      </c>
      <c r="I1920" s="8" t="s">
        <v>408</v>
      </c>
      <c r="J1920" s="16" t="s">
        <v>10007</v>
      </c>
      <c r="K1920" s="2" t="s">
        <v>10008</v>
      </c>
      <c r="L1920" s="8" t="s">
        <v>10009</v>
      </c>
      <c r="M1920" s="8" t="s">
        <v>383</v>
      </c>
      <c r="N1920" s="8" t="s">
        <v>10010</v>
      </c>
      <c r="O1920" s="8" t="s">
        <v>404</v>
      </c>
      <c r="P1920" s="8" t="s">
        <v>405</v>
      </c>
      <c r="Q1920" s="12" t="s">
        <v>10011</v>
      </c>
      <c r="R1920" s="8" t="s">
        <v>100</v>
      </c>
      <c r="S1920" s="7" t="s">
        <v>18</v>
      </c>
      <c r="T1920" s="6"/>
      <c r="U1920" s="8"/>
    </row>
    <row r="1921" spans="1:21" ht="13.5" customHeight="1">
      <c r="A1921" s="8" t="s">
        <v>9982</v>
      </c>
      <c r="B1921" s="16">
        <v>21</v>
      </c>
      <c r="C1921" s="8" t="s">
        <v>20</v>
      </c>
      <c r="D1921" s="8" t="s">
        <v>85</v>
      </c>
      <c r="E1921" s="8" t="s">
        <v>9983</v>
      </c>
      <c r="F1921" s="17">
        <v>41771</v>
      </c>
      <c r="G1921" s="8" t="s">
        <v>9984</v>
      </c>
      <c r="H1921" s="8" t="s">
        <v>9985</v>
      </c>
      <c r="I1921" s="8" t="s">
        <v>45</v>
      </c>
      <c r="J1921" s="16" t="s">
        <v>9986</v>
      </c>
      <c r="K1921" s="2" t="s">
        <v>98</v>
      </c>
      <c r="L1921" s="8" t="s">
        <v>99</v>
      </c>
      <c r="M1921" s="8" t="s">
        <v>27</v>
      </c>
      <c r="N1921" s="8" t="s">
        <v>9987</v>
      </c>
      <c r="O1921" s="8" t="s">
        <v>1018</v>
      </c>
      <c r="P1921" s="8" t="s">
        <v>405</v>
      </c>
      <c r="Q1921" s="12" t="s">
        <v>9988</v>
      </c>
      <c r="R1921" s="8" t="s">
        <v>100</v>
      </c>
      <c r="S1921" s="7" t="s">
        <v>28</v>
      </c>
      <c r="T1921" s="6"/>
      <c r="U1921" s="8"/>
    </row>
    <row r="1922" spans="1:21" ht="13.5" customHeight="1">
      <c r="A1922" s="8" t="s">
        <v>9995</v>
      </c>
      <c r="B1922" s="16">
        <v>39</v>
      </c>
      <c r="C1922" s="8" t="s">
        <v>20</v>
      </c>
      <c r="D1922" s="8" t="s">
        <v>37</v>
      </c>
      <c r="E1922" s="8" t="s">
        <v>9996</v>
      </c>
      <c r="F1922" s="17">
        <v>41771</v>
      </c>
      <c r="G1922" s="8" t="s">
        <v>9997</v>
      </c>
      <c r="H1922" s="8" t="s">
        <v>9998</v>
      </c>
      <c r="I1922" s="8" t="s">
        <v>94</v>
      </c>
      <c r="J1922" s="16" t="s">
        <v>9999</v>
      </c>
      <c r="K1922" s="2" t="s">
        <v>731</v>
      </c>
      <c r="L1922" s="8" t="s">
        <v>10000</v>
      </c>
      <c r="M1922" s="8" t="s">
        <v>27</v>
      </c>
      <c r="N1922" s="8" t="s">
        <v>10001</v>
      </c>
      <c r="O1922" s="8" t="s">
        <v>1018</v>
      </c>
      <c r="P1922" s="8" t="s">
        <v>405</v>
      </c>
      <c r="Q1922" s="12" t="s">
        <v>10002</v>
      </c>
      <c r="R1922" s="8" t="s">
        <v>100</v>
      </c>
      <c r="S1922" s="7" t="s">
        <v>28</v>
      </c>
      <c r="T1922" s="6"/>
      <c r="U1922" s="8"/>
    </row>
    <row r="1923" spans="1:21" ht="13.5" customHeight="1">
      <c r="A1923" s="8" t="s">
        <v>9989</v>
      </c>
      <c r="B1923" s="16">
        <v>39</v>
      </c>
      <c r="C1923" s="8" t="s">
        <v>20</v>
      </c>
      <c r="D1923" s="8" t="s">
        <v>85</v>
      </c>
      <c r="E1923" s="8" t="s">
        <v>9990</v>
      </c>
      <c r="F1923" s="17">
        <v>41771</v>
      </c>
      <c r="G1923" s="8" t="s">
        <v>9991</v>
      </c>
      <c r="H1923" s="8" t="s">
        <v>3541</v>
      </c>
      <c r="I1923" s="8" t="s">
        <v>62</v>
      </c>
      <c r="J1923" s="16" t="s">
        <v>9992</v>
      </c>
      <c r="K1923" s="2" t="s">
        <v>3543</v>
      </c>
      <c r="L1923" s="8" t="s">
        <v>3544</v>
      </c>
      <c r="M1923" s="8" t="s">
        <v>27</v>
      </c>
      <c r="N1923" s="8" t="s">
        <v>9993</v>
      </c>
      <c r="O1923" s="8" t="s">
        <v>554</v>
      </c>
      <c r="P1923" s="8" t="s">
        <v>405</v>
      </c>
      <c r="Q1923" s="12" t="s">
        <v>9994</v>
      </c>
      <c r="R1923" s="8" t="s">
        <v>100</v>
      </c>
      <c r="S1923" s="7" t="s">
        <v>28</v>
      </c>
      <c r="T1923" s="6"/>
      <c r="U1923" s="8"/>
    </row>
    <row r="1924" spans="1:21" ht="13.5" customHeight="1">
      <c r="A1924" s="8" t="s">
        <v>10028</v>
      </c>
      <c r="B1924" s="16">
        <v>37</v>
      </c>
      <c r="C1924" s="8" t="s">
        <v>20</v>
      </c>
      <c r="D1924" s="8" t="s">
        <v>85</v>
      </c>
      <c r="F1924" s="17">
        <v>41770</v>
      </c>
      <c r="G1924" s="8" t="s">
        <v>10029</v>
      </c>
      <c r="H1924" s="8" t="s">
        <v>87</v>
      </c>
      <c r="I1924" s="8" t="s">
        <v>44</v>
      </c>
      <c r="J1924" s="16" t="s">
        <v>10030</v>
      </c>
      <c r="K1924" s="2" t="s">
        <v>88</v>
      </c>
      <c r="L1924" s="8" t="s">
        <v>89</v>
      </c>
      <c r="M1924" s="8" t="s">
        <v>27</v>
      </c>
      <c r="N1924" s="8" t="s">
        <v>10031</v>
      </c>
      <c r="O1924" s="8" t="s">
        <v>1018</v>
      </c>
      <c r="P1924" s="8" t="s">
        <v>405</v>
      </c>
      <c r="Q1924" s="12" t="str">
        <f>HYPERLINK("http://www.suntimes.com/27377311-761/armed-man-shot-by-police-on-west-side-dies.html#.U3DGe-hX-uY","http://www.suntimes.com/27377311-761/armed-man-shot-by-police-on-west-side-dies.html#.U3DGe-hX-uY")</f>
        <v>http://www.suntimes.com/27377311-761/armed-man-shot-by-police-on-west-side-dies.html#.U3DGe-hX-uY</v>
      </c>
      <c r="R1924" s="8" t="s">
        <v>100</v>
      </c>
      <c r="S1924" s="7" t="s">
        <v>28</v>
      </c>
      <c r="T1924" s="6"/>
      <c r="U1924" s="8"/>
    </row>
    <row r="1925" spans="1:21" ht="13.5" customHeight="1">
      <c r="A1925" s="8" t="s">
        <v>10039</v>
      </c>
      <c r="B1925" s="16">
        <v>27</v>
      </c>
      <c r="C1925" s="8" t="s">
        <v>20</v>
      </c>
      <c r="D1925" s="8" t="s">
        <v>30</v>
      </c>
      <c r="F1925" s="17">
        <v>41770</v>
      </c>
      <c r="G1925" s="8" t="s">
        <v>10040</v>
      </c>
      <c r="H1925" s="8" t="s">
        <v>10041</v>
      </c>
      <c r="I1925" s="8" t="s">
        <v>52</v>
      </c>
      <c r="J1925" s="16" t="s">
        <v>10042</v>
      </c>
      <c r="K1925" s="2" t="s">
        <v>10043</v>
      </c>
      <c r="L1925" s="8" t="s">
        <v>703</v>
      </c>
      <c r="M1925" s="8" t="s">
        <v>383</v>
      </c>
      <c r="N1925" s="8" t="s">
        <v>10044</v>
      </c>
      <c r="O1925" s="8" t="s">
        <v>1018</v>
      </c>
      <c r="P1925" s="8" t="s">
        <v>405</v>
      </c>
      <c r="Q1925" s="12" t="s">
        <v>10045</v>
      </c>
      <c r="R1925" s="8" t="s">
        <v>100</v>
      </c>
      <c r="S1925" s="7" t="s">
        <v>383</v>
      </c>
      <c r="T1925" s="6"/>
      <c r="U1925" s="8"/>
    </row>
    <row r="1926" spans="1:21" ht="13.5" customHeight="1">
      <c r="A1926" s="8" t="s">
        <v>10018</v>
      </c>
      <c r="B1926" s="16">
        <v>18</v>
      </c>
      <c r="C1926" s="8" t="s">
        <v>20</v>
      </c>
      <c r="D1926" s="8" t="s">
        <v>85</v>
      </c>
      <c r="E1926" s="8" t="s">
        <v>10019</v>
      </c>
      <c r="F1926" s="17">
        <v>41770</v>
      </c>
      <c r="G1926" s="8" t="s">
        <v>10020</v>
      </c>
      <c r="H1926" s="8" t="s">
        <v>10015</v>
      </c>
      <c r="I1926" s="8" t="s">
        <v>435</v>
      </c>
      <c r="J1926" s="16" t="s">
        <v>10021</v>
      </c>
      <c r="K1926" s="2" t="s">
        <v>1795</v>
      </c>
      <c r="L1926" s="8" t="s">
        <v>10022</v>
      </c>
      <c r="M1926" s="8" t="s">
        <v>383</v>
      </c>
      <c r="N1926" s="8" t="s">
        <v>10023</v>
      </c>
      <c r="O1926" s="8" t="s">
        <v>1018</v>
      </c>
      <c r="P1926" s="8" t="s">
        <v>405</v>
      </c>
      <c r="Q1926" s="12" t="s">
        <v>10024</v>
      </c>
      <c r="R1926" s="8" t="s">
        <v>100</v>
      </c>
      <c r="S1926" s="7" t="s">
        <v>383</v>
      </c>
      <c r="T1926" s="6"/>
      <c r="U1926" s="8"/>
    </row>
    <row r="1927" spans="1:21" ht="13.5" customHeight="1">
      <c r="A1927" s="8" t="s">
        <v>10026</v>
      </c>
      <c r="B1927" s="16">
        <v>21</v>
      </c>
      <c r="C1927" s="8" t="s">
        <v>20</v>
      </c>
      <c r="D1927" s="8" t="s">
        <v>85</v>
      </c>
      <c r="E1927" s="8" t="s">
        <v>10027</v>
      </c>
      <c r="F1927" s="17">
        <v>41770</v>
      </c>
      <c r="G1927" s="8" t="s">
        <v>10020</v>
      </c>
      <c r="H1927" s="8" t="s">
        <v>10015</v>
      </c>
      <c r="I1927" s="8" t="s">
        <v>435</v>
      </c>
      <c r="J1927" s="16" t="s">
        <v>10021</v>
      </c>
      <c r="K1927" s="2" t="s">
        <v>1795</v>
      </c>
      <c r="L1927" s="8" t="s">
        <v>10022</v>
      </c>
      <c r="M1927" s="8" t="s">
        <v>383</v>
      </c>
      <c r="N1927" s="8" t="s">
        <v>10023</v>
      </c>
      <c r="O1927" s="8" t="s">
        <v>1018</v>
      </c>
      <c r="P1927" s="8" t="s">
        <v>405</v>
      </c>
      <c r="Q1927" s="12" t="s">
        <v>10024</v>
      </c>
      <c r="R1927" s="8" t="s">
        <v>100</v>
      </c>
      <c r="S1927" s="7" t="s">
        <v>383</v>
      </c>
      <c r="T1927" s="6"/>
      <c r="U1927" s="8"/>
    </row>
    <row r="1928" spans="1:21" ht="13.5" customHeight="1">
      <c r="A1928" s="8" t="s">
        <v>10025</v>
      </c>
      <c r="B1928" s="16">
        <v>19</v>
      </c>
      <c r="C1928" s="8" t="s">
        <v>20</v>
      </c>
      <c r="D1928" s="8" t="s">
        <v>85</v>
      </c>
      <c r="F1928" s="17">
        <v>41770</v>
      </c>
      <c r="G1928" s="8" t="s">
        <v>10020</v>
      </c>
      <c r="H1928" s="8" t="s">
        <v>10015</v>
      </c>
      <c r="I1928" s="8" t="s">
        <v>435</v>
      </c>
      <c r="J1928" s="16" t="s">
        <v>10021</v>
      </c>
      <c r="K1928" s="2" t="s">
        <v>1795</v>
      </c>
      <c r="L1928" s="8" t="s">
        <v>10022</v>
      </c>
      <c r="M1928" s="8" t="s">
        <v>383</v>
      </c>
      <c r="N1928" s="8" t="s">
        <v>10023</v>
      </c>
      <c r="O1928" s="8" t="s">
        <v>1018</v>
      </c>
      <c r="P1928" s="8" t="s">
        <v>405</v>
      </c>
      <c r="Q1928" s="12" t="s">
        <v>10024</v>
      </c>
      <c r="R1928" s="8" t="s">
        <v>100</v>
      </c>
      <c r="S1928" s="7" t="s">
        <v>383</v>
      </c>
      <c r="T1928" s="6"/>
      <c r="U1928" s="8"/>
    </row>
    <row r="1929" spans="1:21" ht="13.5" customHeight="1">
      <c r="A1929" s="8" t="s">
        <v>10046</v>
      </c>
      <c r="B1929" s="16">
        <v>44</v>
      </c>
      <c r="C1929" s="8" t="s">
        <v>20</v>
      </c>
      <c r="D1929" s="8" t="s">
        <v>37</v>
      </c>
      <c r="E1929" s="8" t="s">
        <v>10047</v>
      </c>
      <c r="F1929" s="17">
        <v>41770</v>
      </c>
      <c r="G1929" s="8" t="s">
        <v>10048</v>
      </c>
      <c r="H1929" s="8" t="s">
        <v>10049</v>
      </c>
      <c r="I1929" s="8" t="s">
        <v>306</v>
      </c>
      <c r="J1929" s="16" t="s">
        <v>10050</v>
      </c>
      <c r="K1929" s="2" t="s">
        <v>891</v>
      </c>
      <c r="L1929" s="8" t="s">
        <v>10051</v>
      </c>
      <c r="M1929" s="8" t="s">
        <v>3189</v>
      </c>
      <c r="N1929" s="8" t="s">
        <v>10052</v>
      </c>
      <c r="O1929" s="8" t="s">
        <v>554</v>
      </c>
      <c r="P1929" s="8" t="s">
        <v>405</v>
      </c>
      <c r="Q1929" s="12" t="s">
        <v>10053</v>
      </c>
      <c r="R1929" s="8" t="s">
        <v>559</v>
      </c>
      <c r="S1929" s="7" t="s">
        <v>18</v>
      </c>
      <c r="T1929" s="6"/>
      <c r="U1929" s="8"/>
    </row>
    <row r="1930" spans="1:21" ht="13.5" customHeight="1">
      <c r="A1930" s="8" t="s">
        <v>10012</v>
      </c>
      <c r="B1930" s="16">
        <v>32</v>
      </c>
      <c r="C1930" s="8" t="s">
        <v>20</v>
      </c>
      <c r="D1930" s="8" t="s">
        <v>85</v>
      </c>
      <c r="E1930" s="8" t="s">
        <v>10013</v>
      </c>
      <c r="F1930" s="17">
        <v>41770</v>
      </c>
      <c r="G1930" s="8" t="s">
        <v>10014</v>
      </c>
      <c r="H1930" s="8" t="s">
        <v>10015</v>
      </c>
      <c r="I1930" s="8" t="s">
        <v>45</v>
      </c>
      <c r="J1930" s="16" t="s">
        <v>10016</v>
      </c>
      <c r="K1930" s="2" t="s">
        <v>10015</v>
      </c>
      <c r="L1930" s="8" t="s">
        <v>965</v>
      </c>
      <c r="M1930" s="8" t="s">
        <v>3189</v>
      </c>
      <c r="N1930" s="8" t="s">
        <v>10017</v>
      </c>
      <c r="O1930" s="8" t="s">
        <v>1018</v>
      </c>
      <c r="P1930" s="8" t="s">
        <v>405</v>
      </c>
      <c r="Q1930" s="12" t="str">
        <f>HYPERLINK("http://www.dcclothesline.com/2014/05/19/veteran-stopped-front-license-plate-beat-death-5-cops/","http://www.dcclothesline.com/2014/05/19/veteran-stopped-front-license-plate-beat-death-5-cops/")</f>
        <v>http://www.dcclothesline.com/2014/05/19/veteran-stopped-front-license-plate-beat-death-5-cops/</v>
      </c>
      <c r="R1930" s="8" t="s">
        <v>100</v>
      </c>
      <c r="S1930" s="7" t="s">
        <v>18</v>
      </c>
      <c r="T1930" s="6"/>
      <c r="U1930" s="8"/>
    </row>
    <row r="1931" spans="1:21" ht="13.5" customHeight="1">
      <c r="A1931" s="8" t="s">
        <v>10032</v>
      </c>
      <c r="B1931" s="16">
        <v>25</v>
      </c>
      <c r="C1931" s="8" t="s">
        <v>20</v>
      </c>
      <c r="D1931" s="8" t="s">
        <v>48</v>
      </c>
      <c r="E1931" s="8" t="s">
        <v>10033</v>
      </c>
      <c r="F1931" s="17">
        <v>41770</v>
      </c>
      <c r="G1931" s="8" t="s">
        <v>10034</v>
      </c>
      <c r="H1931" s="8" t="s">
        <v>10035</v>
      </c>
      <c r="I1931" s="8" t="s">
        <v>124</v>
      </c>
      <c r="J1931" s="16" t="s">
        <v>10036</v>
      </c>
      <c r="K1931" s="2" t="s">
        <v>2416</v>
      </c>
      <c r="L1931" s="8" t="s">
        <v>2417</v>
      </c>
      <c r="M1931" s="8" t="s">
        <v>27</v>
      </c>
      <c r="N1931" s="8" t="s">
        <v>10037</v>
      </c>
      <c r="O1931" s="8" t="s">
        <v>1018</v>
      </c>
      <c r="P1931" s="8" t="s">
        <v>405</v>
      </c>
      <c r="Q1931" s="12" t="s">
        <v>10038</v>
      </c>
      <c r="R1931" s="8" t="s">
        <v>100</v>
      </c>
      <c r="S1931" s="7" t="s">
        <v>28</v>
      </c>
      <c r="T1931" s="6"/>
      <c r="U1931" s="8"/>
    </row>
    <row r="1932" spans="1:21" ht="13.5" customHeight="1">
      <c r="A1932" s="8" t="s">
        <v>10058</v>
      </c>
      <c r="B1932" s="16">
        <v>32</v>
      </c>
      <c r="C1932" s="8" t="s">
        <v>20</v>
      </c>
      <c r="D1932" s="8" t="s">
        <v>85</v>
      </c>
      <c r="E1932" s="8" t="s">
        <v>10059</v>
      </c>
      <c r="F1932" s="17">
        <v>41769</v>
      </c>
      <c r="G1932" s="8" t="s">
        <v>10060</v>
      </c>
      <c r="H1932" s="8" t="s">
        <v>4195</v>
      </c>
      <c r="I1932" s="8" t="s">
        <v>94</v>
      </c>
      <c r="J1932" s="16" t="s">
        <v>10061</v>
      </c>
      <c r="K1932" s="2" t="s">
        <v>1795</v>
      </c>
      <c r="L1932" s="8" t="s">
        <v>4221</v>
      </c>
      <c r="M1932" s="8" t="s">
        <v>27</v>
      </c>
      <c r="N1932" s="8" t="s">
        <v>10062</v>
      </c>
      <c r="O1932" s="8" t="s">
        <v>4742</v>
      </c>
      <c r="P1932" s="8" t="s">
        <v>405</v>
      </c>
      <c r="Q1932" s="12" t="s">
        <v>10063</v>
      </c>
      <c r="R1932" s="8" t="s">
        <v>100</v>
      </c>
      <c r="S1932" s="7" t="s">
        <v>28</v>
      </c>
      <c r="T1932" s="6"/>
      <c r="U1932" s="8"/>
    </row>
    <row r="1933" spans="1:21" ht="13.5" customHeight="1">
      <c r="A1933" s="8" t="s">
        <v>10064</v>
      </c>
      <c r="B1933" s="16">
        <v>59</v>
      </c>
      <c r="C1933" s="8" t="s">
        <v>20</v>
      </c>
      <c r="D1933" s="8" t="s">
        <v>48</v>
      </c>
      <c r="E1933" s="8" t="s">
        <v>10065</v>
      </c>
      <c r="F1933" s="17">
        <v>41769</v>
      </c>
      <c r="G1933" s="8" t="s">
        <v>10066</v>
      </c>
      <c r="H1933" s="8" t="s">
        <v>489</v>
      </c>
      <c r="I1933" s="8" t="s">
        <v>45</v>
      </c>
      <c r="J1933" s="16" t="s">
        <v>2733</v>
      </c>
      <c r="K1933" s="2" t="s">
        <v>313</v>
      </c>
      <c r="L1933" s="8" t="s">
        <v>490</v>
      </c>
      <c r="M1933" s="8" t="s">
        <v>27</v>
      </c>
      <c r="N1933" s="8" t="s">
        <v>10067</v>
      </c>
      <c r="O1933" s="8" t="s">
        <v>404</v>
      </c>
      <c r="P1933" s="8" t="s">
        <v>405</v>
      </c>
      <c r="Q1933" s="12"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1933" s="8" t="s">
        <v>972</v>
      </c>
      <c r="S1933" s="7" t="s">
        <v>35</v>
      </c>
      <c r="T1933" s="6"/>
      <c r="U1933" s="8"/>
    </row>
    <row r="1934" spans="1:21" ht="13.5" customHeight="1">
      <c r="A1934" s="8" t="s">
        <v>10054</v>
      </c>
      <c r="B1934" s="16">
        <v>34</v>
      </c>
      <c r="C1934" s="8" t="s">
        <v>20</v>
      </c>
      <c r="D1934" s="8" t="s">
        <v>85</v>
      </c>
      <c r="E1934" s="8" t="s">
        <v>10055</v>
      </c>
      <c r="F1934" s="17">
        <v>41769</v>
      </c>
      <c r="G1934" s="8" t="s">
        <v>10056</v>
      </c>
      <c r="H1934" s="8" t="s">
        <v>1300</v>
      </c>
      <c r="I1934" s="8" t="s">
        <v>69</v>
      </c>
      <c r="J1934" s="16">
        <v>43207</v>
      </c>
      <c r="K1934" s="2" t="s">
        <v>1301</v>
      </c>
      <c r="L1934" s="8" t="s">
        <v>12726</v>
      </c>
      <c r="M1934" s="8" t="s">
        <v>27</v>
      </c>
      <c r="N1934" s="8" t="s">
        <v>10057</v>
      </c>
      <c r="P1934" s="8" t="s">
        <v>405</v>
      </c>
      <c r="Q1934" s="12" t="str">
        <f>HYPERLINK("http://www.10tv.com/content/stories/2014/05/10/columbus-jonathan-drive-officer-involved-shooting.html","http://www.10tv.com/content/stories/2014/05/10/columbus-jonathan-drive-officer-involved-shooting.html")</f>
        <v>http://www.10tv.com/content/stories/2014/05/10/columbus-jonathan-drive-officer-involved-shooting.html</v>
      </c>
      <c r="R1934" s="8" t="s">
        <v>559</v>
      </c>
      <c r="S1934" s="7" t="s">
        <v>28</v>
      </c>
      <c r="T1934" s="6"/>
      <c r="U1934" s="8"/>
    </row>
    <row r="1935" spans="1:21" ht="13.5" customHeight="1">
      <c r="A1935" s="8" t="s">
        <v>10075</v>
      </c>
      <c r="B1935" s="16">
        <v>50</v>
      </c>
      <c r="C1935" s="8" t="s">
        <v>20</v>
      </c>
      <c r="D1935" s="8" t="s">
        <v>37</v>
      </c>
      <c r="E1935" s="8" t="s">
        <v>10076</v>
      </c>
      <c r="F1935" s="17">
        <v>41769</v>
      </c>
      <c r="G1935" s="8" t="s">
        <v>10077</v>
      </c>
      <c r="H1935" s="8" t="s">
        <v>9624</v>
      </c>
      <c r="I1935" s="8" t="s">
        <v>319</v>
      </c>
      <c r="J1935" s="16" t="s">
        <v>9625</v>
      </c>
      <c r="K1935" s="2" t="s">
        <v>2528</v>
      </c>
      <c r="L1935" s="8" t="s">
        <v>3406</v>
      </c>
      <c r="M1935" s="8" t="s">
        <v>27</v>
      </c>
      <c r="N1935" s="8" t="s">
        <v>10078</v>
      </c>
      <c r="O1935" s="8" t="s">
        <v>1018</v>
      </c>
      <c r="P1935" s="8" t="s">
        <v>405</v>
      </c>
      <c r="Q1935" s="12" t="s">
        <v>10079</v>
      </c>
      <c r="R1935" s="8" t="s">
        <v>100</v>
      </c>
      <c r="S1935" s="7" t="s">
        <v>28</v>
      </c>
      <c r="T1935" s="6"/>
      <c r="U1935" s="8"/>
    </row>
    <row r="1936" spans="1:21" ht="13.5" customHeight="1">
      <c r="A1936" s="8" t="s">
        <v>10068</v>
      </c>
      <c r="B1936" s="16">
        <v>36</v>
      </c>
      <c r="C1936" s="8" t="s">
        <v>20</v>
      </c>
      <c r="D1936" s="8" t="s">
        <v>30</v>
      </c>
      <c r="F1936" s="17">
        <v>41769</v>
      </c>
      <c r="G1936" s="8" t="s">
        <v>10069</v>
      </c>
      <c r="H1936" s="8" t="s">
        <v>10070</v>
      </c>
      <c r="I1936" s="8" t="s">
        <v>152</v>
      </c>
      <c r="J1936" s="16" t="s">
        <v>10071</v>
      </c>
      <c r="K1936" s="2" t="s">
        <v>10072</v>
      </c>
      <c r="L1936" s="8" t="s">
        <v>17722</v>
      </c>
      <c r="M1936" s="8" t="s">
        <v>27</v>
      </c>
      <c r="N1936" s="8" t="s">
        <v>10073</v>
      </c>
      <c r="O1936" s="8" t="s">
        <v>1018</v>
      </c>
      <c r="P1936" s="8" t="s">
        <v>405</v>
      </c>
      <c r="Q1936" s="12" t="s">
        <v>10074</v>
      </c>
      <c r="R1936" s="8" t="s">
        <v>100</v>
      </c>
      <c r="S1936" s="7" t="s">
        <v>28</v>
      </c>
      <c r="T1936" s="6"/>
      <c r="U1936" s="8"/>
    </row>
    <row r="1937" spans="1:21" ht="13.5" customHeight="1">
      <c r="A1937" s="8" t="s">
        <v>10080</v>
      </c>
      <c r="B1937" s="16">
        <v>21</v>
      </c>
      <c r="C1937" s="8" t="s">
        <v>20</v>
      </c>
      <c r="D1937" s="8" t="s">
        <v>85</v>
      </c>
      <c r="E1937" s="8" t="s">
        <v>10081</v>
      </c>
      <c r="F1937" s="17">
        <v>41768</v>
      </c>
      <c r="G1937" s="8" t="s">
        <v>10082</v>
      </c>
      <c r="H1937" s="8" t="s">
        <v>4195</v>
      </c>
      <c r="I1937" s="8" t="s">
        <v>94</v>
      </c>
      <c r="J1937" s="16" t="s">
        <v>4220</v>
      </c>
      <c r="K1937" s="2" t="s">
        <v>1795</v>
      </c>
      <c r="L1937" s="8" t="s">
        <v>1705</v>
      </c>
      <c r="M1937" s="8" t="s">
        <v>27</v>
      </c>
      <c r="N1937" s="8" t="s">
        <v>10083</v>
      </c>
      <c r="O1937" s="8" t="s">
        <v>1018</v>
      </c>
      <c r="P1937" s="8" t="s">
        <v>405</v>
      </c>
      <c r="Q1937" s="12" t="s">
        <v>10084</v>
      </c>
      <c r="R1937" s="8" t="s">
        <v>100</v>
      </c>
      <c r="S1937" s="7" t="s">
        <v>28</v>
      </c>
      <c r="T1937" s="6"/>
      <c r="U1937" s="8"/>
    </row>
    <row r="1938" spans="1:21" ht="13.5" customHeight="1">
      <c r="A1938" s="8" t="s">
        <v>10090</v>
      </c>
      <c r="B1938" s="16">
        <v>25</v>
      </c>
      <c r="C1938" s="8" t="s">
        <v>115</v>
      </c>
      <c r="D1938" s="8" t="s">
        <v>37</v>
      </c>
      <c r="E1938" s="8" t="s">
        <v>10091</v>
      </c>
      <c r="F1938" s="17">
        <v>41768</v>
      </c>
      <c r="G1938" s="8" t="s">
        <v>10092</v>
      </c>
      <c r="H1938" s="8" t="s">
        <v>2678</v>
      </c>
      <c r="I1938" s="8" t="s">
        <v>118</v>
      </c>
      <c r="J1938" s="16" t="s">
        <v>10093</v>
      </c>
      <c r="K1938" s="2" t="s">
        <v>424</v>
      </c>
      <c r="L1938" s="8" t="s">
        <v>2679</v>
      </c>
      <c r="M1938" s="8" t="s">
        <v>27</v>
      </c>
      <c r="N1938" s="8" t="s">
        <v>10094</v>
      </c>
      <c r="O1938" s="8" t="s">
        <v>554</v>
      </c>
      <c r="P1938" s="8" t="s">
        <v>405</v>
      </c>
      <c r="Q1938" s="12"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1938" s="8" t="s">
        <v>29</v>
      </c>
      <c r="S1938" s="7" t="s">
        <v>28</v>
      </c>
      <c r="T1938" s="6"/>
      <c r="U1938" s="8"/>
    </row>
    <row r="1939" spans="1:21" ht="13.5" customHeight="1">
      <c r="A1939" s="8" t="s">
        <v>10085</v>
      </c>
      <c r="B1939" s="16">
        <v>26</v>
      </c>
      <c r="C1939" s="8" t="s">
        <v>20</v>
      </c>
      <c r="D1939" s="8" t="s">
        <v>48</v>
      </c>
      <c r="E1939" s="8" t="s">
        <v>10086</v>
      </c>
      <c r="F1939" s="17">
        <v>41768</v>
      </c>
      <c r="G1939" s="8" t="s">
        <v>10087</v>
      </c>
      <c r="H1939" s="8" t="s">
        <v>6421</v>
      </c>
      <c r="I1939" s="8" t="s">
        <v>45</v>
      </c>
      <c r="J1939" s="16" t="s">
        <v>6422</v>
      </c>
      <c r="K1939" s="2" t="s">
        <v>65</v>
      </c>
      <c r="L1939" s="8" t="s">
        <v>6423</v>
      </c>
      <c r="M1939" s="8" t="s">
        <v>27</v>
      </c>
      <c r="N1939" s="8" t="s">
        <v>10088</v>
      </c>
      <c r="O1939" s="8" t="s">
        <v>554</v>
      </c>
      <c r="P1939" s="8" t="s">
        <v>405</v>
      </c>
      <c r="Q1939" s="12" t="s">
        <v>10089</v>
      </c>
      <c r="R1939" s="8" t="s">
        <v>972</v>
      </c>
      <c r="S1939" s="7" t="s">
        <v>28</v>
      </c>
      <c r="T1939" s="6"/>
      <c r="U1939" s="8"/>
    </row>
    <row r="1940" spans="1:21" ht="13.5" customHeight="1">
      <c r="A1940" s="8" t="s">
        <v>10103</v>
      </c>
      <c r="B1940" s="16">
        <v>48</v>
      </c>
      <c r="C1940" s="8" t="s">
        <v>20</v>
      </c>
      <c r="D1940" s="8" t="s">
        <v>48</v>
      </c>
      <c r="F1940" s="17">
        <v>41767</v>
      </c>
      <c r="G1940" s="8" t="s">
        <v>10104</v>
      </c>
      <c r="H1940" s="8" t="s">
        <v>661</v>
      </c>
      <c r="I1940" s="8" t="s">
        <v>198</v>
      </c>
      <c r="J1940" s="16" t="s">
        <v>10105</v>
      </c>
      <c r="K1940" s="2" t="s">
        <v>10106</v>
      </c>
      <c r="L1940" s="8" t="s">
        <v>3118</v>
      </c>
      <c r="M1940" s="8" t="s">
        <v>27</v>
      </c>
      <c r="N1940" s="8" t="s">
        <v>10107</v>
      </c>
      <c r="O1940" s="8" t="s">
        <v>554</v>
      </c>
      <c r="P1940" s="8" t="s">
        <v>405</v>
      </c>
      <c r="Q1940" s="12" t="s">
        <v>10108</v>
      </c>
      <c r="R1940" s="8" t="s">
        <v>559</v>
      </c>
      <c r="S1940" s="7" t="s">
        <v>28</v>
      </c>
      <c r="T1940" s="6"/>
      <c r="U1940" s="8"/>
    </row>
    <row r="1941" spans="1:21" ht="13.5" customHeight="1">
      <c r="A1941" s="8" t="s">
        <v>10095</v>
      </c>
      <c r="B1941" s="16">
        <v>34</v>
      </c>
      <c r="C1941" s="8" t="s">
        <v>20</v>
      </c>
      <c r="D1941" s="8" t="s">
        <v>85</v>
      </c>
      <c r="E1941" s="8" t="s">
        <v>10096</v>
      </c>
      <c r="F1941" s="17">
        <v>41767</v>
      </c>
      <c r="G1941" s="8" t="s">
        <v>10097</v>
      </c>
      <c r="H1941" s="8" t="s">
        <v>10098</v>
      </c>
      <c r="I1941" s="8" t="s">
        <v>62</v>
      </c>
      <c r="J1941" s="16" t="s">
        <v>10099</v>
      </c>
      <c r="K1941" s="2" t="s">
        <v>1134</v>
      </c>
      <c r="L1941" s="8" t="s">
        <v>10100</v>
      </c>
      <c r="M1941" s="8" t="s">
        <v>27</v>
      </c>
      <c r="N1941" s="8" t="s">
        <v>10101</v>
      </c>
      <c r="O1941" s="8" t="s">
        <v>404</v>
      </c>
      <c r="P1941" s="8" t="s">
        <v>405</v>
      </c>
      <c r="Q1941" s="12" t="s">
        <v>10102</v>
      </c>
      <c r="R1941" s="8" t="s">
        <v>100</v>
      </c>
      <c r="S1941" s="7" t="s">
        <v>18</v>
      </c>
      <c r="T1941" s="6"/>
      <c r="U1941" s="8"/>
    </row>
    <row r="1942" spans="1:21" ht="13.5" customHeight="1">
      <c r="A1942" s="8" t="s">
        <v>10126</v>
      </c>
      <c r="B1942" s="16">
        <v>69</v>
      </c>
      <c r="C1942" s="8" t="s">
        <v>20</v>
      </c>
      <c r="D1942" s="8" t="s">
        <v>37</v>
      </c>
      <c r="F1942" s="17">
        <v>41767</v>
      </c>
      <c r="G1942" s="8" t="s">
        <v>10127</v>
      </c>
      <c r="H1942" s="8" t="s">
        <v>10128</v>
      </c>
      <c r="I1942" s="8" t="s">
        <v>62</v>
      </c>
      <c r="J1942" s="16" t="s">
        <v>9837</v>
      </c>
      <c r="K1942" s="2" t="s">
        <v>9838</v>
      </c>
      <c r="L1942" s="8" t="s">
        <v>9839</v>
      </c>
      <c r="M1942" s="8" t="s">
        <v>27</v>
      </c>
      <c r="N1942" s="8" t="s">
        <v>10129</v>
      </c>
      <c r="O1942" s="8" t="s">
        <v>1018</v>
      </c>
      <c r="P1942" s="8" t="s">
        <v>405</v>
      </c>
      <c r="Q1942" s="12" t="s">
        <v>10130</v>
      </c>
      <c r="R1942" s="8" t="s">
        <v>100</v>
      </c>
      <c r="S1942" s="7" t="s">
        <v>28</v>
      </c>
      <c r="T1942" s="6"/>
      <c r="U1942" s="8"/>
    </row>
    <row r="1943" spans="1:21" ht="13.5" customHeight="1">
      <c r="A1943" s="8" t="s">
        <v>10118</v>
      </c>
      <c r="B1943" s="16" t="s">
        <v>10119</v>
      </c>
      <c r="C1943" s="8" t="s">
        <v>20</v>
      </c>
      <c r="D1943" s="8" t="s">
        <v>48</v>
      </c>
      <c r="F1943" s="17">
        <v>41767</v>
      </c>
      <c r="G1943" s="8" t="s">
        <v>10120</v>
      </c>
      <c r="H1943" s="8" t="s">
        <v>10121</v>
      </c>
      <c r="I1943" s="8" t="s">
        <v>798</v>
      </c>
      <c r="J1943" s="16" t="s">
        <v>10122</v>
      </c>
      <c r="K1943" s="2" t="s">
        <v>10121</v>
      </c>
      <c r="L1943" s="8" t="s">
        <v>10123</v>
      </c>
      <c r="M1943" s="8" t="s">
        <v>27</v>
      </c>
      <c r="N1943" s="8" t="s">
        <v>10124</v>
      </c>
      <c r="O1943" s="8" t="s">
        <v>29</v>
      </c>
      <c r="P1943" s="8" t="s">
        <v>405</v>
      </c>
      <c r="Q1943" s="12" t="s">
        <v>10125</v>
      </c>
      <c r="R1943" s="8" t="s">
        <v>100</v>
      </c>
      <c r="S1943" s="7" t="s">
        <v>28</v>
      </c>
      <c r="T1943" s="6"/>
      <c r="U1943" s="8"/>
    </row>
    <row r="1944" spans="1:21" ht="13.5" customHeight="1">
      <c r="A1944" s="8" t="s">
        <v>10131</v>
      </c>
      <c r="B1944" s="16">
        <v>31</v>
      </c>
      <c r="C1944" s="8" t="s">
        <v>20</v>
      </c>
      <c r="D1944" s="8" t="s">
        <v>37</v>
      </c>
      <c r="E1944" s="8" t="s">
        <v>10132</v>
      </c>
      <c r="F1944" s="17">
        <v>41767</v>
      </c>
      <c r="G1944" s="8" t="s">
        <v>10133</v>
      </c>
      <c r="H1944" s="8" t="s">
        <v>2605</v>
      </c>
      <c r="I1944" s="8" t="s">
        <v>57</v>
      </c>
      <c r="J1944" s="16">
        <v>48865</v>
      </c>
      <c r="K1944" s="2" t="s">
        <v>10134</v>
      </c>
      <c r="L1944" s="8" t="s">
        <v>10135</v>
      </c>
      <c r="M1944" s="8" t="s">
        <v>27</v>
      </c>
      <c r="N1944" s="8" t="s">
        <v>10136</v>
      </c>
      <c r="P1944" s="8" t="s">
        <v>405</v>
      </c>
      <c r="Q1944" s="12" t="str">
        <f>HYPERLINK("http://www.mlive.com/news/grand-rapids/index.ssf/2014/05/two_troopers_one_deputy_on_lea.html","http://www.mlive.com/news/grand-rapids/index.ssf/2014/05/two_troopers_one_deputy_on_lea.html")</f>
        <v>http://www.mlive.com/news/grand-rapids/index.ssf/2014/05/two_troopers_one_deputy_on_lea.html</v>
      </c>
      <c r="S1944" s="7" t="s">
        <v>28</v>
      </c>
      <c r="T1944" s="6"/>
      <c r="U1944" s="8"/>
    </row>
    <row r="1945" spans="1:21" ht="13.5" customHeight="1">
      <c r="A1945" s="8" t="s">
        <v>10109</v>
      </c>
      <c r="B1945" s="16">
        <v>41</v>
      </c>
      <c r="C1945" s="8" t="s">
        <v>20</v>
      </c>
      <c r="D1945" s="8" t="s">
        <v>48</v>
      </c>
      <c r="E1945" s="8" t="s">
        <v>10110</v>
      </c>
      <c r="F1945" s="17">
        <v>41767</v>
      </c>
      <c r="G1945" s="8" t="s">
        <v>10111</v>
      </c>
      <c r="H1945" s="8" t="s">
        <v>10112</v>
      </c>
      <c r="I1945" s="8" t="s">
        <v>212</v>
      </c>
      <c r="J1945" s="16" t="s">
        <v>10113</v>
      </c>
      <c r="K1945" s="2" t="s">
        <v>10114</v>
      </c>
      <c r="L1945" s="8" t="s">
        <v>10115</v>
      </c>
      <c r="M1945" s="8" t="s">
        <v>27</v>
      </c>
      <c r="N1945" s="8" t="s">
        <v>10116</v>
      </c>
      <c r="O1945" s="8" t="s">
        <v>1018</v>
      </c>
      <c r="P1945" s="8" t="s">
        <v>405</v>
      </c>
      <c r="Q1945" s="12" t="s">
        <v>10117</v>
      </c>
      <c r="R1945" s="8" t="s">
        <v>100</v>
      </c>
      <c r="S1945" s="7" t="s">
        <v>28</v>
      </c>
      <c r="T1945" s="6"/>
      <c r="U1945" s="8"/>
    </row>
    <row r="1946" spans="1:21" ht="13.5" customHeight="1">
      <c r="A1946" s="8" t="s">
        <v>10149</v>
      </c>
      <c r="B1946" s="16">
        <v>30</v>
      </c>
      <c r="C1946" s="8" t="s">
        <v>20</v>
      </c>
      <c r="D1946" s="8" t="s">
        <v>48</v>
      </c>
      <c r="E1946" s="8" t="s">
        <v>10150</v>
      </c>
      <c r="F1946" s="17">
        <v>41766</v>
      </c>
      <c r="G1946" s="8" t="s">
        <v>10151</v>
      </c>
      <c r="H1946" s="8" t="s">
        <v>6714</v>
      </c>
      <c r="I1946" s="8" t="s">
        <v>73</v>
      </c>
      <c r="J1946" s="16" t="s">
        <v>10152</v>
      </c>
      <c r="K1946" s="2" t="s">
        <v>6714</v>
      </c>
      <c r="L1946" s="8" t="s">
        <v>7714</v>
      </c>
      <c r="M1946" s="8" t="s">
        <v>27</v>
      </c>
      <c r="N1946" s="8" t="s">
        <v>10153</v>
      </c>
      <c r="O1946" s="8" t="s">
        <v>1018</v>
      </c>
      <c r="P1946" s="8" t="s">
        <v>405</v>
      </c>
      <c r="Q1946" s="12" t="s">
        <v>10154</v>
      </c>
      <c r="R1946" s="8" t="s">
        <v>29</v>
      </c>
      <c r="S1946" s="7" t="s">
        <v>28</v>
      </c>
      <c r="T1946" s="6"/>
      <c r="U1946" s="8"/>
    </row>
    <row r="1947" spans="1:21" ht="13.5" customHeight="1">
      <c r="A1947" s="8" t="s">
        <v>10137</v>
      </c>
      <c r="B1947" s="16">
        <v>23</v>
      </c>
      <c r="C1947" s="8" t="s">
        <v>20</v>
      </c>
      <c r="D1947" s="8" t="s">
        <v>85</v>
      </c>
      <c r="E1947" s="8" t="s">
        <v>10138</v>
      </c>
      <c r="F1947" s="17">
        <v>41766</v>
      </c>
      <c r="G1947" s="8" t="s">
        <v>10139</v>
      </c>
      <c r="H1947" s="8" t="s">
        <v>87</v>
      </c>
      <c r="I1947" s="8" t="s">
        <v>44</v>
      </c>
      <c r="J1947" s="16" t="s">
        <v>10140</v>
      </c>
      <c r="K1947" s="2" t="s">
        <v>88</v>
      </c>
      <c r="L1947" s="8" t="s">
        <v>89</v>
      </c>
      <c r="M1947" s="8" t="s">
        <v>395</v>
      </c>
      <c r="N1947" s="8" t="s">
        <v>10141</v>
      </c>
      <c r="O1947" s="8" t="s">
        <v>4742</v>
      </c>
      <c r="P1947" s="8" t="s">
        <v>405</v>
      </c>
      <c r="Q1947" s="12" t="s">
        <v>10142</v>
      </c>
      <c r="R1947" s="8" t="s">
        <v>100</v>
      </c>
      <c r="S1947" s="7" t="s">
        <v>18</v>
      </c>
      <c r="T1947" s="6"/>
      <c r="U1947" s="8"/>
    </row>
    <row r="1948" spans="1:21" ht="13.5" customHeight="1">
      <c r="A1948" s="8" t="s">
        <v>10143</v>
      </c>
      <c r="B1948" s="16">
        <v>19</v>
      </c>
      <c r="C1948" s="8" t="s">
        <v>20</v>
      </c>
      <c r="D1948" s="8" t="s">
        <v>85</v>
      </c>
      <c r="E1948" s="8" t="s">
        <v>10144</v>
      </c>
      <c r="F1948" s="17">
        <v>41766</v>
      </c>
      <c r="G1948" s="8" t="s">
        <v>10145</v>
      </c>
      <c r="H1948" s="8" t="s">
        <v>1608</v>
      </c>
      <c r="I1948" s="8" t="s">
        <v>52</v>
      </c>
      <c r="J1948" s="16" t="s">
        <v>10146</v>
      </c>
      <c r="K1948" s="2" t="s">
        <v>4755</v>
      </c>
      <c r="L1948" s="8" t="s">
        <v>2799</v>
      </c>
      <c r="M1948" s="8" t="s">
        <v>395</v>
      </c>
      <c r="N1948" s="8" t="s">
        <v>10147</v>
      </c>
      <c r="O1948" s="8" t="s">
        <v>4742</v>
      </c>
      <c r="P1948" s="8" t="s">
        <v>405</v>
      </c>
      <c r="Q1948" s="12" t="s">
        <v>10148</v>
      </c>
      <c r="R1948" s="8" t="s">
        <v>559</v>
      </c>
      <c r="S1948" s="7" t="s">
        <v>18</v>
      </c>
      <c r="T1948" s="6"/>
      <c r="U1948" s="8"/>
    </row>
    <row r="1949" spans="1:21" ht="13.5" customHeight="1">
      <c r="A1949" s="8" t="s">
        <v>10163</v>
      </c>
      <c r="B1949" s="16">
        <v>28</v>
      </c>
      <c r="C1949" s="8" t="s">
        <v>20</v>
      </c>
      <c r="D1949" s="8" t="s">
        <v>37</v>
      </c>
      <c r="E1949" s="8" t="s">
        <v>10164</v>
      </c>
      <c r="F1949" s="17">
        <v>41765</v>
      </c>
      <c r="G1949" s="8" t="s">
        <v>10165</v>
      </c>
      <c r="H1949" s="8" t="s">
        <v>10166</v>
      </c>
      <c r="I1949" s="8" t="s">
        <v>62</v>
      </c>
      <c r="J1949" s="16" t="s">
        <v>10167</v>
      </c>
      <c r="K1949" s="2" t="s">
        <v>3940</v>
      </c>
      <c r="L1949" s="8" t="s">
        <v>10168</v>
      </c>
      <c r="M1949" s="8" t="s">
        <v>27</v>
      </c>
      <c r="N1949" s="8" t="s">
        <v>10169</v>
      </c>
      <c r="O1949" s="8" t="s">
        <v>554</v>
      </c>
      <c r="P1949" s="8" t="s">
        <v>405</v>
      </c>
      <c r="Q1949" s="12" t="s">
        <v>10170</v>
      </c>
      <c r="R1949" s="8" t="s">
        <v>100</v>
      </c>
      <c r="S1949" s="7" t="s">
        <v>18</v>
      </c>
      <c r="T1949" s="6"/>
      <c r="U1949" s="8"/>
    </row>
    <row r="1950" spans="1:21" ht="13.5" customHeight="1">
      <c r="A1950" s="8" t="s">
        <v>10171</v>
      </c>
      <c r="B1950" s="16">
        <v>43</v>
      </c>
      <c r="C1950" s="8" t="s">
        <v>20</v>
      </c>
      <c r="D1950" s="8" t="s">
        <v>37</v>
      </c>
      <c r="E1950" s="8" t="s">
        <v>10172</v>
      </c>
      <c r="F1950" s="17">
        <v>41765</v>
      </c>
      <c r="G1950" s="8" t="s">
        <v>10173</v>
      </c>
      <c r="H1950" s="8" t="s">
        <v>1343</v>
      </c>
      <c r="I1950" s="8" t="s">
        <v>45</v>
      </c>
      <c r="J1950" s="16" t="s">
        <v>10174</v>
      </c>
      <c r="K1950" s="2" t="s">
        <v>1344</v>
      </c>
      <c r="L1950" s="8" t="s">
        <v>10175</v>
      </c>
      <c r="M1950" s="8" t="s">
        <v>27</v>
      </c>
      <c r="N1950" s="8" t="s">
        <v>10176</v>
      </c>
      <c r="O1950" s="8" t="s">
        <v>4742</v>
      </c>
      <c r="P1950" s="8" t="s">
        <v>405</v>
      </c>
      <c r="Q1950" s="12" t="s">
        <v>10177</v>
      </c>
      <c r="R1950" s="8" t="s">
        <v>100</v>
      </c>
      <c r="S1950" s="7" t="s">
        <v>28</v>
      </c>
      <c r="T1950" s="6"/>
      <c r="U1950" s="8"/>
    </row>
    <row r="1951" spans="1:21" ht="13.5" customHeight="1">
      <c r="A1951" s="8" t="s">
        <v>10155</v>
      </c>
      <c r="B1951" s="16">
        <v>93</v>
      </c>
      <c r="C1951" s="8" t="s">
        <v>115</v>
      </c>
      <c r="D1951" s="8" t="s">
        <v>85</v>
      </c>
      <c r="E1951" s="8" t="s">
        <v>10156</v>
      </c>
      <c r="F1951" s="17">
        <v>41765</v>
      </c>
      <c r="G1951" s="8" t="s">
        <v>10157</v>
      </c>
      <c r="H1951" s="8" t="s">
        <v>10158</v>
      </c>
      <c r="I1951" s="8" t="s">
        <v>73</v>
      </c>
      <c r="J1951" s="16" t="s">
        <v>10159</v>
      </c>
      <c r="K1951" s="2" t="s">
        <v>10160</v>
      </c>
      <c r="L1951" s="8" t="s">
        <v>10161</v>
      </c>
      <c r="M1951" s="8" t="s">
        <v>27</v>
      </c>
      <c r="N1951" s="8" t="s">
        <v>10162</v>
      </c>
      <c r="O1951" s="8" t="s">
        <v>1018</v>
      </c>
      <c r="P1951" s="8" t="s">
        <v>405</v>
      </c>
      <c r="Q1951" s="12"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1951" s="8" t="s">
        <v>559</v>
      </c>
      <c r="S1951" s="7" t="s">
        <v>28</v>
      </c>
      <c r="T1951" s="6"/>
      <c r="U1951" s="8"/>
    </row>
    <row r="1952" spans="1:21" ht="13.5" customHeight="1">
      <c r="A1952" s="8" t="s">
        <v>10178</v>
      </c>
      <c r="B1952" s="16">
        <v>25</v>
      </c>
      <c r="C1952" s="8" t="s">
        <v>20</v>
      </c>
      <c r="D1952" s="8" t="s">
        <v>85</v>
      </c>
      <c r="E1952" s="8" t="s">
        <v>10179</v>
      </c>
      <c r="F1952" s="17">
        <v>41764</v>
      </c>
      <c r="G1952" s="8" t="s">
        <v>10180</v>
      </c>
      <c r="H1952" s="8" t="s">
        <v>437</v>
      </c>
      <c r="I1952" s="8" t="s">
        <v>675</v>
      </c>
      <c r="J1952" s="16" t="s">
        <v>10181</v>
      </c>
      <c r="K1952" s="2" t="s">
        <v>10182</v>
      </c>
      <c r="L1952" s="8" t="s">
        <v>10183</v>
      </c>
      <c r="M1952" s="8" t="s">
        <v>3189</v>
      </c>
      <c r="N1952" s="8" t="s">
        <v>10184</v>
      </c>
      <c r="O1952" s="8" t="s">
        <v>1804</v>
      </c>
      <c r="P1952" s="8" t="s">
        <v>1171</v>
      </c>
      <c r="Q1952" s="12" t="s">
        <v>10185</v>
      </c>
      <c r="R1952" s="8" t="s">
        <v>100</v>
      </c>
      <c r="S1952" s="7" t="s">
        <v>18</v>
      </c>
      <c r="T1952" s="6"/>
      <c r="U1952" s="8"/>
    </row>
    <row r="1953" spans="1:34" ht="13.5" customHeight="1">
      <c r="A1953" s="8" t="s">
        <v>3288</v>
      </c>
      <c r="B1953" s="16" t="s">
        <v>29</v>
      </c>
      <c r="C1953" s="8" t="s">
        <v>20</v>
      </c>
      <c r="D1953" s="8" t="s">
        <v>85</v>
      </c>
      <c r="F1953" s="17">
        <v>41764</v>
      </c>
      <c r="G1953" s="8" t="s">
        <v>10186</v>
      </c>
      <c r="H1953" s="8" t="s">
        <v>731</v>
      </c>
      <c r="I1953" s="8" t="s">
        <v>73</v>
      </c>
      <c r="J1953" s="16" t="s">
        <v>10187</v>
      </c>
      <c r="K1953" s="2" t="s">
        <v>562</v>
      </c>
      <c r="L1953" s="8" t="s">
        <v>732</v>
      </c>
      <c r="M1953" s="8" t="s">
        <v>27</v>
      </c>
      <c r="N1953" s="8" t="s">
        <v>10188</v>
      </c>
      <c r="O1953" s="8" t="s">
        <v>1018</v>
      </c>
      <c r="P1953" s="8" t="s">
        <v>405</v>
      </c>
      <c r="Q1953" s="12" t="s">
        <v>10189</v>
      </c>
      <c r="R1953" s="8" t="s">
        <v>100</v>
      </c>
      <c r="S1953" s="7" t="s">
        <v>28</v>
      </c>
      <c r="T1953" s="6"/>
      <c r="U1953" s="8"/>
    </row>
    <row r="1954" spans="1:34" ht="13.5" customHeight="1">
      <c r="A1954" s="8" t="s">
        <v>10190</v>
      </c>
      <c r="B1954" s="16">
        <v>38</v>
      </c>
      <c r="C1954" s="8" t="s">
        <v>20</v>
      </c>
      <c r="D1954" s="8" t="s">
        <v>85</v>
      </c>
      <c r="E1954" s="8" t="s">
        <v>10191</v>
      </c>
      <c r="F1954" s="17">
        <v>41763</v>
      </c>
      <c r="G1954" s="8" t="s">
        <v>10192</v>
      </c>
      <c r="H1954" s="8" t="s">
        <v>10193</v>
      </c>
      <c r="I1954" s="8" t="s">
        <v>73</v>
      </c>
      <c r="J1954" s="16" t="s">
        <v>10194</v>
      </c>
      <c r="K1954" s="2" t="s">
        <v>1205</v>
      </c>
      <c r="L1954" s="8" t="s">
        <v>10195</v>
      </c>
      <c r="M1954" s="8" t="s">
        <v>27</v>
      </c>
      <c r="N1954" s="8" t="s">
        <v>10196</v>
      </c>
      <c r="O1954" s="8" t="s">
        <v>554</v>
      </c>
      <c r="P1954" s="8" t="s">
        <v>405</v>
      </c>
      <c r="Q1954" s="12" t="s">
        <v>10197</v>
      </c>
      <c r="R1954" s="8" t="s">
        <v>100</v>
      </c>
      <c r="S1954" s="7" t="s">
        <v>383</v>
      </c>
      <c r="T1954" s="6"/>
      <c r="U1954" s="8"/>
    </row>
    <row r="1955" spans="1:34" ht="13.5" customHeight="1">
      <c r="A1955" s="8" t="s">
        <v>10198</v>
      </c>
      <c r="B1955" s="16">
        <v>18</v>
      </c>
      <c r="C1955" s="8" t="s">
        <v>20</v>
      </c>
      <c r="D1955" s="8" t="s">
        <v>48</v>
      </c>
      <c r="E1955" s="8" t="s">
        <v>10199</v>
      </c>
      <c r="F1955" s="17">
        <v>41763</v>
      </c>
      <c r="G1955" s="8" t="s">
        <v>10200</v>
      </c>
      <c r="H1955" s="8" t="s">
        <v>3589</v>
      </c>
      <c r="I1955" s="8" t="s">
        <v>45</v>
      </c>
      <c r="J1955" s="16" t="s">
        <v>10201</v>
      </c>
      <c r="K1955" s="2" t="s">
        <v>608</v>
      </c>
      <c r="L1955" s="8" t="s">
        <v>10202</v>
      </c>
      <c r="M1955" s="8" t="s">
        <v>27</v>
      </c>
      <c r="N1955" s="8" t="s">
        <v>10203</v>
      </c>
      <c r="O1955" s="8" t="s">
        <v>1018</v>
      </c>
      <c r="P1955" s="8" t="s">
        <v>405</v>
      </c>
      <c r="Q1955" s="12" t="s">
        <v>10204</v>
      </c>
      <c r="R1955" s="8" t="s">
        <v>559</v>
      </c>
      <c r="S1955" s="7" t="s">
        <v>28</v>
      </c>
      <c r="T1955" s="6"/>
      <c r="U1955" s="8"/>
    </row>
    <row r="1956" spans="1:34" ht="13.5" customHeight="1">
      <c r="A1956" s="8" t="s">
        <v>10205</v>
      </c>
      <c r="B1956" s="16">
        <v>31</v>
      </c>
      <c r="C1956" s="8" t="s">
        <v>20</v>
      </c>
      <c r="D1956" s="8" t="s">
        <v>37</v>
      </c>
      <c r="E1956" s="8" t="s">
        <v>10206</v>
      </c>
      <c r="F1956" s="17">
        <v>41763</v>
      </c>
      <c r="G1956" s="8" t="s">
        <v>10207</v>
      </c>
      <c r="H1956" s="8" t="s">
        <v>2605</v>
      </c>
      <c r="I1956" s="8" t="s">
        <v>57</v>
      </c>
      <c r="J1956" s="16" t="s">
        <v>10208</v>
      </c>
      <c r="K1956" s="2" t="s">
        <v>10134</v>
      </c>
      <c r="L1956" s="8" t="s">
        <v>10209</v>
      </c>
      <c r="M1956" s="8" t="s">
        <v>27</v>
      </c>
      <c r="N1956" s="8" t="s">
        <v>10210</v>
      </c>
      <c r="O1956" s="8" t="s">
        <v>554</v>
      </c>
      <c r="P1956" s="8" t="s">
        <v>405</v>
      </c>
      <c r="Q1956" s="12" t="s">
        <v>10211</v>
      </c>
      <c r="R1956" s="8" t="s">
        <v>29</v>
      </c>
      <c r="S1956" s="7" t="s">
        <v>28</v>
      </c>
      <c r="T1956" s="6"/>
      <c r="U1956" s="8"/>
    </row>
    <row r="1957" spans="1:34" ht="13.5" customHeight="1">
      <c r="A1957" s="8" t="s">
        <v>10217</v>
      </c>
      <c r="B1957" s="16" t="s">
        <v>10218</v>
      </c>
      <c r="C1957" s="8" t="s">
        <v>20</v>
      </c>
      <c r="D1957" s="8" t="s">
        <v>85</v>
      </c>
      <c r="E1957" s="8" t="s">
        <v>10219</v>
      </c>
      <c r="F1957" s="17">
        <v>41762</v>
      </c>
      <c r="G1957" s="8" t="s">
        <v>10220</v>
      </c>
      <c r="H1957" s="8" t="s">
        <v>930</v>
      </c>
      <c r="I1957" s="8" t="s">
        <v>198</v>
      </c>
      <c r="J1957" s="16" t="s">
        <v>10221</v>
      </c>
      <c r="K1957" s="2" t="s">
        <v>471</v>
      </c>
      <c r="L1957" s="8" t="s">
        <v>5024</v>
      </c>
      <c r="M1957" s="8" t="s">
        <v>27</v>
      </c>
      <c r="N1957" s="8" t="s">
        <v>10222</v>
      </c>
      <c r="O1957" s="8" t="s">
        <v>29</v>
      </c>
      <c r="P1957" s="8" t="s">
        <v>405</v>
      </c>
      <c r="Q1957" s="12" t="s">
        <v>10223</v>
      </c>
      <c r="R1957" s="8" t="s">
        <v>100</v>
      </c>
      <c r="S1957" s="7" t="s">
        <v>28</v>
      </c>
      <c r="T1957" s="6"/>
      <c r="U1957" s="8"/>
      <c r="Y1957" s="8"/>
      <c r="Z1957" s="8"/>
      <c r="AA1957" s="8"/>
      <c r="AB1957" s="8"/>
      <c r="AC1957" s="8"/>
      <c r="AD1957" s="8"/>
      <c r="AE1957" s="8"/>
      <c r="AF1957" s="8"/>
      <c r="AG1957" s="8"/>
      <c r="AH1957" s="8"/>
    </row>
    <row r="1958" spans="1:34" ht="13.5" customHeight="1">
      <c r="A1958" s="8" t="s">
        <v>10212</v>
      </c>
      <c r="B1958" s="16">
        <v>44</v>
      </c>
      <c r="C1958" s="8" t="s">
        <v>20</v>
      </c>
      <c r="D1958" s="8" t="s">
        <v>85</v>
      </c>
      <c r="E1958" s="8" t="s">
        <v>10213</v>
      </c>
      <c r="F1958" s="17">
        <v>41762</v>
      </c>
      <c r="G1958" s="8" t="s">
        <v>10214</v>
      </c>
      <c r="H1958" s="8" t="s">
        <v>463</v>
      </c>
      <c r="I1958" s="8" t="s">
        <v>25</v>
      </c>
      <c r="J1958" s="16" t="s">
        <v>10215</v>
      </c>
      <c r="K1958" s="2" t="s">
        <v>5980</v>
      </c>
      <c r="L1958" s="8" t="s">
        <v>464</v>
      </c>
      <c r="M1958" s="8" t="s">
        <v>8430</v>
      </c>
      <c r="N1958" s="8" t="s">
        <v>10216</v>
      </c>
      <c r="O1958" s="8" t="s">
        <v>1018</v>
      </c>
      <c r="P1958" s="8" t="s">
        <v>405</v>
      </c>
      <c r="Q1958" s="12"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1958" s="8" t="s">
        <v>972</v>
      </c>
      <c r="S1958" s="7" t="s">
        <v>18</v>
      </c>
      <c r="T1958" s="6"/>
      <c r="U1958" s="8"/>
    </row>
    <row r="1959" spans="1:34" ht="13.5" customHeight="1">
      <c r="A1959" s="8" t="s">
        <v>10238</v>
      </c>
      <c r="B1959" s="16">
        <v>29</v>
      </c>
      <c r="C1959" s="8" t="s">
        <v>20</v>
      </c>
      <c r="D1959" s="8" t="s">
        <v>37</v>
      </c>
      <c r="F1959" s="17">
        <v>41761</v>
      </c>
      <c r="G1959" s="8" t="s">
        <v>10239</v>
      </c>
      <c r="H1959" s="8" t="s">
        <v>657</v>
      </c>
      <c r="I1959" s="8" t="s">
        <v>62</v>
      </c>
      <c r="J1959" s="16" t="s">
        <v>10240</v>
      </c>
      <c r="K1959" s="2" t="s">
        <v>658</v>
      </c>
      <c r="L1959" s="8" t="s">
        <v>659</v>
      </c>
      <c r="M1959" s="8" t="s">
        <v>27</v>
      </c>
      <c r="N1959" s="8" t="s">
        <v>10241</v>
      </c>
      <c r="O1959" s="8" t="s">
        <v>1018</v>
      </c>
      <c r="P1959" s="8" t="s">
        <v>405</v>
      </c>
      <c r="Q1959" s="12" t="s">
        <v>10242</v>
      </c>
      <c r="R1959" s="8" t="s">
        <v>100</v>
      </c>
      <c r="S1959" s="7" t="s">
        <v>28</v>
      </c>
      <c r="T1959" s="6"/>
      <c r="U1959" s="8"/>
    </row>
    <row r="1960" spans="1:34" ht="13.5" customHeight="1">
      <c r="A1960" s="8" t="s">
        <v>10229</v>
      </c>
      <c r="B1960" s="16">
        <v>39</v>
      </c>
      <c r="C1960" s="8" t="s">
        <v>20</v>
      </c>
      <c r="D1960" s="8" t="s">
        <v>85</v>
      </c>
      <c r="E1960" s="8" t="s">
        <v>10230</v>
      </c>
      <c r="F1960" s="17">
        <v>41761</v>
      </c>
      <c r="G1960" s="8" t="s">
        <v>10231</v>
      </c>
      <c r="H1960" s="8" t="s">
        <v>10232</v>
      </c>
      <c r="I1960" s="8" t="s">
        <v>57</v>
      </c>
      <c r="J1960" s="16" t="s">
        <v>10233</v>
      </c>
      <c r="K1960" s="2" t="s">
        <v>10234</v>
      </c>
      <c r="L1960" s="8" t="s">
        <v>10235</v>
      </c>
      <c r="M1960" s="8" t="s">
        <v>27</v>
      </c>
      <c r="N1960" s="8" t="s">
        <v>10236</v>
      </c>
      <c r="O1960" s="8" t="s">
        <v>554</v>
      </c>
      <c r="P1960" s="8" t="s">
        <v>405</v>
      </c>
      <c r="Q1960" s="12" t="s">
        <v>10237</v>
      </c>
      <c r="R1960" s="8" t="s">
        <v>100</v>
      </c>
      <c r="S1960" s="7" t="s">
        <v>28</v>
      </c>
      <c r="T1960" s="6"/>
      <c r="U1960" s="8"/>
    </row>
    <row r="1961" spans="1:34" ht="13.5" customHeight="1">
      <c r="A1961" s="8" t="s">
        <v>10224</v>
      </c>
      <c r="B1961" s="16">
        <v>33</v>
      </c>
      <c r="C1961" s="8" t="s">
        <v>20</v>
      </c>
      <c r="D1961" s="8" t="s">
        <v>85</v>
      </c>
      <c r="E1961" s="8" t="s">
        <v>10225</v>
      </c>
      <c r="F1961" s="17">
        <v>41761</v>
      </c>
      <c r="G1961" s="8" t="s">
        <v>10226</v>
      </c>
      <c r="H1961" s="8" t="s">
        <v>2179</v>
      </c>
      <c r="I1961" s="8" t="s">
        <v>442</v>
      </c>
      <c r="J1961" s="16" t="s">
        <v>3886</v>
      </c>
      <c r="K1961" s="2" t="s">
        <v>9877</v>
      </c>
      <c r="L1961" s="8" t="s">
        <v>3887</v>
      </c>
      <c r="M1961" s="8" t="s">
        <v>27</v>
      </c>
      <c r="N1961" s="8" t="s">
        <v>10227</v>
      </c>
      <c r="O1961" s="8" t="s">
        <v>554</v>
      </c>
      <c r="P1961" s="8" t="s">
        <v>405</v>
      </c>
      <c r="Q1961" s="12" t="s">
        <v>10228</v>
      </c>
      <c r="R1961" s="8" t="s">
        <v>559</v>
      </c>
      <c r="S1961" s="7" t="s">
        <v>28</v>
      </c>
      <c r="T1961" s="6"/>
      <c r="U1961" s="8"/>
    </row>
    <row r="1962" spans="1:34" ht="13.5" customHeight="1">
      <c r="A1962" s="8" t="s">
        <v>10243</v>
      </c>
      <c r="B1962" s="16">
        <v>50</v>
      </c>
      <c r="C1962" s="8" t="s">
        <v>20</v>
      </c>
      <c r="D1962" s="8" t="s">
        <v>30</v>
      </c>
      <c r="F1962" s="17">
        <v>41760</v>
      </c>
      <c r="G1962" s="8" t="s">
        <v>10244</v>
      </c>
      <c r="H1962" s="8" t="s">
        <v>10245</v>
      </c>
      <c r="I1962" s="8" t="s">
        <v>442</v>
      </c>
      <c r="J1962" s="16" t="s">
        <v>10246</v>
      </c>
      <c r="K1962" s="2" t="s">
        <v>9877</v>
      </c>
      <c r="L1962" s="8" t="s">
        <v>10247</v>
      </c>
      <c r="M1962" s="8" t="s">
        <v>27</v>
      </c>
      <c r="N1962" s="8" t="s">
        <v>10248</v>
      </c>
      <c r="O1962" s="8" t="s">
        <v>554</v>
      </c>
      <c r="P1962" s="8" t="s">
        <v>405</v>
      </c>
      <c r="Q1962" s="12" t="s">
        <v>10249</v>
      </c>
      <c r="R1962" s="8" t="s">
        <v>559</v>
      </c>
      <c r="S1962" s="7" t="s">
        <v>28</v>
      </c>
      <c r="T1962" s="6"/>
      <c r="U1962" s="8"/>
    </row>
    <row r="1963" spans="1:34" ht="13.5" customHeight="1">
      <c r="A1963" s="8" t="s">
        <v>10250</v>
      </c>
      <c r="B1963" s="16">
        <v>31</v>
      </c>
      <c r="C1963" s="8" t="s">
        <v>20</v>
      </c>
      <c r="D1963" s="8" t="s">
        <v>85</v>
      </c>
      <c r="E1963" s="8" t="s">
        <v>10251</v>
      </c>
      <c r="F1963" s="17">
        <v>41759</v>
      </c>
      <c r="G1963" s="8" t="s">
        <v>10252</v>
      </c>
      <c r="H1963" s="8" t="s">
        <v>895</v>
      </c>
      <c r="I1963" s="8" t="s">
        <v>442</v>
      </c>
      <c r="J1963" s="16" t="s">
        <v>10253</v>
      </c>
      <c r="K1963" s="2" t="s">
        <v>895</v>
      </c>
      <c r="L1963" s="8" t="s">
        <v>3913</v>
      </c>
      <c r="M1963" s="8" t="s">
        <v>27</v>
      </c>
      <c r="N1963" s="8" t="s">
        <v>10254</v>
      </c>
      <c r="O1963" s="8" t="s">
        <v>29</v>
      </c>
      <c r="P1963" s="8" t="s">
        <v>405</v>
      </c>
      <c r="Q1963" s="12" t="s">
        <v>10255</v>
      </c>
      <c r="R1963" s="8" t="s">
        <v>559</v>
      </c>
      <c r="S1963" s="7" t="s">
        <v>35</v>
      </c>
      <c r="T1963" s="6"/>
      <c r="U1963" s="8"/>
    </row>
    <row r="1964" spans="1:34" ht="13.5" customHeight="1">
      <c r="A1964" s="8" t="s">
        <v>10256</v>
      </c>
      <c r="B1964" s="16">
        <v>47</v>
      </c>
      <c r="C1964" s="8" t="s">
        <v>20</v>
      </c>
      <c r="D1964" s="8" t="s">
        <v>37</v>
      </c>
      <c r="E1964" s="8" t="s">
        <v>10257</v>
      </c>
      <c r="F1964" s="17">
        <v>41759</v>
      </c>
      <c r="G1964" s="8" t="s">
        <v>10258</v>
      </c>
      <c r="H1964" s="8" t="s">
        <v>2678</v>
      </c>
      <c r="I1964" s="8" t="s">
        <v>118</v>
      </c>
      <c r="J1964" s="16" t="s">
        <v>10259</v>
      </c>
      <c r="K1964" s="2" t="s">
        <v>424</v>
      </c>
      <c r="L1964" s="8" t="s">
        <v>2679</v>
      </c>
      <c r="M1964" s="8" t="s">
        <v>27</v>
      </c>
      <c r="N1964" s="8" t="s">
        <v>10260</v>
      </c>
      <c r="O1964" s="8" t="s">
        <v>554</v>
      </c>
      <c r="P1964" s="8" t="s">
        <v>405</v>
      </c>
      <c r="Q1964" s="12" t="s">
        <v>10261</v>
      </c>
      <c r="R1964" s="8" t="s">
        <v>559</v>
      </c>
      <c r="S1964" s="7" t="s">
        <v>28</v>
      </c>
      <c r="T1964" s="6"/>
      <c r="U1964" s="8"/>
    </row>
    <row r="1965" spans="1:34" ht="13.5" customHeight="1">
      <c r="A1965" s="8" t="s">
        <v>10287</v>
      </c>
      <c r="B1965" s="16">
        <v>27</v>
      </c>
      <c r="C1965" s="8" t="s">
        <v>115</v>
      </c>
      <c r="D1965" s="8" t="s">
        <v>37</v>
      </c>
      <c r="E1965" s="8" t="s">
        <v>10288</v>
      </c>
      <c r="F1965" s="17">
        <v>41758</v>
      </c>
      <c r="G1965" s="8" t="s">
        <v>10289</v>
      </c>
      <c r="H1965" s="8" t="s">
        <v>10290</v>
      </c>
      <c r="I1965" s="8" t="s">
        <v>675</v>
      </c>
      <c r="J1965" s="16" t="s">
        <v>10291</v>
      </c>
      <c r="K1965" s="2" t="s">
        <v>5821</v>
      </c>
      <c r="L1965" s="8" t="s">
        <v>10292</v>
      </c>
      <c r="M1965" s="8" t="s">
        <v>27</v>
      </c>
      <c r="N1965" s="8" t="s">
        <v>10293</v>
      </c>
      <c r="O1965" s="8" t="s">
        <v>1018</v>
      </c>
      <c r="P1965" s="8" t="s">
        <v>405</v>
      </c>
      <c r="Q1965" s="12" t="s">
        <v>10294</v>
      </c>
      <c r="R1965" s="8" t="s">
        <v>29</v>
      </c>
      <c r="S1965" s="7" t="s">
        <v>18</v>
      </c>
      <c r="T1965" s="6"/>
      <c r="U1965" s="8"/>
    </row>
    <row r="1966" spans="1:34" ht="13.5" customHeight="1">
      <c r="A1966" s="8" t="s">
        <v>10269</v>
      </c>
      <c r="B1966" s="16">
        <v>26</v>
      </c>
      <c r="C1966" s="8" t="s">
        <v>20</v>
      </c>
      <c r="D1966" s="8" t="s">
        <v>48</v>
      </c>
      <c r="F1966" s="17">
        <v>41758</v>
      </c>
      <c r="G1966" s="8" t="s">
        <v>10270</v>
      </c>
      <c r="H1966" s="8" t="s">
        <v>98</v>
      </c>
      <c r="I1966" s="8" t="s">
        <v>45</v>
      </c>
      <c r="J1966" s="16" t="s">
        <v>10271</v>
      </c>
      <c r="K1966" s="2" t="s">
        <v>98</v>
      </c>
      <c r="L1966" s="8" t="s">
        <v>418</v>
      </c>
      <c r="M1966" s="8" t="s">
        <v>27</v>
      </c>
      <c r="N1966" s="8" t="s">
        <v>10272</v>
      </c>
      <c r="O1966" s="8" t="s">
        <v>4742</v>
      </c>
      <c r="P1966" s="8" t="s">
        <v>405</v>
      </c>
      <c r="Q1966" s="12" t="s">
        <v>10273</v>
      </c>
      <c r="R1966" s="8" t="s">
        <v>100</v>
      </c>
      <c r="S1966" s="7" t="s">
        <v>28</v>
      </c>
      <c r="T1966" s="6"/>
      <c r="U1966" s="8"/>
    </row>
    <row r="1967" spans="1:34" ht="13.5" customHeight="1">
      <c r="A1967" s="8" t="s">
        <v>10262</v>
      </c>
      <c r="B1967" s="16">
        <v>22</v>
      </c>
      <c r="C1967" s="8" t="s">
        <v>20</v>
      </c>
      <c r="D1967" s="8" t="s">
        <v>85</v>
      </c>
      <c r="E1967" s="8" t="s">
        <v>10263</v>
      </c>
      <c r="F1967" s="17">
        <v>41758</v>
      </c>
      <c r="G1967" s="8" t="s">
        <v>10264</v>
      </c>
      <c r="H1967" s="8" t="s">
        <v>10265</v>
      </c>
      <c r="I1967" s="8" t="s">
        <v>370</v>
      </c>
      <c r="J1967" s="16" t="s">
        <v>6023</v>
      </c>
      <c r="K1967" s="2" t="s">
        <v>3187</v>
      </c>
      <c r="L1967" s="8" t="s">
        <v>10266</v>
      </c>
      <c r="M1967" s="8" t="s">
        <v>27</v>
      </c>
      <c r="N1967" s="8" t="s">
        <v>10267</v>
      </c>
      <c r="O1967" s="8" t="s">
        <v>554</v>
      </c>
      <c r="P1967" s="8" t="s">
        <v>405</v>
      </c>
      <c r="Q1967" s="12" t="s">
        <v>10268</v>
      </c>
      <c r="R1967" s="8" t="s">
        <v>100</v>
      </c>
      <c r="S1967" s="7" t="s">
        <v>28</v>
      </c>
      <c r="T1967" s="6"/>
      <c r="U1967" s="8"/>
    </row>
    <row r="1968" spans="1:34" ht="13.5" customHeight="1">
      <c r="A1968" s="8" t="s">
        <v>10278</v>
      </c>
      <c r="B1968" s="16">
        <v>46</v>
      </c>
      <c r="C1968" s="8" t="s">
        <v>20</v>
      </c>
      <c r="D1968" s="8" t="s">
        <v>30</v>
      </c>
      <c r="F1968" s="17">
        <v>41758</v>
      </c>
      <c r="G1968" s="8" t="s">
        <v>10279</v>
      </c>
      <c r="H1968" s="8" t="s">
        <v>661</v>
      </c>
      <c r="I1968" s="8" t="s">
        <v>272</v>
      </c>
      <c r="J1968" s="16" t="s">
        <v>8399</v>
      </c>
      <c r="K1968" s="2" t="s">
        <v>574</v>
      </c>
      <c r="L1968" s="8" t="s">
        <v>575</v>
      </c>
      <c r="M1968" s="8" t="s">
        <v>27</v>
      </c>
      <c r="N1968" s="8" t="s">
        <v>10280</v>
      </c>
      <c r="O1968" s="8" t="s">
        <v>1018</v>
      </c>
      <c r="P1968" s="8" t="s">
        <v>405</v>
      </c>
      <c r="Q1968" s="12" t="s">
        <v>10281</v>
      </c>
      <c r="R1968" s="8" t="s">
        <v>559</v>
      </c>
      <c r="S1968" s="7" t="s">
        <v>28</v>
      </c>
      <c r="T1968" s="6"/>
      <c r="U1968" s="8"/>
    </row>
    <row r="1969" spans="1:34" ht="13.5" customHeight="1">
      <c r="A1969" s="8" t="s">
        <v>10282</v>
      </c>
      <c r="B1969" s="16">
        <v>37</v>
      </c>
      <c r="C1969" s="8" t="s">
        <v>20</v>
      </c>
      <c r="D1969" s="8" t="s">
        <v>37</v>
      </c>
      <c r="E1969" s="8" t="s">
        <v>10283</v>
      </c>
      <c r="F1969" s="17">
        <v>41758</v>
      </c>
      <c r="G1969" s="8" t="s">
        <v>10284</v>
      </c>
      <c r="H1969" s="8" t="s">
        <v>846</v>
      </c>
      <c r="I1969" s="8" t="s">
        <v>306</v>
      </c>
      <c r="J1969" s="16" t="s">
        <v>2372</v>
      </c>
      <c r="K1969" s="2" t="s">
        <v>846</v>
      </c>
      <c r="L1969" s="8" t="s">
        <v>847</v>
      </c>
      <c r="M1969" s="8" t="s">
        <v>27</v>
      </c>
      <c r="N1969" s="8" t="s">
        <v>10285</v>
      </c>
      <c r="O1969" s="8" t="s">
        <v>404</v>
      </c>
      <c r="P1969" s="8" t="s">
        <v>405</v>
      </c>
      <c r="Q1969" s="12" t="s">
        <v>10286</v>
      </c>
      <c r="R1969" s="8" t="s">
        <v>100</v>
      </c>
      <c r="S1969" s="7" t="s">
        <v>28</v>
      </c>
      <c r="T1969" s="6"/>
      <c r="U1969" s="8"/>
    </row>
    <row r="1970" spans="1:34" ht="13.5" customHeight="1">
      <c r="A1970" s="8" t="s">
        <v>3288</v>
      </c>
      <c r="B1970" s="16" t="s">
        <v>29</v>
      </c>
      <c r="C1970" s="8" t="s">
        <v>20</v>
      </c>
      <c r="D1970" s="8" t="s">
        <v>30</v>
      </c>
      <c r="F1970" s="17">
        <v>41758</v>
      </c>
      <c r="G1970" s="8" t="s">
        <v>10274</v>
      </c>
      <c r="H1970" s="8" t="s">
        <v>448</v>
      </c>
      <c r="I1970" s="8" t="s">
        <v>57</v>
      </c>
      <c r="J1970" s="16" t="s">
        <v>10275</v>
      </c>
      <c r="K1970" s="2" t="s">
        <v>1139</v>
      </c>
      <c r="L1970" s="8" t="s">
        <v>2196</v>
      </c>
      <c r="M1970" s="8" t="s">
        <v>27</v>
      </c>
      <c r="N1970" s="8" t="s">
        <v>10276</v>
      </c>
      <c r="O1970" s="8" t="s">
        <v>1018</v>
      </c>
      <c r="P1970" s="8" t="s">
        <v>405</v>
      </c>
      <c r="Q1970" s="12" t="s">
        <v>10277</v>
      </c>
      <c r="R1970" s="8" t="s">
        <v>100</v>
      </c>
      <c r="S1970" s="7" t="s">
        <v>28</v>
      </c>
      <c r="T1970" s="6"/>
      <c r="U1970" s="8"/>
    </row>
    <row r="1971" spans="1:34" ht="13.5" customHeight="1">
      <c r="A1971" s="8" t="s">
        <v>10302</v>
      </c>
      <c r="B1971" s="16">
        <v>55</v>
      </c>
      <c r="C1971" s="8" t="s">
        <v>20</v>
      </c>
      <c r="D1971" s="8" t="s">
        <v>37</v>
      </c>
      <c r="F1971" s="17">
        <v>41757</v>
      </c>
      <c r="G1971" s="8" t="s">
        <v>10303</v>
      </c>
      <c r="H1971" s="8" t="s">
        <v>10304</v>
      </c>
      <c r="I1971" s="8" t="s">
        <v>118</v>
      </c>
      <c r="J1971" s="16" t="s">
        <v>10305</v>
      </c>
      <c r="K1971" s="2" t="s">
        <v>7603</v>
      </c>
      <c r="L1971" s="8" t="s">
        <v>10306</v>
      </c>
      <c r="M1971" s="8" t="s">
        <v>27</v>
      </c>
      <c r="N1971" s="8" t="s">
        <v>10307</v>
      </c>
      <c r="O1971" s="8" t="s">
        <v>554</v>
      </c>
      <c r="P1971" s="8" t="s">
        <v>405</v>
      </c>
      <c r="Q1971" s="12"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1971" s="8" t="s">
        <v>100</v>
      </c>
      <c r="S1971" s="7" t="s">
        <v>28</v>
      </c>
      <c r="T1971" s="6"/>
      <c r="U1971" s="8"/>
      <c r="Y1971" s="8"/>
      <c r="Z1971" s="8"/>
      <c r="AA1971" s="8"/>
      <c r="AB1971" s="8"/>
      <c r="AC1971" s="8"/>
      <c r="AD1971" s="8"/>
      <c r="AE1971" s="8"/>
      <c r="AF1971" s="8"/>
      <c r="AG1971" s="8"/>
      <c r="AH1971" s="8"/>
    </row>
    <row r="1972" spans="1:34" ht="13.5" customHeight="1">
      <c r="A1972" s="8" t="s">
        <v>10295</v>
      </c>
      <c r="B1972" s="16">
        <v>53</v>
      </c>
      <c r="C1972" s="8" t="s">
        <v>20</v>
      </c>
      <c r="D1972" s="8" t="s">
        <v>37</v>
      </c>
      <c r="E1972" s="8" t="s">
        <v>10296</v>
      </c>
      <c r="F1972" s="17">
        <v>41757</v>
      </c>
      <c r="G1972" s="8" t="s">
        <v>10297</v>
      </c>
      <c r="H1972" s="8" t="s">
        <v>9868</v>
      </c>
      <c r="I1972" s="8" t="s">
        <v>45</v>
      </c>
      <c r="J1972" s="16" t="s">
        <v>10298</v>
      </c>
      <c r="K1972" s="2" t="s">
        <v>5303</v>
      </c>
      <c r="L1972" s="8" t="s">
        <v>10299</v>
      </c>
      <c r="M1972" s="8" t="s">
        <v>27</v>
      </c>
      <c r="N1972" s="8" t="s">
        <v>10300</v>
      </c>
      <c r="O1972" s="8" t="s">
        <v>554</v>
      </c>
      <c r="P1972" s="8" t="s">
        <v>405</v>
      </c>
      <c r="Q1972" s="12" t="s">
        <v>10301</v>
      </c>
      <c r="R1972" s="8" t="s">
        <v>559</v>
      </c>
      <c r="S1972" s="7" t="s">
        <v>28</v>
      </c>
      <c r="T1972" s="6"/>
      <c r="U1972" s="8"/>
    </row>
    <row r="1973" spans="1:34" ht="13.5" customHeight="1">
      <c r="A1973" s="8" t="s">
        <v>10315</v>
      </c>
      <c r="B1973" s="16">
        <v>36</v>
      </c>
      <c r="C1973" s="8" t="s">
        <v>20</v>
      </c>
      <c r="D1973" s="8" t="s">
        <v>37</v>
      </c>
      <c r="E1973" s="8" t="s">
        <v>10316</v>
      </c>
      <c r="F1973" s="17">
        <v>41756</v>
      </c>
      <c r="G1973" s="8" t="s">
        <v>10317</v>
      </c>
      <c r="H1973" s="8" t="s">
        <v>493</v>
      </c>
      <c r="I1973" s="8" t="s">
        <v>45</v>
      </c>
      <c r="J1973" s="16" t="s">
        <v>6416</v>
      </c>
      <c r="K1973" s="2" t="s">
        <v>98</v>
      </c>
      <c r="L1973" s="8" t="s">
        <v>494</v>
      </c>
      <c r="M1973" s="8" t="s">
        <v>27</v>
      </c>
      <c r="N1973" s="8" t="s">
        <v>10318</v>
      </c>
      <c r="O1973" s="8" t="s">
        <v>1018</v>
      </c>
      <c r="P1973" s="8" t="s">
        <v>405</v>
      </c>
      <c r="Q1973" s="12" t="s">
        <v>10319</v>
      </c>
      <c r="R1973" s="8" t="s">
        <v>100</v>
      </c>
      <c r="S1973" s="7" t="s">
        <v>35</v>
      </c>
      <c r="T1973" s="6"/>
      <c r="U1973" s="8"/>
    </row>
    <row r="1974" spans="1:34" ht="13.5" customHeight="1">
      <c r="A1974" s="8" t="s">
        <v>10308</v>
      </c>
      <c r="B1974" s="16" t="s">
        <v>10309</v>
      </c>
      <c r="C1974" s="8" t="s">
        <v>20</v>
      </c>
      <c r="D1974" s="8" t="s">
        <v>85</v>
      </c>
      <c r="E1974" s="8" t="str">
        <f>HYPERLINK("http://www.news-graphic.com/image_5c8d94e0-b110-11e2-af2b-001a4bcf887a.html","http://www.news-graphic.com/image_5c8d94e0-b110-11e2-af2b-001a4bcf887a.html")</f>
        <v>http://www.news-graphic.com/image_5c8d94e0-b110-11e2-af2b-001a4bcf887a.html</v>
      </c>
      <c r="F1974" s="17">
        <v>41756</v>
      </c>
      <c r="G1974" s="8" t="s">
        <v>10310</v>
      </c>
      <c r="H1974" s="8" t="s">
        <v>8697</v>
      </c>
      <c r="I1974" s="8" t="s">
        <v>319</v>
      </c>
      <c r="J1974" s="16" t="s">
        <v>10311</v>
      </c>
      <c r="K1974" s="2" t="s">
        <v>7138</v>
      </c>
      <c r="L1974" s="8" t="s">
        <v>10312</v>
      </c>
      <c r="M1974" s="8" t="s">
        <v>27</v>
      </c>
      <c r="N1974" s="8" t="s">
        <v>10313</v>
      </c>
      <c r="O1974" s="8" t="s">
        <v>29</v>
      </c>
      <c r="P1974" s="8" t="s">
        <v>405</v>
      </c>
      <c r="Q1974" s="12" t="s">
        <v>10314</v>
      </c>
      <c r="R1974" s="8" t="s">
        <v>29</v>
      </c>
      <c r="S1974" s="7" t="s">
        <v>28</v>
      </c>
      <c r="T1974" s="6"/>
      <c r="U1974" s="8"/>
    </row>
    <row r="1975" spans="1:34" ht="13.5" customHeight="1">
      <c r="A1975" s="8" t="s">
        <v>10320</v>
      </c>
      <c r="B1975" s="16">
        <v>27</v>
      </c>
      <c r="C1975" s="8" t="s">
        <v>115</v>
      </c>
      <c r="D1975" s="8" t="s">
        <v>30</v>
      </c>
      <c r="F1975" s="17">
        <v>41755</v>
      </c>
      <c r="G1975" s="8" t="s">
        <v>10321</v>
      </c>
      <c r="H1975" s="8" t="s">
        <v>1437</v>
      </c>
      <c r="I1975" s="8" t="s">
        <v>45</v>
      </c>
      <c r="J1975" s="16" t="s">
        <v>10322</v>
      </c>
      <c r="K1975" s="2" t="s">
        <v>1437</v>
      </c>
      <c r="L1975" s="8" t="s">
        <v>10323</v>
      </c>
      <c r="M1975" s="8" t="s">
        <v>27</v>
      </c>
      <c r="N1975" s="8" t="s">
        <v>10324</v>
      </c>
      <c r="O1975" s="8" t="s">
        <v>554</v>
      </c>
      <c r="P1975" s="8" t="s">
        <v>405</v>
      </c>
      <c r="Q1975" s="12" t="s">
        <v>10325</v>
      </c>
      <c r="R1975" s="8" t="s">
        <v>100</v>
      </c>
      <c r="S1975" s="7" t="s">
        <v>28</v>
      </c>
      <c r="T1975" s="6"/>
      <c r="U1975" s="8"/>
    </row>
    <row r="1976" spans="1:34" ht="13.5" customHeight="1">
      <c r="A1976" s="8" t="s">
        <v>10326</v>
      </c>
      <c r="B1976" s="16">
        <v>19</v>
      </c>
      <c r="C1976" s="8" t="s">
        <v>115</v>
      </c>
      <c r="D1976" s="8" t="s">
        <v>37</v>
      </c>
      <c r="E1976" s="8" t="s">
        <v>10327</v>
      </c>
      <c r="F1976" s="17">
        <v>41755</v>
      </c>
      <c r="G1976" s="8" t="s">
        <v>10328</v>
      </c>
      <c r="H1976" s="8" t="s">
        <v>10329</v>
      </c>
      <c r="I1976" s="8" t="s">
        <v>319</v>
      </c>
      <c r="J1976" s="16" t="s">
        <v>10330</v>
      </c>
      <c r="K1976" s="2" t="s">
        <v>2883</v>
      </c>
      <c r="L1976" s="8" t="s">
        <v>10331</v>
      </c>
      <c r="M1976" s="8" t="s">
        <v>27</v>
      </c>
      <c r="N1976" s="8" t="s">
        <v>10332</v>
      </c>
      <c r="O1976" s="8" t="s">
        <v>1018</v>
      </c>
      <c r="P1976" s="8" t="s">
        <v>405</v>
      </c>
      <c r="Q1976" s="12" t="s">
        <v>10333</v>
      </c>
      <c r="R1976" s="8" t="s">
        <v>100</v>
      </c>
      <c r="S1976" s="7" t="s">
        <v>383</v>
      </c>
      <c r="T1976" s="6"/>
      <c r="U1976" s="8"/>
    </row>
    <row r="1977" spans="1:34" ht="13.5" customHeight="1">
      <c r="A1977" s="8" t="s">
        <v>10345</v>
      </c>
      <c r="B1977" s="16">
        <v>20</v>
      </c>
      <c r="C1977" s="8" t="s">
        <v>20</v>
      </c>
      <c r="D1977" s="8" t="s">
        <v>85</v>
      </c>
      <c r="E1977" s="8" t="s">
        <v>10346</v>
      </c>
      <c r="F1977" s="17">
        <v>41754</v>
      </c>
      <c r="G1977" s="8" t="s">
        <v>10347</v>
      </c>
      <c r="H1977" s="8" t="s">
        <v>2778</v>
      </c>
      <c r="I1977" s="8" t="s">
        <v>675</v>
      </c>
      <c r="J1977" s="16" t="s">
        <v>2779</v>
      </c>
      <c r="K1977" s="2" t="s">
        <v>2780</v>
      </c>
      <c r="L1977" s="8" t="s">
        <v>2781</v>
      </c>
      <c r="M1977" s="8" t="s">
        <v>27</v>
      </c>
      <c r="N1977" s="8" t="s">
        <v>10348</v>
      </c>
      <c r="O1977" s="8" t="s">
        <v>1018</v>
      </c>
      <c r="P1977" s="8" t="s">
        <v>405</v>
      </c>
      <c r="Q1977" s="12" t="str">
        <f>HYPERLINK("http://www.wtok.com/news/headlines/Update-on-Emmanuel-Wooten-Search-256704901.html","http://www.wtok.com/news/headlines/Update-on-Emmanuel-Wooten-Search-256704901.html")</f>
        <v>http://www.wtok.com/news/headlines/Update-on-Emmanuel-Wooten-Search-256704901.html</v>
      </c>
      <c r="R1977" s="8" t="s">
        <v>100</v>
      </c>
      <c r="S1977" s="7" t="s">
        <v>28</v>
      </c>
      <c r="T1977" s="6"/>
      <c r="U1977" s="8"/>
    </row>
    <row r="1978" spans="1:34" ht="13.5" customHeight="1">
      <c r="A1978" s="8" t="s">
        <v>10340</v>
      </c>
      <c r="B1978" s="16">
        <v>86</v>
      </c>
      <c r="C1978" s="8" t="s">
        <v>20</v>
      </c>
      <c r="D1978" s="8" t="s">
        <v>85</v>
      </c>
      <c r="E1978" s="8" t="s">
        <v>10341</v>
      </c>
      <c r="F1978" s="17">
        <v>41754</v>
      </c>
      <c r="G1978" s="8" t="s">
        <v>10342</v>
      </c>
      <c r="H1978" s="8" t="s">
        <v>87</v>
      </c>
      <c r="I1978" s="8" t="s">
        <v>44</v>
      </c>
      <c r="J1978" s="16" t="s">
        <v>7926</v>
      </c>
      <c r="K1978" s="2" t="s">
        <v>88</v>
      </c>
      <c r="L1978" s="8" t="s">
        <v>89</v>
      </c>
      <c r="M1978" s="8" t="s">
        <v>27</v>
      </c>
      <c r="N1978" s="8" t="s">
        <v>10343</v>
      </c>
      <c r="O1978" s="8" t="s">
        <v>1018</v>
      </c>
      <c r="P1978" s="8" t="s">
        <v>405</v>
      </c>
      <c r="Q1978" s="12" t="s">
        <v>10344</v>
      </c>
      <c r="R1978" s="8" t="s">
        <v>100</v>
      </c>
      <c r="S1978" s="7" t="s">
        <v>28</v>
      </c>
      <c r="T1978" s="6"/>
      <c r="U1978" s="8"/>
    </row>
    <row r="1979" spans="1:34" ht="13.5" customHeight="1">
      <c r="A1979" s="8" t="s">
        <v>10349</v>
      </c>
      <c r="B1979" s="16">
        <v>42</v>
      </c>
      <c r="C1979" s="8" t="s">
        <v>20</v>
      </c>
      <c r="D1979" s="8" t="s">
        <v>48</v>
      </c>
      <c r="F1979" s="17">
        <v>41754</v>
      </c>
      <c r="G1979" s="8" t="s">
        <v>10350</v>
      </c>
      <c r="H1979" s="8" t="s">
        <v>98</v>
      </c>
      <c r="I1979" s="8" t="s">
        <v>45</v>
      </c>
      <c r="J1979" s="16" t="s">
        <v>10351</v>
      </c>
      <c r="K1979" s="2" t="s">
        <v>98</v>
      </c>
      <c r="L1979" s="8" t="s">
        <v>418</v>
      </c>
      <c r="M1979" s="8" t="s">
        <v>27</v>
      </c>
      <c r="N1979" s="8" t="s">
        <v>10352</v>
      </c>
      <c r="O1979" s="8" t="s">
        <v>1018</v>
      </c>
      <c r="P1979" s="8" t="s">
        <v>405</v>
      </c>
      <c r="Q1979" s="12" t="s">
        <v>10353</v>
      </c>
      <c r="R1979" s="8" t="s">
        <v>559</v>
      </c>
      <c r="S1979" s="7" t="s">
        <v>28</v>
      </c>
      <c r="T1979" s="6"/>
      <c r="U1979" s="8"/>
    </row>
    <row r="1980" spans="1:34" ht="13.5" customHeight="1">
      <c r="A1980" s="8" t="s">
        <v>10334</v>
      </c>
      <c r="B1980" s="16">
        <v>43</v>
      </c>
      <c r="C1980" s="8" t="s">
        <v>20</v>
      </c>
      <c r="D1980" s="8" t="s">
        <v>85</v>
      </c>
      <c r="E1980" s="8" t="s">
        <v>10335</v>
      </c>
      <c r="F1980" s="17">
        <v>41754</v>
      </c>
      <c r="G1980" s="8" t="s">
        <v>10336</v>
      </c>
      <c r="H1980" s="8" t="s">
        <v>10337</v>
      </c>
      <c r="I1980" s="8" t="s">
        <v>675</v>
      </c>
      <c r="J1980" s="16">
        <v>39120</v>
      </c>
      <c r="K1980" s="2" t="s">
        <v>1941</v>
      </c>
      <c r="L1980" s="8" t="s">
        <v>10338</v>
      </c>
      <c r="M1980" s="8" t="s">
        <v>395</v>
      </c>
      <c r="N1980" s="8" t="s">
        <v>10339</v>
      </c>
      <c r="O1980" s="8" t="s">
        <v>1018</v>
      </c>
      <c r="P1980" s="8" t="s">
        <v>405</v>
      </c>
      <c r="Q1980" s="12"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1980" s="8" t="s">
        <v>100</v>
      </c>
      <c r="S1980" s="7" t="s">
        <v>18</v>
      </c>
      <c r="T1980" s="6"/>
      <c r="U1980" s="8"/>
      <c r="Y1980" s="8"/>
      <c r="Z1980" s="8"/>
      <c r="AA1980" s="8"/>
      <c r="AB1980" s="8"/>
      <c r="AC1980" s="8"/>
      <c r="AD1980" s="8"/>
      <c r="AE1980" s="8"/>
      <c r="AF1980" s="8"/>
      <c r="AG1980" s="8"/>
      <c r="AH1980" s="8"/>
    </row>
    <row r="1981" spans="1:34" ht="13.5" customHeight="1">
      <c r="A1981" s="8" t="s">
        <v>10362</v>
      </c>
      <c r="B1981" s="16">
        <v>16</v>
      </c>
      <c r="C1981" s="8" t="s">
        <v>20</v>
      </c>
      <c r="D1981" s="8" t="s">
        <v>30</v>
      </c>
      <c r="F1981" s="17">
        <v>41753</v>
      </c>
      <c r="G1981" s="8" t="s">
        <v>10355</v>
      </c>
      <c r="H1981" s="8" t="s">
        <v>10356</v>
      </c>
      <c r="I1981" s="8" t="s">
        <v>45</v>
      </c>
      <c r="J1981" s="16" t="s">
        <v>10357</v>
      </c>
      <c r="K1981" s="2" t="s">
        <v>3239</v>
      </c>
      <c r="L1981" s="8" t="s">
        <v>10358</v>
      </c>
      <c r="M1981" s="8" t="s">
        <v>383</v>
      </c>
      <c r="N1981" s="8" t="s">
        <v>10359</v>
      </c>
      <c r="O1981" s="8" t="s">
        <v>1018</v>
      </c>
      <c r="P1981" s="8" t="s">
        <v>405</v>
      </c>
      <c r="Q1981" s="12" t="s">
        <v>10360</v>
      </c>
      <c r="R1981" s="8" t="s">
        <v>100</v>
      </c>
      <c r="S1981" s="7" t="s">
        <v>383</v>
      </c>
      <c r="T1981" s="6"/>
      <c r="U1981" s="8"/>
    </row>
    <row r="1982" spans="1:34" ht="13.5" customHeight="1">
      <c r="A1982" s="8" t="s">
        <v>10363</v>
      </c>
      <c r="B1982" s="16">
        <v>55</v>
      </c>
      <c r="C1982" s="8" t="s">
        <v>115</v>
      </c>
      <c r="D1982" s="8" t="s">
        <v>37</v>
      </c>
      <c r="E1982" s="8" t="s">
        <v>10364</v>
      </c>
      <c r="F1982" s="17">
        <v>41753</v>
      </c>
      <c r="G1982" s="8" t="s">
        <v>10365</v>
      </c>
      <c r="H1982" s="8" t="s">
        <v>1507</v>
      </c>
      <c r="I1982" s="8" t="s">
        <v>32</v>
      </c>
      <c r="J1982" s="16" t="s">
        <v>2127</v>
      </c>
      <c r="K1982" s="2" t="s">
        <v>1507</v>
      </c>
      <c r="L1982" s="8" t="s">
        <v>9598</v>
      </c>
      <c r="M1982" s="8" t="s">
        <v>27</v>
      </c>
      <c r="N1982" s="8" t="s">
        <v>10366</v>
      </c>
      <c r="O1982" s="8" t="s">
        <v>1018</v>
      </c>
      <c r="P1982" s="8" t="s">
        <v>405</v>
      </c>
      <c r="Q1982" s="12" t="s">
        <v>10367</v>
      </c>
      <c r="R1982" s="8" t="s">
        <v>100</v>
      </c>
      <c r="S1982" s="7" t="s">
        <v>383</v>
      </c>
      <c r="T1982" s="6"/>
      <c r="U1982" s="8"/>
    </row>
    <row r="1983" spans="1:34" ht="13.5" customHeight="1">
      <c r="A1983" s="8" t="s">
        <v>10361</v>
      </c>
      <c r="B1983" s="16">
        <v>16</v>
      </c>
      <c r="C1983" s="8" t="s">
        <v>20</v>
      </c>
      <c r="D1983" s="8" t="s">
        <v>30</v>
      </c>
      <c r="F1983" s="17">
        <v>41753</v>
      </c>
      <c r="G1983" s="8" t="s">
        <v>10355</v>
      </c>
      <c r="H1983" s="8" t="s">
        <v>10356</v>
      </c>
      <c r="I1983" s="8" t="s">
        <v>45</v>
      </c>
      <c r="J1983" s="16" t="s">
        <v>10357</v>
      </c>
      <c r="K1983" s="2" t="s">
        <v>3239</v>
      </c>
      <c r="L1983" s="8" t="s">
        <v>10358</v>
      </c>
      <c r="M1983" s="8" t="s">
        <v>383</v>
      </c>
      <c r="N1983" s="8" t="s">
        <v>10359</v>
      </c>
      <c r="O1983" s="8" t="s">
        <v>1018</v>
      </c>
      <c r="P1983" s="8" t="s">
        <v>405</v>
      </c>
      <c r="Q1983" s="12" t="s">
        <v>10360</v>
      </c>
      <c r="R1983" s="8" t="s">
        <v>100</v>
      </c>
      <c r="S1983" s="7" t="s">
        <v>383</v>
      </c>
      <c r="T1983" s="6"/>
      <c r="U1983" s="8"/>
    </row>
    <row r="1984" spans="1:34" ht="13.5" customHeight="1">
      <c r="A1984" s="8" t="s">
        <v>10354</v>
      </c>
      <c r="B1984" s="16">
        <v>16</v>
      </c>
      <c r="C1984" s="8" t="s">
        <v>115</v>
      </c>
      <c r="D1984" s="8" t="s">
        <v>30</v>
      </c>
      <c r="F1984" s="17">
        <v>41753</v>
      </c>
      <c r="G1984" s="8" t="s">
        <v>10355</v>
      </c>
      <c r="H1984" s="8" t="s">
        <v>10356</v>
      </c>
      <c r="I1984" s="8" t="s">
        <v>45</v>
      </c>
      <c r="J1984" s="16" t="s">
        <v>10357</v>
      </c>
      <c r="K1984" s="2" t="s">
        <v>3239</v>
      </c>
      <c r="L1984" s="8" t="s">
        <v>10358</v>
      </c>
      <c r="M1984" s="8" t="s">
        <v>383</v>
      </c>
      <c r="N1984" s="8" t="s">
        <v>10359</v>
      </c>
      <c r="O1984" s="8" t="s">
        <v>1018</v>
      </c>
      <c r="P1984" s="8" t="s">
        <v>405</v>
      </c>
      <c r="Q1984" s="12" t="s">
        <v>10360</v>
      </c>
      <c r="R1984" s="8" t="s">
        <v>100</v>
      </c>
      <c r="S1984" s="7" t="s">
        <v>383</v>
      </c>
      <c r="T1984" s="6"/>
      <c r="U1984" s="8"/>
    </row>
    <row r="1985" spans="1:34" ht="13.5" customHeight="1">
      <c r="A1985" s="8" t="s">
        <v>10383</v>
      </c>
      <c r="B1985" s="16">
        <v>53</v>
      </c>
      <c r="C1985" s="8" t="s">
        <v>20</v>
      </c>
      <c r="D1985" s="8" t="s">
        <v>30</v>
      </c>
      <c r="F1985" s="17">
        <v>41752</v>
      </c>
      <c r="G1985" s="8" t="s">
        <v>10384</v>
      </c>
      <c r="H1985" s="8" t="s">
        <v>10385</v>
      </c>
      <c r="I1985" s="8" t="s">
        <v>986</v>
      </c>
      <c r="J1985" s="16" t="s">
        <v>10386</v>
      </c>
      <c r="K1985" s="2" t="s">
        <v>2087</v>
      </c>
      <c r="L1985" s="8" t="s">
        <v>10387</v>
      </c>
      <c r="M1985" s="8" t="s">
        <v>27</v>
      </c>
      <c r="N1985" s="8" t="s">
        <v>10388</v>
      </c>
      <c r="O1985" s="8" t="s">
        <v>554</v>
      </c>
      <c r="P1985" s="8" t="s">
        <v>405</v>
      </c>
      <c r="Q1985" s="12" t="s">
        <v>10389</v>
      </c>
      <c r="R1985" s="8" t="s">
        <v>100</v>
      </c>
      <c r="S1985" s="7" t="s">
        <v>28</v>
      </c>
      <c r="T1985" s="6"/>
      <c r="U1985" s="8"/>
    </row>
    <row r="1986" spans="1:34" ht="13.5" customHeight="1">
      <c r="A1986" s="8" t="s">
        <v>10375</v>
      </c>
      <c r="B1986" s="16">
        <v>55</v>
      </c>
      <c r="C1986" s="8" t="s">
        <v>20</v>
      </c>
      <c r="D1986" s="8" t="s">
        <v>30</v>
      </c>
      <c r="F1986" s="17">
        <v>41752</v>
      </c>
      <c r="G1986" s="8" t="s">
        <v>10376</v>
      </c>
      <c r="H1986" s="8" t="s">
        <v>10377</v>
      </c>
      <c r="I1986" s="8" t="s">
        <v>370</v>
      </c>
      <c r="J1986" s="16" t="s">
        <v>10378</v>
      </c>
      <c r="K1986" s="2" t="s">
        <v>10379</v>
      </c>
      <c r="L1986" s="8" t="s">
        <v>10380</v>
      </c>
      <c r="M1986" s="8" t="s">
        <v>27</v>
      </c>
      <c r="N1986" s="8" t="s">
        <v>10381</v>
      </c>
      <c r="O1986" s="8" t="s">
        <v>404</v>
      </c>
      <c r="P1986" s="8" t="s">
        <v>405</v>
      </c>
      <c r="Q1986" s="12" t="s">
        <v>10382</v>
      </c>
      <c r="R1986" s="8" t="s">
        <v>559</v>
      </c>
      <c r="S1986" s="7" t="s">
        <v>28</v>
      </c>
      <c r="T1986" s="6"/>
      <c r="U1986" s="8"/>
    </row>
    <row r="1987" spans="1:34" ht="13.5" customHeight="1">
      <c r="A1987" s="8" t="s">
        <v>10368</v>
      </c>
      <c r="B1987" s="16">
        <v>26</v>
      </c>
      <c r="C1987" s="8" t="s">
        <v>20</v>
      </c>
      <c r="D1987" s="8" t="s">
        <v>48</v>
      </c>
      <c r="E1987" s="8" t="s">
        <v>10369</v>
      </c>
      <c r="F1987" s="17">
        <v>41752</v>
      </c>
      <c r="G1987" s="8" t="s">
        <v>10370</v>
      </c>
      <c r="H1987" s="8" t="s">
        <v>10371</v>
      </c>
      <c r="I1987" s="8" t="s">
        <v>124</v>
      </c>
      <c r="J1987" s="16" t="s">
        <v>10372</v>
      </c>
      <c r="K1987" s="2" t="s">
        <v>639</v>
      </c>
      <c r="L1987" s="8" t="s">
        <v>1910</v>
      </c>
      <c r="M1987" s="8" t="s">
        <v>27</v>
      </c>
      <c r="N1987" s="8" t="s">
        <v>10373</v>
      </c>
      <c r="O1987" s="8" t="s">
        <v>1018</v>
      </c>
      <c r="P1987" s="8" t="s">
        <v>405</v>
      </c>
      <c r="Q1987" s="12" t="s">
        <v>10374</v>
      </c>
      <c r="R1987" s="8" t="s">
        <v>100</v>
      </c>
      <c r="S1987" s="7" t="s">
        <v>28</v>
      </c>
      <c r="T1987" s="6"/>
      <c r="U1987" s="8"/>
    </row>
    <row r="1988" spans="1:34" ht="13.5" customHeight="1">
      <c r="A1988" s="8" t="s">
        <v>10404</v>
      </c>
      <c r="B1988" s="16">
        <v>26</v>
      </c>
      <c r="C1988" s="8" t="s">
        <v>20</v>
      </c>
      <c r="D1988" s="8" t="s">
        <v>37</v>
      </c>
      <c r="E1988" s="8" t="s">
        <v>10405</v>
      </c>
      <c r="F1988" s="17">
        <v>41751</v>
      </c>
      <c r="G1988" s="8" t="s">
        <v>10406</v>
      </c>
      <c r="H1988" s="8" t="s">
        <v>569</v>
      </c>
      <c r="I1988" s="8" t="s">
        <v>73</v>
      </c>
      <c r="J1988" s="16" t="s">
        <v>10407</v>
      </c>
      <c r="K1988" s="2" t="s">
        <v>10408</v>
      </c>
      <c r="L1988" s="8" t="s">
        <v>10409</v>
      </c>
      <c r="M1988" s="8" t="s">
        <v>27</v>
      </c>
      <c r="N1988" s="8" t="s">
        <v>10410</v>
      </c>
      <c r="O1988" s="8" t="s">
        <v>1018</v>
      </c>
      <c r="P1988" s="8" t="s">
        <v>405</v>
      </c>
      <c r="Q1988" s="12" t="s">
        <v>10411</v>
      </c>
      <c r="R1988" s="8" t="s">
        <v>100</v>
      </c>
      <c r="S1988" s="7" t="s">
        <v>28</v>
      </c>
      <c r="T1988" s="6"/>
      <c r="U1988" s="8"/>
    </row>
    <row r="1989" spans="1:34" ht="13.5" customHeight="1">
      <c r="A1989" s="8" t="s">
        <v>10397</v>
      </c>
      <c r="C1989" s="8" t="s">
        <v>20</v>
      </c>
      <c r="D1989" s="8" t="s">
        <v>37</v>
      </c>
      <c r="E1989" s="8" t="s">
        <v>10398</v>
      </c>
      <c r="F1989" s="17">
        <v>41751</v>
      </c>
      <c r="G1989" s="8" t="s">
        <v>10399</v>
      </c>
      <c r="H1989" s="8" t="s">
        <v>2339</v>
      </c>
      <c r="I1989" s="8" t="s">
        <v>44</v>
      </c>
      <c r="J1989" s="16" t="s">
        <v>10400</v>
      </c>
      <c r="K1989" s="2" t="s">
        <v>998</v>
      </c>
      <c r="L1989" s="8" t="s">
        <v>10401</v>
      </c>
      <c r="M1989" s="8" t="s">
        <v>27</v>
      </c>
      <c r="N1989" s="8" t="s">
        <v>10402</v>
      </c>
      <c r="O1989" s="8" t="s">
        <v>404</v>
      </c>
      <c r="P1989" s="8" t="s">
        <v>405</v>
      </c>
      <c r="Q1989" s="12" t="s">
        <v>10403</v>
      </c>
      <c r="R1989" s="8" t="s">
        <v>972</v>
      </c>
      <c r="S1989" s="7" t="s">
        <v>28</v>
      </c>
      <c r="T1989" s="6"/>
      <c r="U1989" s="8"/>
    </row>
    <row r="1990" spans="1:34" ht="13.5" customHeight="1">
      <c r="A1990" s="8" t="s">
        <v>10390</v>
      </c>
      <c r="B1990" s="16">
        <v>53</v>
      </c>
      <c r="C1990" s="8" t="s">
        <v>20</v>
      </c>
      <c r="D1990" s="8" t="s">
        <v>37</v>
      </c>
      <c r="F1990" s="17">
        <v>41751</v>
      </c>
      <c r="G1990" s="8" t="s">
        <v>10391</v>
      </c>
      <c r="H1990" s="8" t="s">
        <v>10392</v>
      </c>
      <c r="I1990" s="8" t="s">
        <v>94</v>
      </c>
      <c r="J1990" s="16" t="s">
        <v>10393</v>
      </c>
      <c r="K1990" s="2" t="s">
        <v>6179</v>
      </c>
      <c r="L1990" s="8" t="s">
        <v>10394</v>
      </c>
      <c r="M1990" s="8" t="s">
        <v>27</v>
      </c>
      <c r="N1990" s="8" t="s">
        <v>10395</v>
      </c>
      <c r="O1990" s="8" t="s">
        <v>1018</v>
      </c>
      <c r="P1990" s="8" t="s">
        <v>405</v>
      </c>
      <c r="Q1990" s="12" t="s">
        <v>10396</v>
      </c>
      <c r="R1990" s="8" t="s">
        <v>100</v>
      </c>
      <c r="S1990" s="7" t="s">
        <v>18</v>
      </c>
      <c r="T1990" s="6"/>
      <c r="U1990" s="8"/>
      <c r="Y1990" s="8"/>
      <c r="Z1990" s="8"/>
      <c r="AA1990" s="8"/>
      <c r="AB1990" s="8"/>
      <c r="AC1990" s="8"/>
      <c r="AD1990" s="8"/>
      <c r="AE1990" s="8"/>
      <c r="AF1990" s="8"/>
      <c r="AG1990" s="8"/>
      <c r="AH1990" s="8"/>
    </row>
    <row r="1991" spans="1:34" ht="13.5" customHeight="1">
      <c r="A1991" s="8" t="s">
        <v>10412</v>
      </c>
      <c r="B1991" s="16">
        <v>29</v>
      </c>
      <c r="C1991" s="8" t="s">
        <v>20</v>
      </c>
      <c r="D1991" s="8" t="s">
        <v>85</v>
      </c>
      <c r="E1991" s="8" t="s">
        <v>10413</v>
      </c>
      <c r="F1991" s="17">
        <v>41750</v>
      </c>
      <c r="G1991" s="8" t="s">
        <v>10414</v>
      </c>
      <c r="H1991" s="8" t="s">
        <v>10415</v>
      </c>
      <c r="I1991" s="8" t="s">
        <v>408</v>
      </c>
      <c r="J1991" s="16" t="s">
        <v>10416</v>
      </c>
      <c r="K1991" s="2" t="s">
        <v>1651</v>
      </c>
      <c r="L1991" s="8" t="s">
        <v>1652</v>
      </c>
      <c r="M1991" s="8" t="s">
        <v>27</v>
      </c>
      <c r="N1991" s="8" t="s">
        <v>10417</v>
      </c>
      <c r="O1991" s="8" t="s">
        <v>554</v>
      </c>
      <c r="P1991" s="8" t="s">
        <v>405</v>
      </c>
      <c r="Q1991" s="12" t="str">
        <f>HYPERLINK("http://triblive.com/news/allegheny/6036085-74/zappala-officer-police#axzz3Gj9fLtSM","http://triblive.com/news/allegheny/6036085-74/zappala-officer-police#axzz3Gj9fLtSM")</f>
        <v>http://triblive.com/news/allegheny/6036085-74/zappala-officer-police#axzz3Gj9fLtSM</v>
      </c>
      <c r="R1991" s="8" t="s">
        <v>100</v>
      </c>
      <c r="S1991" s="7" t="s">
        <v>28</v>
      </c>
      <c r="T1991" s="6"/>
      <c r="U1991" s="8"/>
      <c r="V1991" s="8"/>
      <c r="W1991" s="8"/>
      <c r="X1991" s="8"/>
    </row>
    <row r="1992" spans="1:34" ht="13.5" customHeight="1">
      <c r="A1992" s="8" t="s">
        <v>10444</v>
      </c>
      <c r="B1992" s="16" t="s">
        <v>10445</v>
      </c>
      <c r="C1992" s="8" t="s">
        <v>115</v>
      </c>
      <c r="D1992" s="8" t="s">
        <v>37</v>
      </c>
      <c r="E1992" s="8" t="s">
        <v>10446</v>
      </c>
      <c r="F1992" s="17">
        <v>41750</v>
      </c>
      <c r="G1992" s="8" t="s">
        <v>10447</v>
      </c>
      <c r="H1992" s="8" t="s">
        <v>930</v>
      </c>
      <c r="I1992" s="8" t="s">
        <v>198</v>
      </c>
      <c r="J1992" s="16" t="s">
        <v>8536</v>
      </c>
      <c r="K1992" s="2" t="s">
        <v>471</v>
      </c>
      <c r="L1992" s="8" t="s">
        <v>5024</v>
      </c>
      <c r="M1992" s="8" t="s">
        <v>27</v>
      </c>
      <c r="N1992" s="8" t="s">
        <v>10448</v>
      </c>
      <c r="O1992" s="8" t="s">
        <v>404</v>
      </c>
      <c r="P1992" s="8" t="s">
        <v>405</v>
      </c>
      <c r="Q1992" s="12" t="s">
        <v>10223</v>
      </c>
      <c r="R1992" s="8" t="s">
        <v>100</v>
      </c>
      <c r="S1992" s="7" t="s">
        <v>28</v>
      </c>
      <c r="T1992" s="6"/>
      <c r="U1992" s="8"/>
      <c r="Y1992" s="8"/>
      <c r="Z1992" s="8"/>
      <c r="AA1992" s="8"/>
      <c r="AB1992" s="8"/>
      <c r="AC1992" s="8"/>
      <c r="AD1992" s="8"/>
      <c r="AE1992" s="8"/>
      <c r="AF1992" s="8"/>
      <c r="AG1992" s="8"/>
      <c r="AH1992" s="8"/>
    </row>
    <row r="1993" spans="1:34" ht="13.5" customHeight="1">
      <c r="A1993" s="8" t="s">
        <v>10430</v>
      </c>
      <c r="B1993" s="16">
        <v>30</v>
      </c>
      <c r="C1993" s="8" t="s">
        <v>20</v>
      </c>
      <c r="D1993" s="8" t="s">
        <v>37</v>
      </c>
      <c r="E1993" s="8" t="s">
        <v>10431</v>
      </c>
      <c r="F1993" s="17">
        <v>41750</v>
      </c>
      <c r="G1993" s="8" t="s">
        <v>10432</v>
      </c>
      <c r="H1993" s="8" t="s">
        <v>288</v>
      </c>
      <c r="I1993" s="8" t="s">
        <v>73</v>
      </c>
      <c r="J1993" s="16" t="s">
        <v>10433</v>
      </c>
      <c r="K1993" s="2" t="s">
        <v>288</v>
      </c>
      <c r="L1993" s="8" t="s">
        <v>289</v>
      </c>
      <c r="M1993" s="8" t="s">
        <v>27</v>
      </c>
      <c r="N1993" s="8" t="s">
        <v>10434</v>
      </c>
      <c r="O1993" s="8" t="s">
        <v>1018</v>
      </c>
      <c r="P1993" s="8" t="s">
        <v>405</v>
      </c>
      <c r="Q1993" s="12" t="s">
        <v>10435</v>
      </c>
      <c r="R1993" s="8" t="s">
        <v>972</v>
      </c>
      <c r="S1993" s="7" t="s">
        <v>28</v>
      </c>
      <c r="T1993" s="6"/>
      <c r="U1993" s="8"/>
    </row>
    <row r="1994" spans="1:34" ht="13.5" customHeight="1">
      <c r="A1994" s="8" t="s">
        <v>10424</v>
      </c>
      <c r="B1994" s="16">
        <v>58</v>
      </c>
      <c r="C1994" s="8" t="s">
        <v>20</v>
      </c>
      <c r="D1994" s="8" t="s">
        <v>37</v>
      </c>
      <c r="E1994" s="8" t="s">
        <v>10425</v>
      </c>
      <c r="F1994" s="17">
        <v>41750</v>
      </c>
      <c r="G1994" s="8" t="s">
        <v>10426</v>
      </c>
      <c r="H1994" s="8" t="s">
        <v>1908</v>
      </c>
      <c r="I1994" s="8" t="s">
        <v>45</v>
      </c>
      <c r="J1994" s="16" t="s">
        <v>10427</v>
      </c>
      <c r="K1994" s="2" t="s">
        <v>791</v>
      </c>
      <c r="L1994" s="8" t="s">
        <v>792</v>
      </c>
      <c r="M1994" s="8" t="s">
        <v>27</v>
      </c>
      <c r="N1994" s="8" t="s">
        <v>10428</v>
      </c>
      <c r="O1994" s="8" t="s">
        <v>1018</v>
      </c>
      <c r="P1994" s="8" t="s">
        <v>405</v>
      </c>
      <c r="Q1994" s="12" t="s">
        <v>10429</v>
      </c>
      <c r="R1994" s="8" t="s">
        <v>559</v>
      </c>
      <c r="S1994" s="7" t="s">
        <v>28</v>
      </c>
      <c r="T1994" s="6"/>
      <c r="U1994" s="8"/>
    </row>
    <row r="1995" spans="1:34" ht="13.5" customHeight="1">
      <c r="A1995" s="8" t="s">
        <v>10418</v>
      </c>
      <c r="B1995" s="16">
        <v>25</v>
      </c>
      <c r="C1995" s="8" t="s">
        <v>20</v>
      </c>
      <c r="D1995" s="8" t="s">
        <v>950</v>
      </c>
      <c r="E1995" s="8" t="s">
        <v>10419</v>
      </c>
      <c r="F1995" s="17">
        <v>41750</v>
      </c>
      <c r="G1995" s="8" t="s">
        <v>10420</v>
      </c>
      <c r="H1995" s="8" t="s">
        <v>242</v>
      </c>
      <c r="I1995" s="8" t="s">
        <v>243</v>
      </c>
      <c r="J1995" s="16" t="s">
        <v>10421</v>
      </c>
      <c r="K1995" s="2" t="s">
        <v>617</v>
      </c>
      <c r="L1995" s="8" t="s">
        <v>5704</v>
      </c>
      <c r="M1995" s="8" t="s">
        <v>27</v>
      </c>
      <c r="N1995" s="8" t="s">
        <v>10422</v>
      </c>
      <c r="O1995" s="8" t="s">
        <v>404</v>
      </c>
      <c r="P1995" s="8" t="s">
        <v>405</v>
      </c>
      <c r="Q1995" s="12" t="s">
        <v>10423</v>
      </c>
      <c r="R1995" s="8" t="s">
        <v>100</v>
      </c>
      <c r="S1995" s="7" t="s">
        <v>18</v>
      </c>
      <c r="T1995" s="6"/>
      <c r="U1995" s="8"/>
    </row>
    <row r="1996" spans="1:34" ht="13.5" customHeight="1">
      <c r="A1996" s="8" t="s">
        <v>10436</v>
      </c>
      <c r="B1996" s="16">
        <v>56</v>
      </c>
      <c r="C1996" s="8" t="s">
        <v>20</v>
      </c>
      <c r="D1996" s="8" t="s">
        <v>37</v>
      </c>
      <c r="E1996" s="8" t="s">
        <v>10437</v>
      </c>
      <c r="F1996" s="17">
        <v>41750</v>
      </c>
      <c r="G1996" s="8" t="s">
        <v>10438</v>
      </c>
      <c r="H1996" s="8" t="s">
        <v>10439</v>
      </c>
      <c r="I1996" s="8" t="s">
        <v>69</v>
      </c>
      <c r="J1996" s="16" t="s">
        <v>10440</v>
      </c>
      <c r="K1996" s="2" t="s">
        <v>6039</v>
      </c>
      <c r="L1996" s="8" t="s">
        <v>10441</v>
      </c>
      <c r="M1996" s="8" t="s">
        <v>27</v>
      </c>
      <c r="N1996" s="8" t="s">
        <v>10442</v>
      </c>
      <c r="O1996" s="8" t="s">
        <v>554</v>
      </c>
      <c r="P1996" s="8" t="s">
        <v>405</v>
      </c>
      <c r="Q1996" s="12" t="s">
        <v>10443</v>
      </c>
      <c r="R1996" s="8" t="s">
        <v>29</v>
      </c>
      <c r="S1996" s="7" t="s">
        <v>28</v>
      </c>
      <c r="T1996" s="6"/>
      <c r="U1996" s="8"/>
    </row>
    <row r="1997" spans="1:34" ht="13.5" customHeight="1">
      <c r="A1997" s="8" t="s">
        <v>10461</v>
      </c>
      <c r="B1997" s="16">
        <v>20</v>
      </c>
      <c r="C1997" s="8" t="s">
        <v>20</v>
      </c>
      <c r="D1997" s="8" t="s">
        <v>37</v>
      </c>
      <c r="E1997" s="8" t="s">
        <v>10462</v>
      </c>
      <c r="F1997" s="17">
        <v>41749</v>
      </c>
      <c r="G1997" s="8" t="s">
        <v>10463</v>
      </c>
      <c r="H1997" s="8" t="s">
        <v>6714</v>
      </c>
      <c r="I1997" s="8" t="s">
        <v>73</v>
      </c>
      <c r="J1997" s="16" t="s">
        <v>10464</v>
      </c>
      <c r="K1997" s="2" t="s">
        <v>6714</v>
      </c>
      <c r="L1997" s="8" t="s">
        <v>284</v>
      </c>
      <c r="M1997" s="8" t="s">
        <v>27</v>
      </c>
      <c r="N1997" s="8" t="s">
        <v>10465</v>
      </c>
      <c r="O1997" s="8" t="s">
        <v>1018</v>
      </c>
      <c r="P1997" s="8" t="s">
        <v>405</v>
      </c>
      <c r="Q1997" s="12" t="s">
        <v>10466</v>
      </c>
      <c r="R1997" s="8" t="s">
        <v>100</v>
      </c>
      <c r="S1997" s="7" t="s">
        <v>18</v>
      </c>
      <c r="T1997" s="6"/>
      <c r="U1997" s="8"/>
    </row>
    <row r="1998" spans="1:34" ht="13.5" customHeight="1">
      <c r="A1998" s="8" t="s">
        <v>10467</v>
      </c>
      <c r="B1998" s="16">
        <v>17</v>
      </c>
      <c r="C1998" s="8" t="s">
        <v>20</v>
      </c>
      <c r="D1998" s="8" t="s">
        <v>37</v>
      </c>
      <c r="E1998" s="8" t="s">
        <v>10468</v>
      </c>
      <c r="F1998" s="17">
        <v>41749</v>
      </c>
      <c r="G1998" s="8" t="s">
        <v>10456</v>
      </c>
      <c r="H1998" s="8" t="s">
        <v>448</v>
      </c>
      <c r="I1998" s="8" t="s">
        <v>57</v>
      </c>
      <c r="J1998" s="16" t="s">
        <v>10457</v>
      </c>
      <c r="K1998" s="2" t="s">
        <v>1139</v>
      </c>
      <c r="L1998" s="8" t="s">
        <v>2196</v>
      </c>
      <c r="M1998" s="8" t="s">
        <v>383</v>
      </c>
      <c r="N1998" s="8" t="s">
        <v>10458</v>
      </c>
      <c r="O1998" s="8" t="s">
        <v>1018</v>
      </c>
      <c r="P1998" s="8" t="s">
        <v>405</v>
      </c>
      <c r="Q1998" s="12" t="s">
        <v>10459</v>
      </c>
      <c r="R1998" s="8" t="s">
        <v>100</v>
      </c>
      <c r="S1998" s="7" t="s">
        <v>383</v>
      </c>
      <c r="T1998" s="6"/>
      <c r="U1998" s="8"/>
    </row>
    <row r="1999" spans="1:34" ht="13.5" customHeight="1">
      <c r="A1999" s="8" t="s">
        <v>10460</v>
      </c>
      <c r="B1999" s="16">
        <v>14</v>
      </c>
      <c r="C1999" s="8" t="s">
        <v>115</v>
      </c>
      <c r="D1999" s="8" t="s">
        <v>30</v>
      </c>
      <c r="F1999" s="17">
        <v>41749</v>
      </c>
      <c r="G1999" s="8" t="s">
        <v>10456</v>
      </c>
      <c r="H1999" s="8" t="s">
        <v>448</v>
      </c>
      <c r="I1999" s="8" t="s">
        <v>57</v>
      </c>
      <c r="J1999" s="16" t="s">
        <v>10457</v>
      </c>
      <c r="K1999" s="2" t="s">
        <v>1139</v>
      </c>
      <c r="L1999" s="8" t="s">
        <v>2196</v>
      </c>
      <c r="M1999" s="8" t="s">
        <v>383</v>
      </c>
      <c r="N1999" s="8" t="s">
        <v>10458</v>
      </c>
      <c r="O1999" s="8" t="s">
        <v>1018</v>
      </c>
      <c r="P1999" s="8" t="s">
        <v>405</v>
      </c>
      <c r="Q1999" s="12" t="s">
        <v>10459</v>
      </c>
      <c r="R1999" s="8" t="s">
        <v>100</v>
      </c>
      <c r="S1999" s="7" t="s">
        <v>383</v>
      </c>
      <c r="T1999" s="6"/>
      <c r="U1999" s="8"/>
    </row>
    <row r="2000" spans="1:34" ht="13.5" customHeight="1">
      <c r="A2000" s="8" t="s">
        <v>10469</v>
      </c>
      <c r="B2000" s="16">
        <v>30</v>
      </c>
      <c r="C2000" s="8" t="s">
        <v>20</v>
      </c>
      <c r="D2000" s="8" t="s">
        <v>37</v>
      </c>
      <c r="F2000" s="17">
        <v>41749</v>
      </c>
      <c r="G2000" s="8" t="s">
        <v>10470</v>
      </c>
      <c r="H2000" s="8" t="s">
        <v>579</v>
      </c>
      <c r="I2000" s="8" t="s">
        <v>73</v>
      </c>
      <c r="J2000" s="16" t="s">
        <v>10471</v>
      </c>
      <c r="K2000" s="2" t="s">
        <v>580</v>
      </c>
      <c r="L2000" s="8" t="s">
        <v>581</v>
      </c>
      <c r="M2000" s="8" t="s">
        <v>27</v>
      </c>
      <c r="N2000" s="8" t="s">
        <v>10472</v>
      </c>
      <c r="O2000" s="8" t="s">
        <v>1018</v>
      </c>
      <c r="P2000" s="8" t="s">
        <v>405</v>
      </c>
      <c r="Q2000" s="12" t="s">
        <v>10473</v>
      </c>
      <c r="R2000" s="8" t="s">
        <v>29</v>
      </c>
      <c r="S2000" s="7" t="s">
        <v>18</v>
      </c>
      <c r="T2000" s="6"/>
      <c r="U2000" s="8"/>
    </row>
    <row r="2001" spans="1:21" ht="13.5" customHeight="1">
      <c r="A2001" s="8" t="s">
        <v>10455</v>
      </c>
      <c r="B2001" s="16">
        <v>16</v>
      </c>
      <c r="C2001" s="8" t="s">
        <v>115</v>
      </c>
      <c r="D2001" s="8" t="s">
        <v>48</v>
      </c>
      <c r="F2001" s="17">
        <v>41749</v>
      </c>
      <c r="G2001" s="8" t="s">
        <v>10456</v>
      </c>
      <c r="H2001" s="8" t="s">
        <v>448</v>
      </c>
      <c r="I2001" s="8" t="s">
        <v>57</v>
      </c>
      <c r="J2001" s="16" t="s">
        <v>10457</v>
      </c>
      <c r="K2001" s="2" t="s">
        <v>1139</v>
      </c>
      <c r="L2001" s="8" t="s">
        <v>2196</v>
      </c>
      <c r="M2001" s="8" t="s">
        <v>383</v>
      </c>
      <c r="N2001" s="8" t="s">
        <v>10458</v>
      </c>
      <c r="O2001" s="8" t="s">
        <v>1018</v>
      </c>
      <c r="P2001" s="8" t="s">
        <v>405</v>
      </c>
      <c r="Q2001" s="12" t="s">
        <v>10459</v>
      </c>
      <c r="R2001" s="8" t="s">
        <v>100</v>
      </c>
      <c r="S2001" s="7" t="s">
        <v>383</v>
      </c>
      <c r="T2001" s="6"/>
      <c r="U2001" s="8"/>
    </row>
    <row r="2002" spans="1:21" ht="13.5" customHeight="1">
      <c r="A2002" s="8" t="s">
        <v>10449</v>
      </c>
      <c r="B2002" s="16">
        <v>50</v>
      </c>
      <c r="C2002" s="8" t="s">
        <v>115</v>
      </c>
      <c r="D2002" s="8" t="s">
        <v>48</v>
      </c>
      <c r="E2002" s="8" t="s">
        <v>10450</v>
      </c>
      <c r="F2002" s="17">
        <v>41749</v>
      </c>
      <c r="G2002" s="8" t="s">
        <v>10451</v>
      </c>
      <c r="H2002" s="8" t="s">
        <v>87</v>
      </c>
      <c r="I2002" s="8" t="s">
        <v>44</v>
      </c>
      <c r="J2002" s="16" t="s">
        <v>10452</v>
      </c>
      <c r="K2002" s="2" t="s">
        <v>88</v>
      </c>
      <c r="L2002" s="8" t="s">
        <v>89</v>
      </c>
      <c r="M2002" s="8" t="s">
        <v>27</v>
      </c>
      <c r="N2002" s="8" t="s">
        <v>10453</v>
      </c>
      <c r="O2002" s="8" t="s">
        <v>404</v>
      </c>
      <c r="P2002" s="8" t="s">
        <v>405</v>
      </c>
      <c r="Q2002" s="12" t="s">
        <v>10454</v>
      </c>
      <c r="R2002" s="8" t="s">
        <v>29</v>
      </c>
      <c r="S2002" s="7" t="s">
        <v>28</v>
      </c>
      <c r="T2002" s="6"/>
      <c r="U2002" s="8"/>
    </row>
    <row r="2003" spans="1:21" ht="13.5" customHeight="1">
      <c r="A2003" s="8" t="s">
        <v>10474</v>
      </c>
      <c r="B2003" s="16">
        <v>18</v>
      </c>
      <c r="C2003" s="8" t="s">
        <v>115</v>
      </c>
      <c r="D2003" s="8" t="s">
        <v>48</v>
      </c>
      <c r="F2003" s="17">
        <v>41748</v>
      </c>
      <c r="G2003" s="8" t="s">
        <v>10475</v>
      </c>
      <c r="H2003" s="8" t="s">
        <v>2513</v>
      </c>
      <c r="I2003" s="8" t="s">
        <v>399</v>
      </c>
      <c r="J2003" s="16" t="s">
        <v>10476</v>
      </c>
      <c r="K2003" s="2" t="s">
        <v>2513</v>
      </c>
      <c r="L2003" s="8" t="s">
        <v>3148</v>
      </c>
      <c r="M2003" s="8" t="s">
        <v>27</v>
      </c>
      <c r="N2003" s="8" t="s">
        <v>10477</v>
      </c>
      <c r="O2003" s="8" t="s">
        <v>1018</v>
      </c>
      <c r="P2003" s="8" t="s">
        <v>405</v>
      </c>
      <c r="Q2003" s="12" t="s">
        <v>10478</v>
      </c>
      <c r="R2003" s="8" t="s">
        <v>100</v>
      </c>
      <c r="S2003" s="7" t="s">
        <v>18</v>
      </c>
      <c r="T2003" s="6"/>
      <c r="U2003" s="8"/>
    </row>
    <row r="2004" spans="1:21" ht="13.5" customHeight="1">
      <c r="A2004" s="8" t="s">
        <v>3288</v>
      </c>
      <c r="B2004" s="16">
        <v>50</v>
      </c>
      <c r="C2004" s="8" t="s">
        <v>20</v>
      </c>
      <c r="D2004" s="8" t="s">
        <v>48</v>
      </c>
      <c r="F2004" s="17">
        <v>41748</v>
      </c>
      <c r="G2004" s="8" t="s">
        <v>10479</v>
      </c>
      <c r="H2004" s="8" t="s">
        <v>203</v>
      </c>
      <c r="I2004" s="8" t="s">
        <v>45</v>
      </c>
      <c r="J2004" s="16" t="s">
        <v>7172</v>
      </c>
      <c r="K2004" s="2" t="s">
        <v>203</v>
      </c>
      <c r="L2004" s="8" t="s">
        <v>1614</v>
      </c>
      <c r="M2004" s="8" t="s">
        <v>27</v>
      </c>
      <c r="N2004" s="8" t="s">
        <v>10480</v>
      </c>
      <c r="O2004" s="8" t="s">
        <v>1018</v>
      </c>
      <c r="P2004" s="8" t="s">
        <v>405</v>
      </c>
      <c r="Q2004" s="12" t="s">
        <v>10481</v>
      </c>
      <c r="R2004" s="8" t="s">
        <v>29</v>
      </c>
      <c r="S2004" s="7" t="s">
        <v>28</v>
      </c>
      <c r="T2004" s="6"/>
      <c r="U2004" s="8"/>
    </row>
    <row r="2005" spans="1:21" ht="13.5" customHeight="1">
      <c r="A2005" s="8" t="s">
        <v>10482</v>
      </c>
      <c r="B2005" s="16">
        <v>19</v>
      </c>
      <c r="C2005" s="8" t="s">
        <v>20</v>
      </c>
      <c r="D2005" s="8" t="s">
        <v>48</v>
      </c>
      <c r="E2005" s="8" t="s">
        <v>10483</v>
      </c>
      <c r="F2005" s="17">
        <v>41747</v>
      </c>
      <c r="G2005" s="8" t="s">
        <v>10484</v>
      </c>
      <c r="H2005" s="8" t="s">
        <v>10485</v>
      </c>
      <c r="I2005" s="8" t="s">
        <v>45</v>
      </c>
      <c r="J2005" s="16" t="s">
        <v>10486</v>
      </c>
      <c r="K2005" s="2" t="s">
        <v>10015</v>
      </c>
      <c r="L2005" s="8" t="s">
        <v>10487</v>
      </c>
      <c r="M2005" s="8" t="s">
        <v>27</v>
      </c>
      <c r="N2005" s="8" t="s">
        <v>10488</v>
      </c>
      <c r="O2005" s="8" t="s">
        <v>1018</v>
      </c>
      <c r="P2005" s="8" t="s">
        <v>405</v>
      </c>
      <c r="Q2005" s="12" t="s">
        <v>10489</v>
      </c>
      <c r="R2005" s="8" t="s">
        <v>100</v>
      </c>
      <c r="S2005" s="7" t="s">
        <v>35</v>
      </c>
      <c r="T2005" s="6"/>
      <c r="U2005" s="8"/>
    </row>
    <row r="2006" spans="1:21" ht="13.5" customHeight="1">
      <c r="A2006" s="8" t="s">
        <v>10490</v>
      </c>
      <c r="B2006" s="16">
        <v>16</v>
      </c>
      <c r="C2006" s="8" t="s">
        <v>115</v>
      </c>
      <c r="D2006" s="8" t="s">
        <v>30</v>
      </c>
      <c r="F2006" s="17">
        <v>41747</v>
      </c>
      <c r="G2006" s="8" t="s">
        <v>10491</v>
      </c>
      <c r="H2006" s="8" t="s">
        <v>10492</v>
      </c>
      <c r="I2006" s="8" t="s">
        <v>408</v>
      </c>
      <c r="J2006" s="16" t="s">
        <v>10493</v>
      </c>
      <c r="K2006" s="2" t="s">
        <v>10492</v>
      </c>
      <c r="L2006" s="8" t="s">
        <v>9453</v>
      </c>
      <c r="M2006" s="8" t="s">
        <v>4439</v>
      </c>
      <c r="N2006" s="8" t="s">
        <v>10494</v>
      </c>
      <c r="O2006" s="8" t="s">
        <v>1018</v>
      </c>
      <c r="P2006" s="8" t="s">
        <v>405</v>
      </c>
      <c r="Q2006" s="12" t="s">
        <v>10495</v>
      </c>
      <c r="R2006" s="8" t="s">
        <v>100</v>
      </c>
      <c r="S2006" s="7" t="s">
        <v>383</v>
      </c>
      <c r="T2006" s="6"/>
      <c r="U2006" s="8"/>
    </row>
    <row r="2007" spans="1:21" ht="13.5" customHeight="1">
      <c r="A2007" s="8" t="s">
        <v>10501</v>
      </c>
      <c r="B2007" s="16">
        <v>57</v>
      </c>
      <c r="C2007" s="8" t="s">
        <v>20</v>
      </c>
      <c r="D2007" s="8" t="s">
        <v>37</v>
      </c>
      <c r="F2007" s="17">
        <v>41746</v>
      </c>
      <c r="G2007" s="8" t="s">
        <v>10502</v>
      </c>
      <c r="H2007" s="8" t="s">
        <v>10503</v>
      </c>
      <c r="I2007" s="8" t="s">
        <v>73</v>
      </c>
      <c r="J2007" s="16" t="s">
        <v>10504</v>
      </c>
      <c r="K2007" s="2" t="s">
        <v>74</v>
      </c>
      <c r="L2007" s="8" t="s">
        <v>10505</v>
      </c>
      <c r="M2007" s="8" t="s">
        <v>27</v>
      </c>
      <c r="N2007" s="8" t="s">
        <v>10506</v>
      </c>
      <c r="O2007" s="8" t="s">
        <v>1018</v>
      </c>
      <c r="P2007" s="8" t="s">
        <v>405</v>
      </c>
      <c r="Q2007" s="12" t="s">
        <v>10507</v>
      </c>
      <c r="R2007" s="8" t="s">
        <v>559</v>
      </c>
      <c r="S2007" s="7" t="s">
        <v>28</v>
      </c>
      <c r="T2007" s="6"/>
      <c r="U2007" s="8"/>
    </row>
    <row r="2008" spans="1:21" ht="13.5" customHeight="1">
      <c r="A2008" s="8" t="s">
        <v>10516</v>
      </c>
      <c r="B2008" s="16">
        <v>42</v>
      </c>
      <c r="C2008" s="8" t="s">
        <v>115</v>
      </c>
      <c r="D2008" s="8" t="s">
        <v>37</v>
      </c>
      <c r="E2008" s="8" t="s">
        <v>10517</v>
      </c>
      <c r="F2008" s="17">
        <v>41746</v>
      </c>
      <c r="G2008" s="8" t="s">
        <v>10518</v>
      </c>
      <c r="H2008" s="8" t="s">
        <v>219</v>
      </c>
      <c r="I2008" s="8" t="s">
        <v>220</v>
      </c>
      <c r="J2008" s="16" t="s">
        <v>10519</v>
      </c>
      <c r="K2008" s="2" t="s">
        <v>424</v>
      </c>
      <c r="L2008" s="8" t="s">
        <v>221</v>
      </c>
      <c r="M2008" s="8" t="s">
        <v>27</v>
      </c>
      <c r="N2008" s="8" t="s">
        <v>10520</v>
      </c>
      <c r="O2008" s="8" t="s">
        <v>1018</v>
      </c>
      <c r="P2008" s="8" t="s">
        <v>405</v>
      </c>
      <c r="Q2008" s="12" t="s">
        <v>10521</v>
      </c>
      <c r="R2008" s="8" t="s">
        <v>29</v>
      </c>
      <c r="S2008" s="7" t="s">
        <v>28</v>
      </c>
      <c r="T2008" s="6"/>
      <c r="U2008" s="8"/>
    </row>
    <row r="2009" spans="1:21" ht="13.5" customHeight="1">
      <c r="A2009" s="8" t="s">
        <v>10508</v>
      </c>
      <c r="B2009" s="16">
        <v>25</v>
      </c>
      <c r="C2009" s="8" t="s">
        <v>20</v>
      </c>
      <c r="D2009" s="8" t="s">
        <v>37</v>
      </c>
      <c r="E2009" s="8" t="s">
        <v>10509</v>
      </c>
      <c r="F2009" s="17">
        <v>41746</v>
      </c>
      <c r="G2009" s="8" t="s">
        <v>10510</v>
      </c>
      <c r="H2009" s="8" t="s">
        <v>10511</v>
      </c>
      <c r="I2009" s="8" t="s">
        <v>374</v>
      </c>
      <c r="J2009" s="16" t="s">
        <v>10512</v>
      </c>
      <c r="K2009" s="2" t="s">
        <v>1420</v>
      </c>
      <c r="L2009" s="8" t="s">
        <v>10513</v>
      </c>
      <c r="M2009" s="8" t="s">
        <v>27</v>
      </c>
      <c r="N2009" s="8" t="s">
        <v>10514</v>
      </c>
      <c r="O2009" s="8" t="s">
        <v>1018</v>
      </c>
      <c r="P2009" s="8" t="s">
        <v>405</v>
      </c>
      <c r="Q2009" s="12" t="s">
        <v>10515</v>
      </c>
      <c r="R2009" s="8" t="s">
        <v>559</v>
      </c>
      <c r="S2009" s="7" t="s">
        <v>28</v>
      </c>
      <c r="T2009" s="6"/>
      <c r="U2009" s="8"/>
    </row>
    <row r="2010" spans="1:21" ht="13.5" customHeight="1">
      <c r="A2010" s="8" t="s">
        <v>10496</v>
      </c>
      <c r="B2010" s="16">
        <v>35</v>
      </c>
      <c r="C2010" s="8" t="s">
        <v>20</v>
      </c>
      <c r="D2010" s="8" t="s">
        <v>48</v>
      </c>
      <c r="E2010" s="8" t="s">
        <v>10497</v>
      </c>
      <c r="F2010" s="17">
        <v>41746</v>
      </c>
      <c r="G2010" s="8" t="s">
        <v>10498</v>
      </c>
      <c r="H2010" s="8" t="s">
        <v>565</v>
      </c>
      <c r="I2010" s="8" t="s">
        <v>124</v>
      </c>
      <c r="J2010" s="16" t="s">
        <v>6845</v>
      </c>
      <c r="K2010" s="2" t="s">
        <v>566</v>
      </c>
      <c r="L2010" s="8" t="s">
        <v>567</v>
      </c>
      <c r="M2010" s="8" t="s">
        <v>27</v>
      </c>
      <c r="N2010" s="8" t="s">
        <v>10499</v>
      </c>
      <c r="O2010" s="8" t="s">
        <v>1018</v>
      </c>
      <c r="P2010" s="8" t="s">
        <v>405</v>
      </c>
      <c r="Q2010" s="12" t="s">
        <v>10500</v>
      </c>
      <c r="R2010" s="8" t="s">
        <v>100</v>
      </c>
      <c r="S2010" s="7" t="s">
        <v>28</v>
      </c>
      <c r="T2010" s="6"/>
      <c r="U2010" s="8"/>
    </row>
    <row r="2011" spans="1:21" ht="13.5" customHeight="1">
      <c r="A2011" s="8" t="s">
        <v>10522</v>
      </c>
      <c r="B2011" s="16">
        <v>23</v>
      </c>
      <c r="C2011" s="8" t="s">
        <v>20</v>
      </c>
      <c r="D2011" s="8" t="s">
        <v>85</v>
      </c>
      <c r="E2011" s="8" t="s">
        <v>10523</v>
      </c>
      <c r="F2011" s="17">
        <v>41745</v>
      </c>
      <c r="G2011" s="8" t="s">
        <v>10524</v>
      </c>
      <c r="H2011" s="8" t="s">
        <v>10525</v>
      </c>
      <c r="I2011" s="8" t="s">
        <v>435</v>
      </c>
      <c r="J2011" s="16" t="s">
        <v>10526</v>
      </c>
      <c r="K2011" s="2" t="s">
        <v>717</v>
      </c>
      <c r="L2011" s="8" t="s">
        <v>7242</v>
      </c>
      <c r="M2011" s="8" t="s">
        <v>27</v>
      </c>
      <c r="N2011" s="8" t="s">
        <v>10527</v>
      </c>
      <c r="O2011" s="8" t="s">
        <v>1018</v>
      </c>
      <c r="P2011" s="8" t="s">
        <v>405</v>
      </c>
      <c r="Q2011" s="12" t="s">
        <v>10528</v>
      </c>
      <c r="R2011" s="8" t="s">
        <v>100</v>
      </c>
      <c r="S2011" s="7" t="s">
        <v>28</v>
      </c>
      <c r="T2011" s="6"/>
      <c r="U2011" s="8"/>
    </row>
    <row r="2012" spans="1:21" ht="13.5" customHeight="1">
      <c r="A2012" s="8" t="s">
        <v>10529</v>
      </c>
      <c r="B2012" s="16">
        <v>40</v>
      </c>
      <c r="C2012" s="8" t="s">
        <v>20</v>
      </c>
      <c r="D2012" s="8" t="s">
        <v>37</v>
      </c>
      <c r="E2012" s="8" t="s">
        <v>10530</v>
      </c>
      <c r="F2012" s="17">
        <v>41745</v>
      </c>
      <c r="G2012" s="8" t="s">
        <v>10531</v>
      </c>
      <c r="H2012" s="8" t="s">
        <v>731</v>
      </c>
      <c r="I2012" s="8" t="s">
        <v>73</v>
      </c>
      <c r="J2012" s="16" t="s">
        <v>10532</v>
      </c>
      <c r="K2012" s="2" t="s">
        <v>562</v>
      </c>
      <c r="L2012" s="8" t="s">
        <v>732</v>
      </c>
      <c r="M2012" s="8" t="s">
        <v>3189</v>
      </c>
      <c r="N2012" s="8" t="s">
        <v>10533</v>
      </c>
      <c r="O2012" s="8" t="s">
        <v>4742</v>
      </c>
      <c r="P2012" s="8" t="s">
        <v>405</v>
      </c>
      <c r="Q2012" s="12" t="s">
        <v>10534</v>
      </c>
      <c r="R2012" s="8" t="s">
        <v>29</v>
      </c>
      <c r="S2012" s="7" t="s">
        <v>18</v>
      </c>
      <c r="T2012" s="6"/>
      <c r="U2012" s="8"/>
    </row>
    <row r="2013" spans="1:21" ht="13.5" customHeight="1">
      <c r="A2013" s="8" t="s">
        <v>10543</v>
      </c>
      <c r="B2013" s="16">
        <v>52</v>
      </c>
      <c r="C2013" s="8" t="s">
        <v>20</v>
      </c>
      <c r="D2013" s="8" t="s">
        <v>37</v>
      </c>
      <c r="F2013" s="17">
        <v>41745</v>
      </c>
      <c r="G2013" s="8" t="s">
        <v>10544</v>
      </c>
      <c r="H2013" s="8" t="s">
        <v>10545</v>
      </c>
      <c r="I2013" s="8" t="s">
        <v>435</v>
      </c>
      <c r="J2013" s="16" t="s">
        <v>10546</v>
      </c>
      <c r="K2013" s="2" t="s">
        <v>10545</v>
      </c>
      <c r="L2013" s="8" t="s">
        <v>10547</v>
      </c>
      <c r="M2013" s="8" t="s">
        <v>27</v>
      </c>
      <c r="N2013" s="8" t="s">
        <v>10548</v>
      </c>
      <c r="O2013" s="8" t="s">
        <v>1018</v>
      </c>
      <c r="P2013" s="8" t="s">
        <v>405</v>
      </c>
      <c r="Q2013" s="12" t="s">
        <v>10549</v>
      </c>
      <c r="R2013" s="8" t="s">
        <v>29</v>
      </c>
      <c r="S2013" s="7" t="s">
        <v>18</v>
      </c>
      <c r="T2013" s="6"/>
      <c r="U2013" s="8"/>
    </row>
    <row r="2014" spans="1:21" ht="13.5" customHeight="1">
      <c r="A2014" s="8" t="s">
        <v>10535</v>
      </c>
      <c r="B2014" s="16">
        <v>49</v>
      </c>
      <c r="C2014" s="8" t="s">
        <v>20</v>
      </c>
      <c r="D2014" s="8" t="s">
        <v>37</v>
      </c>
      <c r="E2014" s="8" t="s">
        <v>10536</v>
      </c>
      <c r="F2014" s="17">
        <v>41745</v>
      </c>
      <c r="G2014" s="8" t="s">
        <v>10537</v>
      </c>
      <c r="H2014" s="8" t="s">
        <v>10538</v>
      </c>
      <c r="I2014" s="8" t="s">
        <v>675</v>
      </c>
      <c r="J2014" s="16" t="s">
        <v>10539</v>
      </c>
      <c r="K2014" s="2" t="s">
        <v>5608</v>
      </c>
      <c r="L2014" s="8" t="s">
        <v>10540</v>
      </c>
      <c r="M2014" s="8" t="s">
        <v>27</v>
      </c>
      <c r="N2014" s="8" t="s">
        <v>10541</v>
      </c>
      <c r="O2014" s="8" t="s">
        <v>554</v>
      </c>
      <c r="P2014" s="8" t="s">
        <v>405</v>
      </c>
      <c r="Q2014" s="12" t="s">
        <v>10542</v>
      </c>
      <c r="R2014" s="8" t="s">
        <v>100</v>
      </c>
      <c r="S2014" s="7" t="s">
        <v>28</v>
      </c>
      <c r="T2014" s="6"/>
      <c r="U2014" s="8"/>
    </row>
    <row r="2015" spans="1:21" ht="13.5" customHeight="1">
      <c r="A2015" s="8" t="s">
        <v>10550</v>
      </c>
      <c r="B2015" s="16">
        <v>48</v>
      </c>
      <c r="C2015" s="8" t="s">
        <v>20</v>
      </c>
      <c r="D2015" s="8" t="s">
        <v>85</v>
      </c>
      <c r="E2015" s="8" t="s">
        <v>10551</v>
      </c>
      <c r="F2015" s="17">
        <v>41744</v>
      </c>
      <c r="G2015" s="8" t="s">
        <v>10552</v>
      </c>
      <c r="H2015" s="8" t="s">
        <v>7670</v>
      </c>
      <c r="I2015" s="8" t="s">
        <v>25</v>
      </c>
      <c r="J2015" s="16" t="s">
        <v>7671</v>
      </c>
      <c r="K2015" s="2" t="s">
        <v>10553</v>
      </c>
      <c r="L2015" s="8" t="s">
        <v>10554</v>
      </c>
      <c r="M2015" s="8" t="s">
        <v>27</v>
      </c>
      <c r="N2015" s="8" t="s">
        <v>10555</v>
      </c>
      <c r="O2015" s="8" t="s">
        <v>4742</v>
      </c>
      <c r="P2015" s="8" t="s">
        <v>405</v>
      </c>
      <c r="Q2015" s="12" t="s">
        <v>10556</v>
      </c>
      <c r="R2015" s="8" t="s">
        <v>100</v>
      </c>
      <c r="S2015" s="7" t="s">
        <v>28</v>
      </c>
      <c r="T2015" s="6"/>
      <c r="U2015" s="8"/>
    </row>
    <row r="2016" spans="1:21" ht="13.5" customHeight="1">
      <c r="A2016" s="8" t="s">
        <v>10557</v>
      </c>
      <c r="B2016" s="16">
        <v>38</v>
      </c>
      <c r="C2016" s="8" t="s">
        <v>20</v>
      </c>
      <c r="D2016" s="8" t="s">
        <v>48</v>
      </c>
      <c r="E2016" s="8" t="s">
        <v>10558</v>
      </c>
      <c r="F2016" s="17">
        <v>41743</v>
      </c>
      <c r="G2016" s="8" t="s">
        <v>10559</v>
      </c>
      <c r="H2016" s="8" t="s">
        <v>4629</v>
      </c>
      <c r="I2016" s="8" t="s">
        <v>862</v>
      </c>
      <c r="J2016" s="16" t="s">
        <v>4630</v>
      </c>
      <c r="K2016" s="2" t="s">
        <v>4631</v>
      </c>
      <c r="L2016" s="8" t="s">
        <v>10560</v>
      </c>
      <c r="M2016" s="8" t="s">
        <v>27</v>
      </c>
      <c r="N2016" s="8" t="s">
        <v>10561</v>
      </c>
      <c r="O2016" s="8" t="s">
        <v>4742</v>
      </c>
      <c r="P2016" s="8" t="s">
        <v>405</v>
      </c>
      <c r="Q2016" s="12" t="s">
        <v>10562</v>
      </c>
      <c r="R2016" s="8" t="s">
        <v>100</v>
      </c>
      <c r="S2016" s="7" t="s">
        <v>18</v>
      </c>
      <c r="T2016" s="6"/>
      <c r="U2016" s="8"/>
    </row>
    <row r="2017" spans="1:39" ht="13.5" customHeight="1">
      <c r="A2017" s="8" t="s">
        <v>10571</v>
      </c>
      <c r="B2017" s="16">
        <v>24</v>
      </c>
      <c r="C2017" s="8" t="s">
        <v>20</v>
      </c>
      <c r="D2017" s="8" t="s">
        <v>37</v>
      </c>
      <c r="E2017" s="8" t="s">
        <v>10572</v>
      </c>
      <c r="F2017" s="17">
        <v>41743</v>
      </c>
      <c r="G2017" s="8" t="s">
        <v>10573</v>
      </c>
      <c r="H2017" s="8" t="s">
        <v>3616</v>
      </c>
      <c r="I2017" s="8" t="s">
        <v>62</v>
      </c>
      <c r="J2017" s="16" t="s">
        <v>7635</v>
      </c>
      <c r="K2017" s="2" t="s">
        <v>3618</v>
      </c>
      <c r="L2017" s="8" t="s">
        <v>3619</v>
      </c>
      <c r="M2017" s="8" t="s">
        <v>27</v>
      </c>
      <c r="N2017" s="8" t="s">
        <v>10574</v>
      </c>
      <c r="O2017" s="8" t="s">
        <v>1018</v>
      </c>
      <c r="P2017" s="8" t="s">
        <v>405</v>
      </c>
      <c r="Q2017" s="12" t="s">
        <v>10575</v>
      </c>
      <c r="R2017" s="8" t="s">
        <v>100</v>
      </c>
      <c r="S2017" s="7" t="s">
        <v>28</v>
      </c>
      <c r="T2017" s="6"/>
      <c r="U2017" s="8"/>
    </row>
    <row r="2018" spans="1:39" ht="13.5" customHeight="1">
      <c r="A2018" s="8" t="s">
        <v>10563</v>
      </c>
      <c r="B2018" s="16">
        <v>45</v>
      </c>
      <c r="C2018" s="8" t="s">
        <v>20</v>
      </c>
      <c r="D2018" s="8" t="s">
        <v>30</v>
      </c>
      <c r="F2018" s="17">
        <v>41743</v>
      </c>
      <c r="G2018" s="8" t="s">
        <v>10564</v>
      </c>
      <c r="H2018" s="8" t="s">
        <v>10565</v>
      </c>
      <c r="I2018" s="8" t="s">
        <v>675</v>
      </c>
      <c r="J2018" s="16" t="s">
        <v>10566</v>
      </c>
      <c r="K2018" s="2" t="s">
        <v>10567</v>
      </c>
      <c r="L2018" s="8" t="s">
        <v>10568</v>
      </c>
      <c r="M2018" s="8" t="s">
        <v>27</v>
      </c>
      <c r="N2018" s="8" t="s">
        <v>10569</v>
      </c>
      <c r="O2018" s="8" t="s">
        <v>1018</v>
      </c>
      <c r="P2018" s="8" t="s">
        <v>405</v>
      </c>
      <c r="Q2018" s="12" t="s">
        <v>10570</v>
      </c>
      <c r="R2018" s="8" t="s">
        <v>559</v>
      </c>
      <c r="S2018" s="7" t="s">
        <v>28</v>
      </c>
      <c r="T2018" s="6"/>
      <c r="U2018" s="8"/>
    </row>
    <row r="2019" spans="1:39" ht="13.5" customHeight="1">
      <c r="A2019" s="8" t="s">
        <v>10581</v>
      </c>
      <c r="B2019" s="16">
        <v>20</v>
      </c>
      <c r="C2019" s="8" t="s">
        <v>20</v>
      </c>
      <c r="D2019" s="8" t="s">
        <v>85</v>
      </c>
      <c r="E2019" s="8" t="s">
        <v>10582</v>
      </c>
      <c r="F2019" s="17">
        <v>41742</v>
      </c>
      <c r="G2019" s="8" t="s">
        <v>10583</v>
      </c>
      <c r="H2019" s="8" t="s">
        <v>2316</v>
      </c>
      <c r="I2019" s="8" t="s">
        <v>44</v>
      </c>
      <c r="J2019" s="16" t="s">
        <v>2317</v>
      </c>
      <c r="K2019" s="2" t="s">
        <v>88</v>
      </c>
      <c r="L2019" s="8" t="s">
        <v>2318</v>
      </c>
      <c r="M2019" s="8" t="s">
        <v>27</v>
      </c>
      <c r="N2019" s="8" t="s">
        <v>10584</v>
      </c>
      <c r="O2019" s="8" t="s">
        <v>404</v>
      </c>
      <c r="P2019" s="8" t="s">
        <v>405</v>
      </c>
      <c r="Q2019" s="12" t="s">
        <v>10585</v>
      </c>
      <c r="R2019" s="8" t="s">
        <v>100</v>
      </c>
      <c r="S2019" s="7" t="s">
        <v>35</v>
      </c>
      <c r="T2019" s="6"/>
      <c r="U2019" s="8"/>
    </row>
    <row r="2020" spans="1:39" ht="13.5" customHeight="1">
      <c r="A2020" s="8" t="s">
        <v>10576</v>
      </c>
      <c r="B2020" s="16">
        <v>45</v>
      </c>
      <c r="C2020" s="8" t="s">
        <v>20</v>
      </c>
      <c r="D2020" s="8" t="s">
        <v>21</v>
      </c>
      <c r="F2020" s="17">
        <v>41742</v>
      </c>
      <c r="G2020" s="8" t="s">
        <v>10577</v>
      </c>
      <c r="H2020" s="8" t="s">
        <v>98</v>
      </c>
      <c r="I2020" s="8" t="s">
        <v>45</v>
      </c>
      <c r="J2020" s="16" t="s">
        <v>10578</v>
      </c>
      <c r="K2020" s="2" t="s">
        <v>98</v>
      </c>
      <c r="L2020" s="8" t="s">
        <v>99</v>
      </c>
      <c r="M2020" s="8" t="s">
        <v>27</v>
      </c>
      <c r="N2020" s="8" t="s">
        <v>10579</v>
      </c>
      <c r="O2020" s="8" t="s">
        <v>1018</v>
      </c>
      <c r="P2020" s="8" t="s">
        <v>405</v>
      </c>
      <c r="Q2020" s="12" t="s">
        <v>10580</v>
      </c>
      <c r="R2020" s="8" t="s">
        <v>29</v>
      </c>
      <c r="S2020" s="7" t="s">
        <v>28</v>
      </c>
      <c r="T2020" s="6"/>
      <c r="U2020" s="8"/>
      <c r="AI2020" s="8"/>
      <c r="AJ2020" s="8"/>
      <c r="AK2020" s="8"/>
      <c r="AL2020" s="8"/>
      <c r="AM2020" s="8"/>
    </row>
    <row r="2021" spans="1:39" ht="13.5" customHeight="1">
      <c r="A2021" s="8" t="s">
        <v>10613</v>
      </c>
      <c r="B2021" s="16">
        <v>38</v>
      </c>
      <c r="C2021" s="8" t="s">
        <v>20</v>
      </c>
      <c r="D2021" s="8" t="s">
        <v>37</v>
      </c>
      <c r="E2021" s="8" t="s">
        <v>10614</v>
      </c>
      <c r="F2021" s="17">
        <v>41742</v>
      </c>
      <c r="G2021" s="8" t="s">
        <v>10615</v>
      </c>
      <c r="H2021" s="8" t="s">
        <v>3360</v>
      </c>
      <c r="I2021" s="8" t="s">
        <v>124</v>
      </c>
      <c r="J2021" s="16" t="s">
        <v>10616</v>
      </c>
      <c r="K2021" s="2" t="s">
        <v>639</v>
      </c>
      <c r="L2021" s="8" t="s">
        <v>640</v>
      </c>
      <c r="M2021" s="8" t="s">
        <v>395</v>
      </c>
      <c r="N2021" s="8" t="s">
        <v>10617</v>
      </c>
      <c r="O2021" s="8" t="s">
        <v>1018</v>
      </c>
      <c r="P2021" s="8" t="s">
        <v>405</v>
      </c>
      <c r="Q2021" s="12" t="s">
        <v>10618</v>
      </c>
      <c r="R2021" s="8" t="s">
        <v>972</v>
      </c>
      <c r="S2021" s="7" t="s">
        <v>35</v>
      </c>
      <c r="T2021" s="6"/>
      <c r="U2021" s="8"/>
    </row>
    <row r="2022" spans="1:39" ht="13.5" customHeight="1">
      <c r="A2022" s="8" t="s">
        <v>10586</v>
      </c>
      <c r="B2022" s="16">
        <v>22</v>
      </c>
      <c r="C2022" s="8" t="s">
        <v>20</v>
      </c>
      <c r="D2022" s="8" t="s">
        <v>48</v>
      </c>
      <c r="E2022" s="8" t="s">
        <v>10587</v>
      </c>
      <c r="F2022" s="17">
        <v>41742</v>
      </c>
      <c r="G2022" s="8" t="s">
        <v>10588</v>
      </c>
      <c r="H2022" s="8" t="s">
        <v>10589</v>
      </c>
      <c r="I2022" s="8" t="s">
        <v>41</v>
      </c>
      <c r="J2022" s="16" t="s">
        <v>10590</v>
      </c>
      <c r="K2022" s="2" t="s">
        <v>857</v>
      </c>
      <c r="L2022" s="8" t="s">
        <v>10591</v>
      </c>
      <c r="M2022" s="8" t="s">
        <v>395</v>
      </c>
      <c r="N2022" s="8" t="s">
        <v>10592</v>
      </c>
      <c r="O2022" s="8" t="s">
        <v>554</v>
      </c>
      <c r="P2022" s="8" t="s">
        <v>405</v>
      </c>
      <c r="Q2022" s="12" t="s">
        <v>10593</v>
      </c>
      <c r="R2022" s="8" t="s">
        <v>100</v>
      </c>
      <c r="S2022" s="7" t="s">
        <v>18</v>
      </c>
      <c r="T2022" s="6"/>
      <c r="U2022" s="8"/>
    </row>
    <row r="2023" spans="1:39" ht="13.5" customHeight="1">
      <c r="A2023" s="8" t="s">
        <v>10594</v>
      </c>
      <c r="B2023" s="16">
        <v>40</v>
      </c>
      <c r="C2023" s="8" t="s">
        <v>20</v>
      </c>
      <c r="D2023" s="8" t="s">
        <v>48</v>
      </c>
      <c r="E2023" s="8" t="s">
        <v>10595</v>
      </c>
      <c r="F2023" s="17">
        <v>41742</v>
      </c>
      <c r="G2023" s="8" t="s">
        <v>10596</v>
      </c>
      <c r="H2023" s="8" t="s">
        <v>123</v>
      </c>
      <c r="I2023" s="8" t="s">
        <v>124</v>
      </c>
      <c r="J2023" s="16" t="s">
        <v>10597</v>
      </c>
      <c r="K2023" s="2" t="s">
        <v>125</v>
      </c>
      <c r="L2023" s="8" t="s">
        <v>10598</v>
      </c>
      <c r="M2023" s="8" t="s">
        <v>27</v>
      </c>
      <c r="N2023" s="8" t="s">
        <v>10599</v>
      </c>
      <c r="O2023" s="8" t="s">
        <v>554</v>
      </c>
      <c r="P2023" s="8" t="s">
        <v>405</v>
      </c>
      <c r="Q2023" s="12" t="s">
        <v>10600</v>
      </c>
      <c r="R2023" s="8" t="s">
        <v>100</v>
      </c>
      <c r="S2023" s="7" t="s">
        <v>28</v>
      </c>
      <c r="T2023" s="6"/>
      <c r="U2023" s="8"/>
    </row>
    <row r="2024" spans="1:39" ht="13.5" customHeight="1">
      <c r="A2024" s="8" t="s">
        <v>10619</v>
      </c>
      <c r="B2024" s="16">
        <v>67</v>
      </c>
      <c r="C2024" s="8" t="s">
        <v>20</v>
      </c>
      <c r="D2024" s="8" t="s">
        <v>37</v>
      </c>
      <c r="E2024" s="8" t="s">
        <v>10620</v>
      </c>
      <c r="F2024" s="17">
        <v>41742</v>
      </c>
      <c r="G2024" s="8" t="s">
        <v>10621</v>
      </c>
      <c r="H2024" s="8" t="s">
        <v>10622</v>
      </c>
      <c r="I2024" s="8" t="s">
        <v>370</v>
      </c>
      <c r="J2024" s="16" t="s">
        <v>10623</v>
      </c>
      <c r="K2024" s="2" t="s">
        <v>10624</v>
      </c>
      <c r="L2024" s="8" t="s">
        <v>6496</v>
      </c>
      <c r="M2024" s="8" t="s">
        <v>27</v>
      </c>
      <c r="N2024" s="8" t="s">
        <v>10625</v>
      </c>
      <c r="O2024" s="8" t="s">
        <v>554</v>
      </c>
      <c r="P2024" s="8" t="s">
        <v>405</v>
      </c>
      <c r="Q2024" s="12" t="str">
        <f>HYPERLINK("http://www.wwaytv3.com/2014/04/14/updated-sbi-investigating-officer-involved-shooting-pender-county","http://www.wwaytv3.com/2014/04/14/updated-sbi-investigating-officer-involved-shooting-pender-county")</f>
        <v>http://www.wwaytv3.com/2014/04/14/updated-sbi-investigating-officer-involved-shooting-pender-county</v>
      </c>
      <c r="R2024" s="8" t="s">
        <v>100</v>
      </c>
      <c r="S2024" s="7" t="s">
        <v>28</v>
      </c>
      <c r="T2024" s="6"/>
      <c r="U2024" s="8"/>
    </row>
    <row r="2025" spans="1:39" ht="13.5" customHeight="1">
      <c r="A2025" s="8" t="s">
        <v>3288</v>
      </c>
      <c r="B2025" s="16">
        <v>53</v>
      </c>
      <c r="C2025" s="8" t="s">
        <v>115</v>
      </c>
      <c r="D2025" s="8" t="s">
        <v>30</v>
      </c>
      <c r="F2025" s="17">
        <v>41742</v>
      </c>
      <c r="G2025" s="8" t="s">
        <v>10601</v>
      </c>
      <c r="H2025" s="8" t="s">
        <v>613</v>
      </c>
      <c r="I2025" s="8" t="s">
        <v>45</v>
      </c>
      <c r="J2025" s="16" t="s">
        <v>10602</v>
      </c>
      <c r="K2025" s="2" t="s">
        <v>613</v>
      </c>
      <c r="L2025" s="8" t="s">
        <v>3397</v>
      </c>
      <c r="M2025" s="8" t="s">
        <v>27</v>
      </c>
      <c r="N2025" s="8" t="s">
        <v>10603</v>
      </c>
      <c r="O2025" s="8" t="s">
        <v>1018</v>
      </c>
      <c r="P2025" s="8" t="s">
        <v>405</v>
      </c>
      <c r="Q2025" s="12" t="s">
        <v>10604</v>
      </c>
      <c r="R2025" s="8" t="s">
        <v>559</v>
      </c>
      <c r="S2025" s="7" t="s">
        <v>28</v>
      </c>
      <c r="T2025" s="6"/>
      <c r="U2025" s="8"/>
    </row>
    <row r="2026" spans="1:39" ht="13.5" customHeight="1">
      <c r="A2026" s="8" t="s">
        <v>10605</v>
      </c>
      <c r="B2026" s="16">
        <v>38</v>
      </c>
      <c r="C2026" s="8" t="s">
        <v>20</v>
      </c>
      <c r="D2026" s="8" t="s">
        <v>37</v>
      </c>
      <c r="E2026" s="8" t="s">
        <v>10606</v>
      </c>
      <c r="F2026" s="17">
        <v>41742</v>
      </c>
      <c r="G2026" s="8" t="s">
        <v>10607</v>
      </c>
      <c r="H2026" s="8" t="s">
        <v>10608</v>
      </c>
      <c r="I2026" s="8" t="s">
        <v>243</v>
      </c>
      <c r="J2026" s="16" t="s">
        <v>10609</v>
      </c>
      <c r="K2026" s="2" t="s">
        <v>5066</v>
      </c>
      <c r="L2026" s="8" t="s">
        <v>10610</v>
      </c>
      <c r="M2026" s="8" t="s">
        <v>27</v>
      </c>
      <c r="N2026" s="8" t="s">
        <v>10611</v>
      </c>
      <c r="O2026" s="8" t="s">
        <v>1018</v>
      </c>
      <c r="P2026" s="8" t="s">
        <v>405</v>
      </c>
      <c r="Q2026" s="12" t="s">
        <v>10612</v>
      </c>
      <c r="R2026" s="8" t="s">
        <v>559</v>
      </c>
      <c r="S2026" s="7" t="s">
        <v>28</v>
      </c>
      <c r="T2026" s="6"/>
      <c r="U2026" s="8"/>
    </row>
    <row r="2027" spans="1:39" ht="13.5" customHeight="1">
      <c r="A2027" s="8" t="s">
        <v>10640</v>
      </c>
      <c r="B2027" s="16">
        <v>41</v>
      </c>
      <c r="C2027" s="8" t="s">
        <v>20</v>
      </c>
      <c r="D2027" s="8" t="s">
        <v>37</v>
      </c>
      <c r="F2027" s="17">
        <v>41741</v>
      </c>
      <c r="G2027" s="8" t="s">
        <v>10641</v>
      </c>
      <c r="H2027" s="8" t="s">
        <v>10642</v>
      </c>
      <c r="I2027" s="8" t="s">
        <v>319</v>
      </c>
      <c r="J2027" s="16" t="s">
        <v>10643</v>
      </c>
      <c r="K2027" s="2" t="s">
        <v>10644</v>
      </c>
      <c r="L2027" s="8" t="s">
        <v>10645</v>
      </c>
      <c r="M2027" s="8" t="s">
        <v>27</v>
      </c>
      <c r="N2027" s="8" t="s">
        <v>10646</v>
      </c>
      <c r="O2027" s="8" t="s">
        <v>554</v>
      </c>
      <c r="P2027" s="8" t="s">
        <v>405</v>
      </c>
      <c r="Q2027" s="12" t="s">
        <v>10647</v>
      </c>
      <c r="R2027" s="8" t="s">
        <v>972</v>
      </c>
      <c r="S2027" s="7" t="s">
        <v>28</v>
      </c>
      <c r="T2027" s="6"/>
      <c r="U2027" s="8"/>
    </row>
    <row r="2028" spans="1:39" ht="13.5" customHeight="1">
      <c r="A2028" s="8" t="s">
        <v>10648</v>
      </c>
      <c r="B2028" s="16">
        <v>86</v>
      </c>
      <c r="C2028" s="8" t="s">
        <v>20</v>
      </c>
      <c r="D2028" s="8" t="s">
        <v>37</v>
      </c>
      <c r="F2028" s="17">
        <v>41741</v>
      </c>
      <c r="G2028" s="8" t="s">
        <v>10649</v>
      </c>
      <c r="H2028" s="8" t="s">
        <v>762</v>
      </c>
      <c r="I2028" s="8" t="s">
        <v>427</v>
      </c>
      <c r="J2028" s="16" t="s">
        <v>10650</v>
      </c>
      <c r="K2028" s="2" t="s">
        <v>2702</v>
      </c>
      <c r="L2028" s="8" t="s">
        <v>586</v>
      </c>
      <c r="M2028" s="8" t="s">
        <v>27</v>
      </c>
      <c r="N2028" s="8" t="s">
        <v>10651</v>
      </c>
      <c r="O2028" s="8" t="s">
        <v>404</v>
      </c>
      <c r="P2028" s="8" t="s">
        <v>405</v>
      </c>
      <c r="Q2028" s="12" t="s">
        <v>10652</v>
      </c>
      <c r="R2028" s="8" t="s">
        <v>100</v>
      </c>
      <c r="S2028" s="7" t="s">
        <v>28</v>
      </c>
      <c r="T2028" s="6"/>
      <c r="U2028" s="8"/>
    </row>
    <row r="2029" spans="1:39" ht="13.5" customHeight="1">
      <c r="A2029" s="8" t="s">
        <v>10626</v>
      </c>
      <c r="B2029" s="16">
        <v>24</v>
      </c>
      <c r="C2029" s="8" t="s">
        <v>20</v>
      </c>
      <c r="D2029" s="8" t="s">
        <v>48</v>
      </c>
      <c r="E2029" s="8" t="s">
        <v>10627</v>
      </c>
      <c r="F2029" s="17">
        <v>41741</v>
      </c>
      <c r="G2029" s="8" t="s">
        <v>10628</v>
      </c>
      <c r="H2029" s="8" t="s">
        <v>6326</v>
      </c>
      <c r="I2029" s="8" t="s">
        <v>306</v>
      </c>
      <c r="J2029" s="16" t="s">
        <v>10629</v>
      </c>
      <c r="K2029" s="2" t="s">
        <v>6326</v>
      </c>
      <c r="L2029" s="8" t="s">
        <v>10630</v>
      </c>
      <c r="M2029" s="8" t="s">
        <v>27</v>
      </c>
      <c r="N2029" s="8" t="s">
        <v>10631</v>
      </c>
      <c r="O2029" s="8" t="s">
        <v>404</v>
      </c>
      <c r="P2029" s="8" t="s">
        <v>405</v>
      </c>
      <c r="Q2029" s="12" t="s">
        <v>10632</v>
      </c>
      <c r="R2029" s="8" t="s">
        <v>29</v>
      </c>
      <c r="S2029" s="7" t="s">
        <v>28</v>
      </c>
      <c r="T2029" s="6"/>
      <c r="U2029" s="8"/>
      <c r="V2029" s="8"/>
      <c r="W2029" s="8"/>
      <c r="X2029" s="8"/>
    </row>
    <row r="2030" spans="1:39" ht="13.5" customHeight="1">
      <c r="A2030" s="8" t="s">
        <v>10633</v>
      </c>
      <c r="B2030" s="16">
        <v>66</v>
      </c>
      <c r="C2030" s="8" t="s">
        <v>20</v>
      </c>
      <c r="D2030" s="8" t="s">
        <v>37</v>
      </c>
      <c r="E2030" s="8" t="s">
        <v>10634</v>
      </c>
      <c r="F2030" s="17">
        <v>41741</v>
      </c>
      <c r="G2030" s="8" t="s">
        <v>10635</v>
      </c>
      <c r="H2030" s="8" t="s">
        <v>10636</v>
      </c>
      <c r="I2030" s="8" t="s">
        <v>4424</v>
      </c>
      <c r="J2030" s="16" t="s">
        <v>10637</v>
      </c>
      <c r="K2030" s="2" t="s">
        <v>3187</v>
      </c>
      <c r="L2030" s="8" t="s">
        <v>6573</v>
      </c>
      <c r="M2030" s="8" t="s">
        <v>27</v>
      </c>
      <c r="N2030" s="8" t="s">
        <v>10638</v>
      </c>
      <c r="O2030" s="8" t="s">
        <v>554</v>
      </c>
      <c r="P2030" s="8" t="s">
        <v>405</v>
      </c>
      <c r="Q2030" s="12" t="s">
        <v>10639</v>
      </c>
      <c r="R2030" s="8" t="s">
        <v>559</v>
      </c>
      <c r="S2030" s="7" t="s">
        <v>28</v>
      </c>
      <c r="T2030" s="6"/>
      <c r="U2030" s="8"/>
      <c r="V2030" s="8"/>
      <c r="W2030" s="8"/>
      <c r="X2030" s="8"/>
    </row>
    <row r="2031" spans="1:39" ht="13.5" customHeight="1">
      <c r="A2031" s="8" t="s">
        <v>10665</v>
      </c>
      <c r="B2031" s="16">
        <v>24</v>
      </c>
      <c r="C2031" s="8" t="s">
        <v>20</v>
      </c>
      <c r="D2031" s="8" t="s">
        <v>85</v>
      </c>
      <c r="E2031" s="8" t="s">
        <v>10666</v>
      </c>
      <c r="F2031" s="17">
        <v>41740</v>
      </c>
      <c r="G2031" s="8" t="s">
        <v>10667</v>
      </c>
      <c r="H2031" s="8" t="s">
        <v>8316</v>
      </c>
      <c r="I2031" s="8" t="s">
        <v>175</v>
      </c>
      <c r="J2031" s="16" t="s">
        <v>10668</v>
      </c>
      <c r="K2031" s="2" t="s">
        <v>1572</v>
      </c>
      <c r="L2031" s="8" t="s">
        <v>10669</v>
      </c>
      <c r="M2031" s="8" t="s">
        <v>395</v>
      </c>
      <c r="N2031" s="8" t="s">
        <v>10670</v>
      </c>
      <c r="O2031" s="8" t="s">
        <v>1170</v>
      </c>
      <c r="P2031" s="8" t="s">
        <v>1171</v>
      </c>
      <c r="Q2031" s="12" t="s">
        <v>10671</v>
      </c>
      <c r="R2031" s="8" t="s">
        <v>100</v>
      </c>
      <c r="S2031" s="7" t="s">
        <v>18</v>
      </c>
      <c r="T2031" s="6"/>
      <c r="U2031" s="8"/>
    </row>
    <row r="2032" spans="1:39" ht="13.5" customHeight="1">
      <c r="A2032" s="8" t="s">
        <v>10653</v>
      </c>
      <c r="B2032" s="16">
        <v>55</v>
      </c>
      <c r="C2032" s="8" t="s">
        <v>20</v>
      </c>
      <c r="D2032" s="8" t="s">
        <v>85</v>
      </c>
      <c r="E2032" s="8" t="s">
        <v>10654</v>
      </c>
      <c r="F2032" s="17">
        <v>41740</v>
      </c>
      <c r="G2032" s="8" t="s">
        <v>10655</v>
      </c>
      <c r="H2032" s="8" t="s">
        <v>10656</v>
      </c>
      <c r="I2032" s="8" t="s">
        <v>62</v>
      </c>
      <c r="J2032" s="16" t="s">
        <v>10657</v>
      </c>
      <c r="K2032" s="2" t="s">
        <v>4243</v>
      </c>
      <c r="L2032" s="8" t="s">
        <v>10658</v>
      </c>
      <c r="M2032" s="8" t="s">
        <v>3189</v>
      </c>
      <c r="N2032" s="8" t="s">
        <v>10659</v>
      </c>
      <c r="O2032" s="8" t="s">
        <v>1804</v>
      </c>
      <c r="P2032" s="8" t="s">
        <v>1171</v>
      </c>
      <c r="Q2032" s="12" t="str">
        <f>HYPERLINK("http://www.miamiherald.com/news/local/crime/article2176191.html","http://www.miamiherald.com/news/local/crime/article2176191.html")</f>
        <v>http://www.miamiherald.com/news/local/crime/article2176191.html</v>
      </c>
      <c r="R2032" s="8" t="s">
        <v>100</v>
      </c>
      <c r="S2032" s="7" t="s">
        <v>18</v>
      </c>
      <c r="T2032" s="6"/>
      <c r="U2032" s="8"/>
    </row>
    <row r="2033" spans="1:24" ht="13.5" customHeight="1">
      <c r="A2033" s="8" t="s">
        <v>10688</v>
      </c>
      <c r="B2033" s="16">
        <v>45</v>
      </c>
      <c r="C2033" s="8" t="s">
        <v>20</v>
      </c>
      <c r="D2033" s="8" t="s">
        <v>37</v>
      </c>
      <c r="E2033" s="8" t="s">
        <v>10689</v>
      </c>
      <c r="F2033" s="17">
        <v>41740</v>
      </c>
      <c r="G2033" s="8" t="s">
        <v>10690</v>
      </c>
      <c r="H2033" s="8" t="s">
        <v>10691</v>
      </c>
      <c r="I2033" s="8" t="s">
        <v>175</v>
      </c>
      <c r="J2033" s="16" t="s">
        <v>10692</v>
      </c>
      <c r="K2033" s="2" t="s">
        <v>1591</v>
      </c>
      <c r="L2033" s="8" t="s">
        <v>10693</v>
      </c>
      <c r="M2033" s="8" t="s">
        <v>27</v>
      </c>
      <c r="N2033" s="8" t="s">
        <v>10694</v>
      </c>
      <c r="O2033" s="8" t="s">
        <v>554</v>
      </c>
      <c r="P2033" s="8" t="s">
        <v>405</v>
      </c>
      <c r="Q2033" s="12" t="s">
        <v>10695</v>
      </c>
      <c r="R2033" s="8" t="s">
        <v>29</v>
      </c>
      <c r="S2033" s="7" t="s">
        <v>28</v>
      </c>
      <c r="T2033" s="6"/>
      <c r="U2033" s="8"/>
      <c r="V2033" s="8"/>
      <c r="W2033" s="8"/>
      <c r="X2033" s="8"/>
    </row>
    <row r="2034" spans="1:24" ht="13.5" customHeight="1">
      <c r="A2034" s="8" t="s">
        <v>10660</v>
      </c>
      <c r="B2034" s="16">
        <v>34</v>
      </c>
      <c r="C2034" s="8" t="s">
        <v>20</v>
      </c>
      <c r="D2034" s="8" t="s">
        <v>85</v>
      </c>
      <c r="E2034" s="8" t="s">
        <v>10661</v>
      </c>
      <c r="F2034" s="17">
        <v>41740</v>
      </c>
      <c r="G2034" s="8" t="s">
        <v>10662</v>
      </c>
      <c r="H2034" s="8" t="s">
        <v>1606</v>
      </c>
      <c r="I2034" s="8" t="s">
        <v>52</v>
      </c>
      <c r="J2034" s="16" t="s">
        <v>1607</v>
      </c>
      <c r="K2034" s="2" t="s">
        <v>1608</v>
      </c>
      <c r="L2034" s="8" t="s">
        <v>409</v>
      </c>
      <c r="M2034" s="8" t="s">
        <v>27</v>
      </c>
      <c r="N2034" s="8" t="s">
        <v>10663</v>
      </c>
      <c r="O2034" s="8" t="s">
        <v>554</v>
      </c>
      <c r="P2034" s="8" t="s">
        <v>405</v>
      </c>
      <c r="Q2034" s="12" t="s">
        <v>10664</v>
      </c>
      <c r="R2034" s="8" t="s">
        <v>100</v>
      </c>
      <c r="S2034" s="7" t="s">
        <v>18</v>
      </c>
      <c r="T2034" s="6"/>
      <c r="U2034" s="8"/>
    </row>
    <row r="2035" spans="1:24" ht="13.5" customHeight="1">
      <c r="A2035" s="8" t="s">
        <v>10682</v>
      </c>
      <c r="B2035" s="16">
        <v>32</v>
      </c>
      <c r="C2035" s="8" t="s">
        <v>20</v>
      </c>
      <c r="D2035" s="8" t="s">
        <v>37</v>
      </c>
      <c r="E2035" s="8" t="s">
        <v>10683</v>
      </c>
      <c r="F2035" s="17">
        <v>41740</v>
      </c>
      <c r="G2035" s="8" t="s">
        <v>10684</v>
      </c>
      <c r="H2035" s="8" t="s">
        <v>638</v>
      </c>
      <c r="I2035" s="8" t="s">
        <v>124</v>
      </c>
      <c r="J2035" s="16" t="s">
        <v>10685</v>
      </c>
      <c r="K2035" s="2" t="s">
        <v>639</v>
      </c>
      <c r="L2035" s="8" t="s">
        <v>640</v>
      </c>
      <c r="M2035" s="8" t="s">
        <v>27</v>
      </c>
      <c r="N2035" s="8" t="s">
        <v>10686</v>
      </c>
      <c r="O2035" s="8" t="s">
        <v>1018</v>
      </c>
      <c r="P2035" s="8" t="s">
        <v>405</v>
      </c>
      <c r="Q2035" s="12" t="s">
        <v>10687</v>
      </c>
      <c r="R2035" s="8" t="s">
        <v>100</v>
      </c>
      <c r="S2035" s="7" t="s">
        <v>28</v>
      </c>
      <c r="T2035" s="6"/>
      <c r="U2035" s="8"/>
      <c r="V2035" s="8"/>
      <c r="W2035" s="8"/>
      <c r="X2035" s="8"/>
    </row>
    <row r="2036" spans="1:24" ht="13.5" customHeight="1">
      <c r="A2036" s="8" t="s">
        <v>10672</v>
      </c>
      <c r="B2036" s="16">
        <v>26</v>
      </c>
      <c r="C2036" s="8" t="s">
        <v>20</v>
      </c>
      <c r="D2036" s="8" t="s">
        <v>48</v>
      </c>
      <c r="F2036" s="17">
        <v>41740</v>
      </c>
      <c r="G2036" s="8" t="s">
        <v>10673</v>
      </c>
      <c r="H2036" s="8" t="s">
        <v>87</v>
      </c>
      <c r="I2036" s="8" t="s">
        <v>44</v>
      </c>
      <c r="J2036" s="16" t="s">
        <v>8405</v>
      </c>
      <c r="K2036" s="2" t="s">
        <v>88</v>
      </c>
      <c r="L2036" s="8" t="s">
        <v>89</v>
      </c>
      <c r="M2036" s="8" t="s">
        <v>383</v>
      </c>
      <c r="N2036" s="8" t="s">
        <v>10674</v>
      </c>
      <c r="O2036" s="8" t="s">
        <v>1018</v>
      </c>
      <c r="P2036" s="8" t="s">
        <v>405</v>
      </c>
      <c r="Q2036" s="12" t="s">
        <v>10675</v>
      </c>
      <c r="R2036" s="8" t="s">
        <v>100</v>
      </c>
      <c r="S2036" s="7" t="s">
        <v>383</v>
      </c>
      <c r="T2036" s="6"/>
      <c r="U2036" s="8"/>
    </row>
    <row r="2037" spans="1:24" ht="13.5" customHeight="1">
      <c r="A2037" s="8" t="s">
        <v>10676</v>
      </c>
      <c r="B2037" s="16">
        <v>53</v>
      </c>
      <c r="C2037" s="8" t="s">
        <v>20</v>
      </c>
      <c r="D2037" s="8" t="s">
        <v>37</v>
      </c>
      <c r="E2037" s="8" t="s">
        <v>10677</v>
      </c>
      <c r="F2037" s="17">
        <v>41740</v>
      </c>
      <c r="G2037" s="8" t="s">
        <v>10678</v>
      </c>
      <c r="H2037" s="8" t="s">
        <v>5505</v>
      </c>
      <c r="I2037" s="8" t="s">
        <v>62</v>
      </c>
      <c r="J2037" s="16" t="s">
        <v>10679</v>
      </c>
      <c r="K2037" s="2" t="s">
        <v>5506</v>
      </c>
      <c r="L2037" s="8" t="s">
        <v>5507</v>
      </c>
      <c r="M2037" s="8" t="s">
        <v>27</v>
      </c>
      <c r="N2037" s="8" t="s">
        <v>10680</v>
      </c>
      <c r="O2037" s="8" t="s">
        <v>1018</v>
      </c>
      <c r="P2037" s="8" t="s">
        <v>405</v>
      </c>
      <c r="Q2037" s="12" t="s">
        <v>10681</v>
      </c>
      <c r="R2037" s="8" t="s">
        <v>100</v>
      </c>
      <c r="S2037" s="7" t="s">
        <v>28</v>
      </c>
      <c r="T2037" s="6"/>
      <c r="U2037" s="8"/>
    </row>
    <row r="2038" spans="1:24" ht="13.5" customHeight="1">
      <c r="A2038" s="8" t="s">
        <v>10709</v>
      </c>
      <c r="B2038" s="16">
        <v>30</v>
      </c>
      <c r="C2038" s="8" t="s">
        <v>20</v>
      </c>
      <c r="D2038" s="8" t="s">
        <v>37</v>
      </c>
      <c r="E2038" s="8" t="s">
        <v>10710</v>
      </c>
      <c r="F2038" s="17">
        <v>41739</v>
      </c>
      <c r="G2038" s="8" t="s">
        <v>10711</v>
      </c>
      <c r="H2038" s="8" t="s">
        <v>690</v>
      </c>
      <c r="I2038" s="8" t="s">
        <v>367</v>
      </c>
      <c r="J2038" s="16" t="s">
        <v>10712</v>
      </c>
      <c r="K2038" s="2" t="s">
        <v>691</v>
      </c>
      <c r="L2038" s="8" t="s">
        <v>692</v>
      </c>
      <c r="M2038" s="8" t="s">
        <v>27</v>
      </c>
      <c r="N2038" s="8" t="s">
        <v>10713</v>
      </c>
      <c r="O2038" s="8" t="s">
        <v>1018</v>
      </c>
      <c r="P2038" s="8" t="s">
        <v>405</v>
      </c>
      <c r="Q2038" s="12" t="str">
        <f>HYPERLINK("http://www.kansas.com/2014/04/10/3396426/man-dead-after-officer-involved.html","http://www.kansas.com/2014/04/10/3396426/man-dead-after-officer-involved.html")</f>
        <v>http://www.kansas.com/2014/04/10/3396426/man-dead-after-officer-involved.html</v>
      </c>
      <c r="R2038" s="8" t="s">
        <v>559</v>
      </c>
      <c r="S2038" s="7" t="s">
        <v>28</v>
      </c>
      <c r="T2038" s="6"/>
      <c r="U2038" s="8"/>
      <c r="V2038" s="8"/>
      <c r="W2038" s="8"/>
      <c r="X2038" s="8"/>
    </row>
    <row r="2039" spans="1:24" ht="13.5" customHeight="1">
      <c r="A2039" s="8" t="s">
        <v>10696</v>
      </c>
      <c r="B2039" s="16">
        <v>30</v>
      </c>
      <c r="C2039" s="8" t="s">
        <v>20</v>
      </c>
      <c r="D2039" s="8" t="s">
        <v>37</v>
      </c>
      <c r="E2039" s="8" t="s">
        <v>10697</v>
      </c>
      <c r="F2039" s="17">
        <v>41739</v>
      </c>
      <c r="G2039" s="8" t="s">
        <v>10698</v>
      </c>
      <c r="H2039" s="8" t="s">
        <v>10699</v>
      </c>
      <c r="I2039" s="8" t="s">
        <v>45</v>
      </c>
      <c r="J2039" s="16" t="s">
        <v>10700</v>
      </c>
      <c r="K2039" s="2" t="s">
        <v>98</v>
      </c>
      <c r="L2039" s="8" t="s">
        <v>418</v>
      </c>
      <c r="M2039" s="8" t="s">
        <v>27</v>
      </c>
      <c r="N2039" s="8" t="s">
        <v>10701</v>
      </c>
      <c r="O2039" s="8" t="s">
        <v>1018</v>
      </c>
      <c r="P2039" s="8" t="s">
        <v>405</v>
      </c>
      <c r="Q2039" s="12" t="s">
        <v>10702</v>
      </c>
      <c r="R2039" s="8" t="s">
        <v>100</v>
      </c>
      <c r="S2039" s="7" t="s">
        <v>18</v>
      </c>
      <c r="T2039" s="6"/>
      <c r="U2039" s="8"/>
    </row>
    <row r="2040" spans="1:24" ht="13.5" customHeight="1">
      <c r="A2040" s="8" t="s">
        <v>10703</v>
      </c>
      <c r="B2040" s="16">
        <v>23</v>
      </c>
      <c r="C2040" s="8" t="s">
        <v>20</v>
      </c>
      <c r="D2040" s="8" t="s">
        <v>37</v>
      </c>
      <c r="F2040" s="17">
        <v>41739</v>
      </c>
      <c r="G2040" s="8" t="s">
        <v>10704</v>
      </c>
      <c r="H2040" s="8" t="s">
        <v>10705</v>
      </c>
      <c r="I2040" s="8" t="s">
        <v>45</v>
      </c>
      <c r="J2040" s="16" t="s">
        <v>10706</v>
      </c>
      <c r="K2040" s="2" t="s">
        <v>203</v>
      </c>
      <c r="L2040" s="8" t="s">
        <v>1614</v>
      </c>
      <c r="M2040" s="8" t="s">
        <v>27</v>
      </c>
      <c r="N2040" s="8" t="s">
        <v>10707</v>
      </c>
      <c r="O2040" s="8" t="s">
        <v>1018</v>
      </c>
      <c r="P2040" s="8" t="s">
        <v>405</v>
      </c>
      <c r="Q2040" s="12" t="s">
        <v>10708</v>
      </c>
      <c r="R2040" s="8" t="s">
        <v>29</v>
      </c>
      <c r="S2040" s="7" t="s">
        <v>28</v>
      </c>
      <c r="T2040" s="6"/>
      <c r="U2040" s="8"/>
    </row>
    <row r="2041" spans="1:24" ht="13.5" customHeight="1">
      <c r="A2041" s="8" t="s">
        <v>10714</v>
      </c>
      <c r="B2041" s="16">
        <v>29</v>
      </c>
      <c r="C2041" s="8" t="s">
        <v>20</v>
      </c>
      <c r="D2041" s="8" t="s">
        <v>48</v>
      </c>
      <c r="F2041" s="17">
        <v>41738</v>
      </c>
      <c r="G2041" s="8" t="s">
        <v>10715</v>
      </c>
      <c r="H2041" s="8" t="s">
        <v>3461</v>
      </c>
      <c r="I2041" s="8" t="s">
        <v>45</v>
      </c>
      <c r="J2041" s="16" t="s">
        <v>10716</v>
      </c>
      <c r="K2041" s="2" t="s">
        <v>3463</v>
      </c>
      <c r="L2041" s="8" t="s">
        <v>3464</v>
      </c>
      <c r="M2041" s="8" t="s">
        <v>27</v>
      </c>
      <c r="N2041" s="8" t="s">
        <v>10717</v>
      </c>
      <c r="O2041" s="8" t="s">
        <v>1018</v>
      </c>
      <c r="P2041" s="8" t="s">
        <v>405</v>
      </c>
      <c r="Q2041" s="12" t="s">
        <v>10718</v>
      </c>
      <c r="R2041" s="8" t="s">
        <v>100</v>
      </c>
      <c r="S2041" s="7" t="s">
        <v>28</v>
      </c>
      <c r="T2041" s="6"/>
      <c r="U2041" s="8"/>
    </row>
    <row r="2042" spans="1:24" ht="13.5" customHeight="1">
      <c r="A2042" s="8" t="s">
        <v>10719</v>
      </c>
      <c r="B2042" s="16">
        <v>66</v>
      </c>
      <c r="C2042" s="8" t="s">
        <v>20</v>
      </c>
      <c r="D2042" s="8" t="s">
        <v>37</v>
      </c>
      <c r="F2042" s="17">
        <v>41737</v>
      </c>
      <c r="G2042" s="8" t="s">
        <v>10720</v>
      </c>
      <c r="H2042" s="8" t="s">
        <v>5297</v>
      </c>
      <c r="I2042" s="8" t="s">
        <v>62</v>
      </c>
      <c r="J2042" s="16" t="s">
        <v>2422</v>
      </c>
      <c r="K2042" s="2" t="s">
        <v>2423</v>
      </c>
      <c r="L2042" s="8" t="s">
        <v>5557</v>
      </c>
      <c r="M2042" s="8" t="s">
        <v>27</v>
      </c>
      <c r="N2042" s="8" t="s">
        <v>10721</v>
      </c>
      <c r="O2042" s="8" t="s">
        <v>1018</v>
      </c>
      <c r="P2042" s="8" t="s">
        <v>405</v>
      </c>
      <c r="Q2042" s="12" t="s">
        <v>10722</v>
      </c>
      <c r="R2042" s="8" t="s">
        <v>100</v>
      </c>
      <c r="S2042" s="7" t="s">
        <v>28</v>
      </c>
      <c r="T2042" s="6"/>
      <c r="U2042" s="8"/>
    </row>
    <row r="2043" spans="1:24" ht="13.5" customHeight="1">
      <c r="A2043" s="8" t="s">
        <v>10729</v>
      </c>
      <c r="B2043" s="16">
        <v>28</v>
      </c>
      <c r="C2043" s="8" t="s">
        <v>20</v>
      </c>
      <c r="D2043" s="8" t="s">
        <v>37</v>
      </c>
      <c r="E2043" s="8" t="str">
        <f>HYPERLINK("http://www.wrhi.com/2014/04/officer-involved-shooting-in-york-county-leaves-one-man-dead-91986","http://www.wrhi.com/2014/04/officer-involved-shooting-in-york-county-leaves-one-man-dead-91986")</f>
        <v>http://www.wrhi.com/2014/04/officer-involved-shooting-in-york-county-leaves-one-man-dead-91986</v>
      </c>
      <c r="F2043" s="17">
        <v>41737</v>
      </c>
      <c r="G2043" s="8" t="s">
        <v>10730</v>
      </c>
      <c r="H2043" s="8" t="s">
        <v>10731</v>
      </c>
      <c r="I2043" s="8" t="s">
        <v>32</v>
      </c>
      <c r="J2043" s="16" t="s">
        <v>10732</v>
      </c>
      <c r="K2043" s="2" t="s">
        <v>1620</v>
      </c>
      <c r="L2043" s="8" t="s">
        <v>10733</v>
      </c>
      <c r="M2043" s="8" t="s">
        <v>27</v>
      </c>
      <c r="N2043" s="8" t="s">
        <v>10734</v>
      </c>
      <c r="O2043" s="8" t="s">
        <v>1018</v>
      </c>
      <c r="P2043" s="8" t="s">
        <v>405</v>
      </c>
      <c r="Q2043" s="12" t="str">
        <f>HYPERLINK("http://www.charlotteobserver.com/2014/04/09/4830144_experts-weigh-in-on-york-county.html#.VD2-WVewUSc","http://www.charlotteobserver.com/2014/04/09/4830144_experts-weigh-in-on-york-county.html#.VD2-WVewUSc")</f>
        <v>http://www.charlotteobserver.com/2014/04/09/4830144_experts-weigh-in-on-york-county.html#.VD2-WVewUSc</v>
      </c>
      <c r="R2043" s="8" t="s">
        <v>559</v>
      </c>
      <c r="S2043" s="7" t="s">
        <v>28</v>
      </c>
      <c r="T2043" s="6"/>
      <c r="U2043" s="8"/>
    </row>
    <row r="2044" spans="1:24" ht="13.5" customHeight="1">
      <c r="A2044" s="8" t="s">
        <v>10723</v>
      </c>
      <c r="B2044" s="16">
        <v>40</v>
      </c>
      <c r="C2044" s="8" t="s">
        <v>20</v>
      </c>
      <c r="D2044" s="8" t="s">
        <v>37</v>
      </c>
      <c r="E2044" s="8" t="s">
        <v>10724</v>
      </c>
      <c r="F2044" s="17">
        <v>41737</v>
      </c>
      <c r="G2044" s="8" t="s">
        <v>10725</v>
      </c>
      <c r="H2044" s="8" t="s">
        <v>661</v>
      </c>
      <c r="I2044" s="8" t="s">
        <v>272</v>
      </c>
      <c r="J2044" s="16" t="s">
        <v>10726</v>
      </c>
      <c r="K2044" s="2" t="s">
        <v>574</v>
      </c>
      <c r="L2044" s="8" t="s">
        <v>575</v>
      </c>
      <c r="M2044" s="8" t="s">
        <v>27</v>
      </c>
      <c r="N2044" s="8" t="s">
        <v>10727</v>
      </c>
      <c r="O2044" s="8" t="s">
        <v>1018</v>
      </c>
      <c r="P2044" s="8" t="s">
        <v>405</v>
      </c>
      <c r="Q2044" s="12" t="s">
        <v>10728</v>
      </c>
      <c r="R2044" s="8" t="s">
        <v>559</v>
      </c>
      <c r="S2044" s="7" t="s">
        <v>28</v>
      </c>
      <c r="T2044" s="6"/>
      <c r="U2044" s="8"/>
    </row>
    <row r="2045" spans="1:24" ht="13.5" customHeight="1">
      <c r="A2045" s="8" t="s">
        <v>10735</v>
      </c>
      <c r="B2045" s="16">
        <v>29</v>
      </c>
      <c r="C2045" s="8" t="s">
        <v>20</v>
      </c>
      <c r="D2045" s="8" t="s">
        <v>85</v>
      </c>
      <c r="E2045" s="8" t="s">
        <v>10736</v>
      </c>
      <c r="F2045" s="17">
        <v>41736</v>
      </c>
      <c r="G2045" s="8" t="s">
        <v>10737</v>
      </c>
      <c r="H2045" s="8" t="s">
        <v>98</v>
      </c>
      <c r="I2045" s="8" t="s">
        <v>45</v>
      </c>
      <c r="J2045" s="16" t="s">
        <v>10738</v>
      </c>
      <c r="K2045" s="2" t="s">
        <v>98</v>
      </c>
      <c r="L2045" s="8" t="s">
        <v>99</v>
      </c>
      <c r="M2045" s="8" t="s">
        <v>27</v>
      </c>
      <c r="N2045" s="8" t="s">
        <v>10739</v>
      </c>
      <c r="O2045" s="8" t="s">
        <v>1018</v>
      </c>
      <c r="P2045" s="8" t="s">
        <v>405</v>
      </c>
      <c r="Q2045" s="12" t="s">
        <v>10740</v>
      </c>
      <c r="R2045" s="8" t="s">
        <v>29</v>
      </c>
      <c r="S2045" s="7" t="s">
        <v>28</v>
      </c>
      <c r="T2045" s="6"/>
      <c r="U2045" s="8"/>
    </row>
    <row r="2046" spans="1:24" ht="13.5" customHeight="1">
      <c r="A2046" s="8" t="s">
        <v>10746</v>
      </c>
      <c r="B2046" s="16">
        <v>21</v>
      </c>
      <c r="C2046" s="8" t="s">
        <v>20</v>
      </c>
      <c r="D2046" s="8" t="s">
        <v>48</v>
      </c>
      <c r="E2046" s="8" t="s">
        <v>10747</v>
      </c>
      <c r="F2046" s="17">
        <v>41736</v>
      </c>
      <c r="G2046" s="8" t="s">
        <v>10748</v>
      </c>
      <c r="H2046" s="8" t="s">
        <v>87</v>
      </c>
      <c r="I2046" s="8" t="s">
        <v>44</v>
      </c>
      <c r="J2046" s="16" t="s">
        <v>8556</v>
      </c>
      <c r="K2046" s="2" t="s">
        <v>88</v>
      </c>
      <c r="L2046" s="8" t="s">
        <v>89</v>
      </c>
      <c r="M2046" s="8" t="s">
        <v>27</v>
      </c>
      <c r="N2046" s="8" t="s">
        <v>10749</v>
      </c>
      <c r="O2046" s="8" t="s">
        <v>404</v>
      </c>
      <c r="P2046" s="8" t="s">
        <v>405</v>
      </c>
      <c r="Q2046" s="12" t="s">
        <v>10750</v>
      </c>
      <c r="R2046" s="8" t="s">
        <v>100</v>
      </c>
      <c r="S2046" s="7" t="s">
        <v>28</v>
      </c>
      <c r="T2046" s="6"/>
      <c r="U2046" s="8"/>
    </row>
    <row r="2047" spans="1:24" ht="13.5" customHeight="1">
      <c r="A2047" s="8" t="s">
        <v>10757</v>
      </c>
      <c r="B2047" s="16">
        <v>36</v>
      </c>
      <c r="C2047" s="8" t="s">
        <v>20</v>
      </c>
      <c r="D2047" s="8" t="s">
        <v>37</v>
      </c>
      <c r="E2047" s="8" t="s">
        <v>10758</v>
      </c>
      <c r="F2047" s="17">
        <v>41736</v>
      </c>
      <c r="G2047" s="8" t="s">
        <v>10759</v>
      </c>
      <c r="H2047" s="8" t="s">
        <v>10760</v>
      </c>
      <c r="I2047" s="8" t="s">
        <v>44</v>
      </c>
      <c r="J2047" s="16" t="s">
        <v>10761</v>
      </c>
      <c r="K2047" s="2" t="s">
        <v>1269</v>
      </c>
      <c r="L2047" s="8" t="s">
        <v>10762</v>
      </c>
      <c r="M2047" s="8" t="s">
        <v>27</v>
      </c>
      <c r="N2047" s="8" t="s">
        <v>10763</v>
      </c>
      <c r="O2047" s="8" t="s">
        <v>554</v>
      </c>
      <c r="P2047" s="8" t="s">
        <v>405</v>
      </c>
      <c r="Q2047" s="12" t="s">
        <v>10764</v>
      </c>
      <c r="R2047" s="8" t="s">
        <v>100</v>
      </c>
      <c r="S2047" s="7" t="s">
        <v>28</v>
      </c>
      <c r="T2047" s="6"/>
      <c r="U2047" s="8"/>
    </row>
    <row r="2048" spans="1:24" ht="13.5" customHeight="1">
      <c r="A2048" s="8" t="s">
        <v>3288</v>
      </c>
      <c r="B2048" s="16" t="s">
        <v>10751</v>
      </c>
      <c r="C2048" s="8" t="s">
        <v>20</v>
      </c>
      <c r="D2048" s="8" t="s">
        <v>30</v>
      </c>
      <c r="F2048" s="17">
        <v>41736</v>
      </c>
      <c r="G2048" s="8" t="s">
        <v>10752</v>
      </c>
      <c r="H2048" s="8" t="s">
        <v>901</v>
      </c>
      <c r="I2048" s="8" t="s">
        <v>45</v>
      </c>
      <c r="J2048" s="16" t="s">
        <v>10753</v>
      </c>
      <c r="K2048" s="2" t="s">
        <v>158</v>
      </c>
      <c r="L2048" s="8" t="s">
        <v>10754</v>
      </c>
      <c r="M2048" s="8" t="s">
        <v>27</v>
      </c>
      <c r="N2048" s="8" t="s">
        <v>10755</v>
      </c>
      <c r="O2048" s="8" t="s">
        <v>1018</v>
      </c>
      <c r="P2048" s="8" t="s">
        <v>405</v>
      </c>
      <c r="Q2048" s="12" t="s">
        <v>10756</v>
      </c>
      <c r="R2048" s="8" t="s">
        <v>100</v>
      </c>
      <c r="S2048" s="7" t="s">
        <v>28</v>
      </c>
      <c r="T2048" s="6"/>
      <c r="U2048" s="8"/>
    </row>
    <row r="2049" spans="1:34" ht="13.5" customHeight="1">
      <c r="A2049" s="8" t="s">
        <v>10741</v>
      </c>
      <c r="B2049" s="16">
        <v>31</v>
      </c>
      <c r="C2049" s="8" t="s">
        <v>20</v>
      </c>
      <c r="D2049" s="8" t="s">
        <v>85</v>
      </c>
      <c r="E2049" s="8" t="s">
        <v>10742</v>
      </c>
      <c r="F2049" s="17">
        <v>41736</v>
      </c>
      <c r="G2049" s="8" t="s">
        <v>10743</v>
      </c>
      <c r="H2049" s="8" t="s">
        <v>61</v>
      </c>
      <c r="I2049" s="8" t="s">
        <v>62</v>
      </c>
      <c r="J2049" s="16" t="s">
        <v>10744</v>
      </c>
      <c r="K2049" s="2" t="s">
        <v>5387</v>
      </c>
      <c r="L2049" s="8" t="s">
        <v>63</v>
      </c>
      <c r="M2049" s="8" t="s">
        <v>27</v>
      </c>
      <c r="N2049" s="8" t="s">
        <v>10745</v>
      </c>
      <c r="O2049" s="8" t="s">
        <v>554</v>
      </c>
      <c r="P2049" s="8" t="s">
        <v>405</v>
      </c>
      <c r="Q2049" s="12" t="str">
        <f>HYPERLINK("http://www.palmbeachpost.com/news/news/pbso-investigating-officer-involved-shooting-in-su/nfTT5/","http://www.palmbeachpost.com/news/news/pbso-investigating-officer-involved-shooting-in-su/nfTT5/")</f>
        <v>http://www.palmbeachpost.com/news/news/pbso-investigating-officer-involved-shooting-in-su/nfTT5/</v>
      </c>
      <c r="R2049" s="8" t="s">
        <v>100</v>
      </c>
      <c r="S2049" s="7" t="s">
        <v>28</v>
      </c>
      <c r="T2049" s="6"/>
      <c r="U2049" s="8"/>
    </row>
    <row r="2050" spans="1:34" ht="13.5" customHeight="1">
      <c r="A2050" s="8" t="s">
        <v>10782</v>
      </c>
      <c r="B2050" s="16">
        <v>23</v>
      </c>
      <c r="C2050" s="8" t="s">
        <v>20</v>
      </c>
      <c r="D2050" s="8" t="s">
        <v>37</v>
      </c>
      <c r="E2050" s="8" t="s">
        <v>10783</v>
      </c>
      <c r="F2050" s="17">
        <v>41735</v>
      </c>
      <c r="G2050" s="8" t="s">
        <v>10784</v>
      </c>
      <c r="H2050" s="8" t="s">
        <v>255</v>
      </c>
      <c r="I2050" s="8" t="s">
        <v>220</v>
      </c>
      <c r="J2050" s="16" t="s">
        <v>10785</v>
      </c>
      <c r="K2050" s="2" t="s">
        <v>2179</v>
      </c>
      <c r="L2050" s="8" t="s">
        <v>10786</v>
      </c>
      <c r="M2050" s="8" t="s">
        <v>383</v>
      </c>
      <c r="N2050" s="8" t="s">
        <v>10787</v>
      </c>
      <c r="O2050" s="8" t="s">
        <v>1170</v>
      </c>
      <c r="P2050" s="8" t="s">
        <v>1171</v>
      </c>
      <c r="Q2050" s="12" t="s">
        <v>10788</v>
      </c>
      <c r="R2050" s="8" t="s">
        <v>100</v>
      </c>
      <c r="S2050" s="7" t="s">
        <v>18</v>
      </c>
      <c r="T2050" s="6"/>
      <c r="U2050" s="8"/>
    </row>
    <row r="2051" spans="1:34" ht="13.5" customHeight="1">
      <c r="A2051" s="8" t="s">
        <v>10765</v>
      </c>
      <c r="B2051" s="16">
        <v>33</v>
      </c>
      <c r="C2051" s="8" t="s">
        <v>20</v>
      </c>
      <c r="D2051" s="8" t="s">
        <v>30</v>
      </c>
      <c r="F2051" s="17">
        <v>41735</v>
      </c>
      <c r="G2051" s="8" t="s">
        <v>10766</v>
      </c>
      <c r="H2051" s="8" t="s">
        <v>119</v>
      </c>
      <c r="I2051" s="8" t="s">
        <v>3709</v>
      </c>
      <c r="J2051" s="16" t="s">
        <v>10767</v>
      </c>
      <c r="K2051" s="2" t="s">
        <v>3711</v>
      </c>
      <c r="L2051" s="8" t="s">
        <v>19944</v>
      </c>
      <c r="M2051" s="8" t="s">
        <v>27</v>
      </c>
      <c r="N2051" s="8" t="s">
        <v>10768</v>
      </c>
      <c r="O2051" s="8" t="s">
        <v>1018</v>
      </c>
      <c r="P2051" s="8" t="s">
        <v>405</v>
      </c>
      <c r="Q2051" s="12" t="s">
        <v>10769</v>
      </c>
      <c r="R2051" s="8" t="s">
        <v>100</v>
      </c>
      <c r="S2051" s="7" t="s">
        <v>28</v>
      </c>
      <c r="T2051" s="6"/>
      <c r="U2051" s="8"/>
    </row>
    <row r="2052" spans="1:34" ht="13.5" customHeight="1">
      <c r="A2052" s="8" t="s">
        <v>10770</v>
      </c>
      <c r="B2052" s="16">
        <v>48</v>
      </c>
      <c r="C2052" s="8" t="s">
        <v>20</v>
      </c>
      <c r="D2052" s="8" t="s">
        <v>37</v>
      </c>
      <c r="F2052" s="17">
        <v>41735</v>
      </c>
      <c r="G2052" s="8" t="s">
        <v>10771</v>
      </c>
      <c r="H2052" s="8" t="s">
        <v>3009</v>
      </c>
      <c r="I2052" s="8" t="s">
        <v>45</v>
      </c>
      <c r="J2052" s="16" t="s">
        <v>10772</v>
      </c>
      <c r="K2052" s="2" t="s">
        <v>2696</v>
      </c>
      <c r="L2052" s="8" t="s">
        <v>10773</v>
      </c>
      <c r="M2052" s="8" t="s">
        <v>8430</v>
      </c>
      <c r="N2052" s="8" t="s">
        <v>10774</v>
      </c>
      <c r="O2052" s="8" t="s">
        <v>1018</v>
      </c>
      <c r="P2052" s="8" t="s">
        <v>405</v>
      </c>
      <c r="Q2052" s="12" t="s">
        <v>10775</v>
      </c>
      <c r="R2052" s="8" t="s">
        <v>100</v>
      </c>
      <c r="S2052" s="7" t="s">
        <v>18</v>
      </c>
      <c r="T2052" s="6"/>
      <c r="U2052" s="8"/>
    </row>
    <row r="2053" spans="1:34" ht="13.5" customHeight="1">
      <c r="A2053" s="8" t="s">
        <v>10776</v>
      </c>
      <c r="B2053" s="16">
        <v>34</v>
      </c>
      <c r="C2053" s="8" t="s">
        <v>20</v>
      </c>
      <c r="D2053" s="8" t="s">
        <v>37</v>
      </c>
      <c r="E2053" s="8" t="s">
        <v>10777</v>
      </c>
      <c r="F2053" s="17">
        <v>41735</v>
      </c>
      <c r="G2053" s="8" t="s">
        <v>10778</v>
      </c>
      <c r="H2053" s="8" t="s">
        <v>10779</v>
      </c>
      <c r="I2053" s="8" t="s">
        <v>73</v>
      </c>
      <c r="J2053" s="16" t="s">
        <v>10780</v>
      </c>
      <c r="K2053" s="2" t="s">
        <v>1065</v>
      </c>
      <c r="L2053" s="8" t="s">
        <v>9816</v>
      </c>
      <c r="M2053" s="8" t="s">
        <v>27</v>
      </c>
      <c r="N2053" s="8" t="s">
        <v>10781</v>
      </c>
      <c r="O2053" s="8" t="s">
        <v>1018</v>
      </c>
      <c r="P2053" s="8" t="s">
        <v>405</v>
      </c>
      <c r="Q2053" s="12" t="str">
        <f>HYPERLINK("http://www.click2houston.com/news/man-killed-after-pulling-gun-on-deputies-serving-warrant/25349872","http://www.click2houston.com/news/man-killed-after-pulling-gun-on-deputies-serving-warrant/25349872")</f>
        <v>http://www.click2houston.com/news/man-killed-after-pulling-gun-on-deputies-serving-warrant/25349872</v>
      </c>
      <c r="R2053" s="8" t="s">
        <v>100</v>
      </c>
      <c r="S2053" s="7" t="s">
        <v>28</v>
      </c>
      <c r="T2053" s="6"/>
      <c r="U2053" s="8"/>
    </row>
    <row r="2054" spans="1:34" ht="13.5" customHeight="1">
      <c r="A2054" s="8" t="s">
        <v>10789</v>
      </c>
      <c r="B2054" s="16">
        <v>38</v>
      </c>
      <c r="C2054" s="8" t="s">
        <v>20</v>
      </c>
      <c r="D2054" s="8" t="s">
        <v>85</v>
      </c>
      <c r="E2054" s="8" t="s">
        <v>10790</v>
      </c>
      <c r="F2054" s="17">
        <v>41734</v>
      </c>
      <c r="G2054" s="8" t="s">
        <v>10791</v>
      </c>
      <c r="H2054" s="8" t="s">
        <v>1714</v>
      </c>
      <c r="I2054" s="8" t="s">
        <v>46</v>
      </c>
      <c r="J2054" s="16" t="s">
        <v>10792</v>
      </c>
      <c r="K2054" s="2" t="s">
        <v>1716</v>
      </c>
      <c r="L2054" s="8" t="s">
        <v>3266</v>
      </c>
      <c r="M2054" s="8" t="s">
        <v>27</v>
      </c>
      <c r="N2054" s="8" t="s">
        <v>10793</v>
      </c>
      <c r="O2054" s="8" t="s">
        <v>29</v>
      </c>
      <c r="P2054" s="8" t="s">
        <v>405</v>
      </c>
      <c r="Q2054" s="12" t="s">
        <v>10794</v>
      </c>
      <c r="R2054" s="8" t="s">
        <v>100</v>
      </c>
      <c r="S2054" s="7" t="s">
        <v>28</v>
      </c>
      <c r="T2054" s="6"/>
      <c r="U2054" s="8"/>
    </row>
    <row r="2055" spans="1:34" ht="13.5" customHeight="1">
      <c r="A2055" s="8" t="s">
        <v>10795</v>
      </c>
      <c r="B2055" s="16">
        <v>24</v>
      </c>
      <c r="C2055" s="8" t="s">
        <v>20</v>
      </c>
      <c r="D2055" s="8" t="s">
        <v>85</v>
      </c>
      <c r="E2055" s="8" t="s">
        <v>10796</v>
      </c>
      <c r="F2055" s="17">
        <v>41734</v>
      </c>
      <c r="G2055" s="8" t="s">
        <v>10797</v>
      </c>
      <c r="H2055" s="8" t="s">
        <v>766</v>
      </c>
      <c r="I2055" s="8" t="s">
        <v>52</v>
      </c>
      <c r="J2055" s="16" t="s">
        <v>10798</v>
      </c>
      <c r="K2055" s="2" t="s">
        <v>2403</v>
      </c>
      <c r="L2055" s="8" t="s">
        <v>767</v>
      </c>
      <c r="M2055" s="8" t="s">
        <v>27</v>
      </c>
      <c r="N2055" s="8" t="s">
        <v>10799</v>
      </c>
      <c r="O2055" s="8" t="s">
        <v>1018</v>
      </c>
      <c r="P2055" s="8" t="s">
        <v>405</v>
      </c>
      <c r="Q2055" s="12"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2055" s="8" t="s">
        <v>100</v>
      </c>
      <c r="S2055" s="7" t="s">
        <v>28</v>
      </c>
      <c r="T2055" s="6"/>
      <c r="U2055" s="8"/>
    </row>
    <row r="2056" spans="1:34" ht="13.5" customHeight="1">
      <c r="A2056" s="8" t="s">
        <v>10813</v>
      </c>
      <c r="B2056" s="16">
        <v>26</v>
      </c>
      <c r="C2056" s="8" t="s">
        <v>20</v>
      </c>
      <c r="D2056" s="8" t="s">
        <v>37</v>
      </c>
      <c r="E2056" s="8" t="s">
        <v>10814</v>
      </c>
      <c r="F2056" s="17">
        <v>41733</v>
      </c>
      <c r="G2056" s="8" t="s">
        <v>10815</v>
      </c>
      <c r="H2056" s="8" t="s">
        <v>288</v>
      </c>
      <c r="I2056" s="8" t="s">
        <v>73</v>
      </c>
      <c r="J2056" s="16" t="s">
        <v>10816</v>
      </c>
      <c r="K2056" s="2" t="s">
        <v>288</v>
      </c>
      <c r="L2056" s="8" t="s">
        <v>289</v>
      </c>
      <c r="M2056" s="8" t="s">
        <v>27</v>
      </c>
      <c r="N2056" s="8" t="s">
        <v>10817</v>
      </c>
      <c r="O2056" s="8" t="s">
        <v>1018</v>
      </c>
      <c r="P2056" s="8" t="s">
        <v>405</v>
      </c>
      <c r="Q2056" s="12" t="s">
        <v>10818</v>
      </c>
      <c r="R2056" s="8" t="s">
        <v>100</v>
      </c>
      <c r="S2056" s="7" t="s">
        <v>28</v>
      </c>
      <c r="T2056" s="6"/>
      <c r="U2056" s="8"/>
    </row>
    <row r="2057" spans="1:34" ht="13.5" customHeight="1">
      <c r="A2057" s="8" t="s">
        <v>10800</v>
      </c>
      <c r="B2057" s="16">
        <v>24</v>
      </c>
      <c r="C2057" s="8" t="s">
        <v>20</v>
      </c>
      <c r="D2057" s="8" t="s">
        <v>48</v>
      </c>
      <c r="F2057" s="17">
        <v>41733</v>
      </c>
      <c r="G2057" s="8" t="s">
        <v>10801</v>
      </c>
      <c r="H2057" s="8" t="s">
        <v>98</v>
      </c>
      <c r="I2057" s="8" t="s">
        <v>45</v>
      </c>
      <c r="J2057" s="16" t="s">
        <v>10802</v>
      </c>
      <c r="K2057" s="2" t="s">
        <v>98</v>
      </c>
      <c r="L2057" s="8" t="s">
        <v>99</v>
      </c>
      <c r="M2057" s="8" t="s">
        <v>27</v>
      </c>
      <c r="N2057" s="8" t="s">
        <v>10803</v>
      </c>
      <c r="O2057" s="8" t="s">
        <v>1018</v>
      </c>
      <c r="P2057" s="8" t="s">
        <v>405</v>
      </c>
      <c r="Q2057" s="12" t="s">
        <v>10804</v>
      </c>
      <c r="R2057" s="8" t="s">
        <v>559</v>
      </c>
      <c r="S2057" s="7" t="s">
        <v>28</v>
      </c>
      <c r="T2057" s="6"/>
      <c r="U2057" s="8"/>
    </row>
    <row r="2058" spans="1:34" ht="13.5" customHeight="1">
      <c r="A2058" s="8" t="s">
        <v>10805</v>
      </c>
      <c r="B2058" s="16">
        <v>35</v>
      </c>
      <c r="C2058" s="8" t="s">
        <v>20</v>
      </c>
      <c r="D2058" s="8" t="s">
        <v>48</v>
      </c>
      <c r="F2058" s="17">
        <v>41733</v>
      </c>
      <c r="G2058" s="8" t="s">
        <v>10806</v>
      </c>
      <c r="H2058" s="8" t="s">
        <v>10807</v>
      </c>
      <c r="I2058" s="8" t="s">
        <v>10808</v>
      </c>
      <c r="J2058" s="16" t="s">
        <v>10809</v>
      </c>
      <c r="K2058" s="2" t="s">
        <v>10636</v>
      </c>
      <c r="L2058" s="8" t="s">
        <v>10810</v>
      </c>
      <c r="M2058" s="8" t="s">
        <v>27</v>
      </c>
      <c r="N2058" s="8" t="s">
        <v>10811</v>
      </c>
      <c r="O2058" s="8" t="s">
        <v>29</v>
      </c>
      <c r="P2058" s="8" t="s">
        <v>405</v>
      </c>
      <c r="Q2058" s="12" t="s">
        <v>10812</v>
      </c>
      <c r="R2058" s="8" t="s">
        <v>100</v>
      </c>
      <c r="S2058" s="7" t="s">
        <v>28</v>
      </c>
      <c r="T2058" s="6"/>
      <c r="U2058" s="8"/>
    </row>
    <row r="2059" spans="1:34" ht="13.5" customHeight="1">
      <c r="A2059" s="8" t="s">
        <v>10819</v>
      </c>
      <c r="B2059" s="16">
        <v>52</v>
      </c>
      <c r="C2059" s="8" t="s">
        <v>20</v>
      </c>
      <c r="D2059" s="8" t="s">
        <v>37</v>
      </c>
      <c r="E2059" s="8" t="s">
        <v>10820</v>
      </c>
      <c r="F2059" s="17">
        <v>41733</v>
      </c>
      <c r="G2059" s="8" t="s">
        <v>10821</v>
      </c>
      <c r="H2059" s="8" t="s">
        <v>2177</v>
      </c>
      <c r="I2059" s="8" t="s">
        <v>94</v>
      </c>
      <c r="J2059" s="16" t="s">
        <v>6890</v>
      </c>
      <c r="K2059" s="2" t="s">
        <v>2179</v>
      </c>
      <c r="L2059" s="8" t="s">
        <v>2180</v>
      </c>
      <c r="M2059" s="8" t="s">
        <v>27</v>
      </c>
      <c r="N2059" s="8" t="s">
        <v>10822</v>
      </c>
      <c r="O2059" s="8" t="s">
        <v>1018</v>
      </c>
      <c r="P2059" s="8" t="s">
        <v>405</v>
      </c>
      <c r="Q2059" s="12" t="str">
        <f>HYPERLINK("http://whnt.com/2014/04/04/breaking-huntsville-police-confirm-officer-shot-residents-being-evacuated/","http://whnt.com/2014/04/04/breaking-huntsville-police-confirm-officer-shot-residents-being-evacuated/")</f>
        <v>http://whnt.com/2014/04/04/breaking-huntsville-police-confirm-officer-shot-residents-being-evacuated/</v>
      </c>
      <c r="R2059" s="8" t="s">
        <v>100</v>
      </c>
      <c r="S2059" s="7" t="s">
        <v>28</v>
      </c>
      <c r="T2059" s="6"/>
      <c r="U2059" s="8"/>
    </row>
    <row r="2060" spans="1:34" ht="13.5" customHeight="1">
      <c r="A2060" s="8" t="s">
        <v>10842</v>
      </c>
      <c r="B2060" s="16">
        <v>26</v>
      </c>
      <c r="C2060" s="8" t="s">
        <v>20</v>
      </c>
      <c r="D2060" s="8" t="s">
        <v>37</v>
      </c>
      <c r="E2060" s="8" t="s">
        <v>10843</v>
      </c>
      <c r="F2060" s="17">
        <v>41732</v>
      </c>
      <c r="G2060" s="8" t="s">
        <v>10844</v>
      </c>
      <c r="H2060" s="8" t="s">
        <v>1220</v>
      </c>
      <c r="I2060" s="8" t="s">
        <v>306</v>
      </c>
      <c r="J2060" s="16" t="s">
        <v>10845</v>
      </c>
      <c r="K2060" s="2" t="s">
        <v>1221</v>
      </c>
      <c r="L2060" s="8" t="s">
        <v>1222</v>
      </c>
      <c r="M2060" s="8" t="s">
        <v>27</v>
      </c>
      <c r="N2060" s="8" t="s">
        <v>10846</v>
      </c>
      <c r="O2060" s="8" t="s">
        <v>1018</v>
      </c>
      <c r="P2060" s="8" t="s">
        <v>405</v>
      </c>
      <c r="Q2060" s="12" t="s">
        <v>10847</v>
      </c>
      <c r="R2060" s="8" t="s">
        <v>100</v>
      </c>
      <c r="S2060" s="7" t="s">
        <v>28</v>
      </c>
      <c r="T2060" s="6"/>
      <c r="U2060" s="8"/>
    </row>
    <row r="2061" spans="1:34" ht="13.5" customHeight="1">
      <c r="A2061" s="8" t="s">
        <v>10823</v>
      </c>
      <c r="B2061" s="16">
        <v>45</v>
      </c>
      <c r="C2061" s="8" t="s">
        <v>20</v>
      </c>
      <c r="D2061" s="8" t="s">
        <v>85</v>
      </c>
      <c r="E2061" s="8" t="s">
        <v>10824</v>
      </c>
      <c r="F2061" s="17">
        <v>41732</v>
      </c>
      <c r="G2061" s="8" t="s">
        <v>10825</v>
      </c>
      <c r="H2061" s="8" t="s">
        <v>5479</v>
      </c>
      <c r="I2061" s="8" t="s">
        <v>323</v>
      </c>
      <c r="J2061" s="16" t="s">
        <v>7075</v>
      </c>
      <c r="K2061" s="2" t="s">
        <v>10826</v>
      </c>
      <c r="L2061" s="8" t="s">
        <v>10827</v>
      </c>
      <c r="M2061" s="8" t="s">
        <v>8430</v>
      </c>
      <c r="N2061" s="8" t="s">
        <v>10828</v>
      </c>
      <c r="O2061" s="8" t="s">
        <v>1018</v>
      </c>
      <c r="P2061" s="8" t="s">
        <v>405</v>
      </c>
      <c r="Q2061" s="12" t="s">
        <v>10829</v>
      </c>
      <c r="R2061" s="8" t="s">
        <v>972</v>
      </c>
      <c r="S2061" s="7" t="s">
        <v>18</v>
      </c>
      <c r="T2061" s="6"/>
      <c r="U2061" s="8"/>
    </row>
    <row r="2062" spans="1:34" ht="13.5" customHeight="1">
      <c r="A2062" s="8" t="s">
        <v>10830</v>
      </c>
      <c r="B2062" s="16">
        <v>28</v>
      </c>
      <c r="C2062" s="8" t="s">
        <v>115</v>
      </c>
      <c r="D2062" s="8" t="s">
        <v>30</v>
      </c>
      <c r="F2062" s="17">
        <v>41732</v>
      </c>
      <c r="G2062" s="8" t="s">
        <v>10831</v>
      </c>
      <c r="H2062" s="8" t="s">
        <v>2850</v>
      </c>
      <c r="I2062" s="8" t="s">
        <v>52</v>
      </c>
      <c r="J2062" s="16" t="s">
        <v>2851</v>
      </c>
      <c r="K2062" s="2" t="s">
        <v>119</v>
      </c>
      <c r="L2062" s="8" t="s">
        <v>10832</v>
      </c>
      <c r="M2062" s="8" t="s">
        <v>383</v>
      </c>
      <c r="N2062" s="8" t="s">
        <v>10833</v>
      </c>
      <c r="O2062" s="8" t="s">
        <v>3421</v>
      </c>
      <c r="P2062" s="8" t="s">
        <v>405</v>
      </c>
      <c r="Q2062" s="12" t="s">
        <v>10834</v>
      </c>
      <c r="R2062" s="8" t="s">
        <v>100</v>
      </c>
      <c r="S2062" s="7" t="s">
        <v>18</v>
      </c>
      <c r="T2062" s="6"/>
      <c r="U2062" s="8"/>
    </row>
    <row r="2063" spans="1:34" ht="13.5" customHeight="1">
      <c r="A2063" s="8" t="s">
        <v>10835</v>
      </c>
      <c r="B2063" s="16">
        <v>22</v>
      </c>
      <c r="C2063" s="8" t="s">
        <v>115</v>
      </c>
      <c r="D2063" s="8" t="s">
        <v>37</v>
      </c>
      <c r="E2063" s="8" t="s">
        <v>10836</v>
      </c>
      <c r="F2063" s="17">
        <v>41732</v>
      </c>
      <c r="G2063" s="8" t="s">
        <v>10837</v>
      </c>
      <c r="H2063" s="8" t="s">
        <v>6544</v>
      </c>
      <c r="I2063" s="8" t="s">
        <v>370</v>
      </c>
      <c r="J2063" s="16" t="s">
        <v>10838</v>
      </c>
      <c r="K2063" s="2" t="s">
        <v>653</v>
      </c>
      <c r="L2063" s="8" t="s">
        <v>10839</v>
      </c>
      <c r="M2063" s="8" t="s">
        <v>383</v>
      </c>
      <c r="N2063" s="8" t="s">
        <v>10840</v>
      </c>
      <c r="O2063" s="8" t="s">
        <v>1018</v>
      </c>
      <c r="P2063" s="8" t="s">
        <v>405</v>
      </c>
      <c r="Q2063" s="12" t="s">
        <v>10841</v>
      </c>
      <c r="R2063" s="8" t="s">
        <v>100</v>
      </c>
      <c r="S2063" s="7" t="s">
        <v>18</v>
      </c>
      <c r="T2063" s="6"/>
      <c r="U2063" s="8"/>
      <c r="Y2063" s="8"/>
      <c r="Z2063" s="8"/>
      <c r="AA2063" s="8"/>
      <c r="AB2063" s="8"/>
      <c r="AC2063" s="8"/>
      <c r="AD2063" s="8"/>
      <c r="AE2063" s="8"/>
      <c r="AF2063" s="8"/>
      <c r="AG2063" s="8"/>
      <c r="AH2063" s="8"/>
    </row>
    <row r="2064" spans="1:34" ht="13.5" customHeight="1">
      <c r="A2064" s="8" t="s">
        <v>10848</v>
      </c>
      <c r="B2064" s="16">
        <v>41</v>
      </c>
      <c r="C2064" s="8" t="s">
        <v>20</v>
      </c>
      <c r="D2064" s="8" t="s">
        <v>37</v>
      </c>
      <c r="E2064" s="8" t="s">
        <v>10849</v>
      </c>
      <c r="F2064" s="17">
        <v>41732</v>
      </c>
      <c r="G2064" s="8" t="s">
        <v>10850</v>
      </c>
      <c r="H2064" s="8" t="s">
        <v>10851</v>
      </c>
      <c r="I2064" s="8" t="s">
        <v>323</v>
      </c>
      <c r="J2064" s="16" t="s">
        <v>10852</v>
      </c>
      <c r="K2064" s="2" t="s">
        <v>424</v>
      </c>
      <c r="L2064" s="8" t="s">
        <v>10853</v>
      </c>
      <c r="M2064" s="8" t="s">
        <v>27</v>
      </c>
      <c r="N2064" s="8" t="s">
        <v>10854</v>
      </c>
      <c r="O2064" s="8" t="s">
        <v>1018</v>
      </c>
      <c r="P2064" s="8" t="s">
        <v>405</v>
      </c>
      <c r="Q2064" s="12" t="s">
        <v>10855</v>
      </c>
      <c r="R2064" s="8" t="s">
        <v>100</v>
      </c>
      <c r="S2064" s="7" t="s">
        <v>18</v>
      </c>
      <c r="T2064" s="6"/>
      <c r="U2064" s="8"/>
    </row>
    <row r="2065" spans="1:34" ht="13.5" customHeight="1">
      <c r="A2065" s="8" t="s">
        <v>10869</v>
      </c>
      <c r="B2065" s="16">
        <v>27</v>
      </c>
      <c r="C2065" s="8" t="s">
        <v>115</v>
      </c>
      <c r="D2065" s="8" t="s">
        <v>37</v>
      </c>
      <c r="E2065" s="8" t="s">
        <v>10861</v>
      </c>
      <c r="F2065" s="17">
        <v>41731</v>
      </c>
      <c r="G2065" s="8" t="s">
        <v>10862</v>
      </c>
      <c r="H2065" s="8" t="s">
        <v>10863</v>
      </c>
      <c r="I2065" s="8" t="s">
        <v>32</v>
      </c>
      <c r="J2065" s="16" t="s">
        <v>10864</v>
      </c>
      <c r="K2065" s="2" t="s">
        <v>10865</v>
      </c>
      <c r="L2065" s="8" t="s">
        <v>10866</v>
      </c>
      <c r="M2065" s="8" t="s">
        <v>383</v>
      </c>
      <c r="N2065" s="8" t="s">
        <v>10867</v>
      </c>
      <c r="O2065" s="8" t="s">
        <v>1018</v>
      </c>
      <c r="P2065" s="8" t="s">
        <v>405</v>
      </c>
      <c r="Q2065" s="12" t="s">
        <v>10868</v>
      </c>
      <c r="R2065" s="8" t="s">
        <v>100</v>
      </c>
      <c r="S2065" s="7" t="s">
        <v>18</v>
      </c>
      <c r="T2065" s="6"/>
      <c r="U2065" s="8"/>
    </row>
    <row r="2066" spans="1:34" ht="13.5" customHeight="1">
      <c r="A2066" s="8" t="s">
        <v>10856</v>
      </c>
      <c r="B2066" s="16">
        <v>22</v>
      </c>
      <c r="C2066" s="8" t="s">
        <v>20</v>
      </c>
      <c r="D2066" s="8" t="s">
        <v>85</v>
      </c>
      <c r="E2066" s="8" t="s">
        <v>10857</v>
      </c>
      <c r="F2066" s="17">
        <v>41731</v>
      </c>
      <c r="G2066" s="8" t="s">
        <v>10858</v>
      </c>
      <c r="H2066" s="8" t="s">
        <v>2476</v>
      </c>
      <c r="I2066" s="8" t="s">
        <v>175</v>
      </c>
      <c r="J2066" s="16" t="s">
        <v>2477</v>
      </c>
      <c r="K2066" s="2" t="s">
        <v>1338</v>
      </c>
      <c r="L2066" s="8" t="s">
        <v>1339</v>
      </c>
      <c r="M2066" s="8" t="s">
        <v>27</v>
      </c>
      <c r="N2066" s="8" t="s">
        <v>10859</v>
      </c>
      <c r="O2066" s="8" t="s">
        <v>1018</v>
      </c>
      <c r="P2066" s="8" t="s">
        <v>405</v>
      </c>
      <c r="Q2066" s="12" t="str">
        <f>HYPERLINK("http://www.wsbtv.com/news/news/local/officer-injured-suspect-killed-lawrenceville-apart/nfQTQ/","http://www.wsbtv.com/news/news/local/officer-injured-suspect-killed-lawrenceville-apart/nfQTQ/")</f>
        <v>http://www.wsbtv.com/news/news/local/officer-injured-suspect-killed-lawrenceville-apart/nfQTQ/</v>
      </c>
      <c r="R2066" s="8" t="s">
        <v>100</v>
      </c>
      <c r="S2066" s="7" t="s">
        <v>28</v>
      </c>
      <c r="T2066" s="6"/>
      <c r="U2066" s="8"/>
    </row>
    <row r="2067" spans="1:34" ht="13.5" customHeight="1">
      <c r="A2067" s="8" t="s">
        <v>10870</v>
      </c>
      <c r="B2067" s="16">
        <v>28</v>
      </c>
      <c r="C2067" s="8" t="s">
        <v>20</v>
      </c>
      <c r="D2067" s="8" t="s">
        <v>37</v>
      </c>
      <c r="E2067" s="8" t="s">
        <v>10871</v>
      </c>
      <c r="F2067" s="17">
        <v>41731</v>
      </c>
      <c r="G2067" s="8" t="s">
        <v>10872</v>
      </c>
      <c r="H2067" s="8" t="s">
        <v>10873</v>
      </c>
      <c r="I2067" s="8" t="s">
        <v>62</v>
      </c>
      <c r="J2067" s="16" t="s">
        <v>10874</v>
      </c>
      <c r="K2067" s="2" t="s">
        <v>5387</v>
      </c>
      <c r="L2067" s="8" t="s">
        <v>10875</v>
      </c>
      <c r="M2067" s="8" t="s">
        <v>27</v>
      </c>
      <c r="N2067" s="8" t="s">
        <v>10876</v>
      </c>
      <c r="O2067" s="8" t="s">
        <v>1018</v>
      </c>
      <c r="P2067" s="8" t="s">
        <v>405</v>
      </c>
      <c r="Q2067" s="12" t="s">
        <v>10877</v>
      </c>
      <c r="R2067" s="8" t="s">
        <v>100</v>
      </c>
      <c r="S2067" s="7" t="s">
        <v>28</v>
      </c>
      <c r="T2067" s="6"/>
      <c r="U2067" s="8"/>
    </row>
    <row r="2068" spans="1:34" ht="13.5" customHeight="1">
      <c r="A2068" s="8" t="s">
        <v>10860</v>
      </c>
      <c r="B2068" s="16">
        <v>23</v>
      </c>
      <c r="C2068" s="8" t="s">
        <v>20</v>
      </c>
      <c r="D2068" s="8" t="s">
        <v>37</v>
      </c>
      <c r="E2068" s="8" t="s">
        <v>10861</v>
      </c>
      <c r="F2068" s="17">
        <v>41731</v>
      </c>
      <c r="G2068" s="8" t="s">
        <v>10862</v>
      </c>
      <c r="H2068" s="8" t="s">
        <v>10863</v>
      </c>
      <c r="I2068" s="8" t="s">
        <v>32</v>
      </c>
      <c r="J2068" s="16" t="s">
        <v>10864</v>
      </c>
      <c r="K2068" s="2" t="s">
        <v>10865</v>
      </c>
      <c r="L2068" s="8" t="s">
        <v>10866</v>
      </c>
      <c r="M2068" s="8" t="s">
        <v>383</v>
      </c>
      <c r="N2068" s="8" t="s">
        <v>10867</v>
      </c>
      <c r="O2068" s="8" t="s">
        <v>1018</v>
      </c>
      <c r="P2068" s="8" t="s">
        <v>405</v>
      </c>
      <c r="Q2068" s="12" t="s">
        <v>10868</v>
      </c>
      <c r="R2068" s="8" t="s">
        <v>100</v>
      </c>
      <c r="S2068" s="7" t="s">
        <v>18</v>
      </c>
      <c r="T2068" s="6"/>
      <c r="U2068" s="8"/>
    </row>
    <row r="2069" spans="1:34" ht="13.5" customHeight="1">
      <c r="A2069" s="8" t="s">
        <v>10878</v>
      </c>
      <c r="B2069" s="16">
        <v>44</v>
      </c>
      <c r="C2069" s="8" t="s">
        <v>115</v>
      </c>
      <c r="D2069" s="8" t="s">
        <v>48</v>
      </c>
      <c r="E2069" s="8" t="s">
        <v>10879</v>
      </c>
      <c r="F2069" s="17">
        <v>41730</v>
      </c>
      <c r="G2069" s="8" t="s">
        <v>10880</v>
      </c>
      <c r="H2069" s="8" t="s">
        <v>979</v>
      </c>
      <c r="I2069" s="8" t="s">
        <v>198</v>
      </c>
      <c r="J2069" s="16" t="s">
        <v>10881</v>
      </c>
      <c r="K2069" s="2" t="s">
        <v>471</v>
      </c>
      <c r="L2069" s="8" t="s">
        <v>10882</v>
      </c>
      <c r="M2069" s="8" t="s">
        <v>383</v>
      </c>
      <c r="N2069" s="8" t="s">
        <v>10883</v>
      </c>
      <c r="O2069" s="8" t="s">
        <v>1170</v>
      </c>
      <c r="P2069" s="8" t="s">
        <v>1171</v>
      </c>
      <c r="Q2069" s="12" t="s">
        <v>10884</v>
      </c>
      <c r="R2069" s="8" t="s">
        <v>100</v>
      </c>
      <c r="S2069" s="7" t="s">
        <v>18</v>
      </c>
      <c r="T2069" s="6"/>
      <c r="U2069" s="8"/>
    </row>
    <row r="2070" spans="1:34" ht="13.5" customHeight="1">
      <c r="A2070" s="8" t="s">
        <v>10898</v>
      </c>
      <c r="B2070" s="16">
        <v>43</v>
      </c>
      <c r="C2070" s="8" t="s">
        <v>20</v>
      </c>
      <c r="D2070" s="8" t="s">
        <v>37</v>
      </c>
      <c r="E2070" s="8" t="s">
        <v>10899</v>
      </c>
      <c r="F2070" s="17">
        <v>41729</v>
      </c>
      <c r="G2070" s="8" t="s">
        <v>10900</v>
      </c>
      <c r="H2070" s="8" t="s">
        <v>10901</v>
      </c>
      <c r="I2070" s="8" t="s">
        <v>427</v>
      </c>
      <c r="J2070" s="16">
        <v>13790</v>
      </c>
      <c r="K2070" s="2" t="s">
        <v>10902</v>
      </c>
      <c r="L2070" s="8" t="s">
        <v>10903</v>
      </c>
      <c r="M2070" s="8" t="s">
        <v>27</v>
      </c>
      <c r="N2070" s="8" t="s">
        <v>10904</v>
      </c>
      <c r="P2070" s="8" t="s">
        <v>405</v>
      </c>
      <c r="Q2070" s="12"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070" s="8" t="s">
        <v>559</v>
      </c>
      <c r="S2070" s="7" t="s">
        <v>28</v>
      </c>
      <c r="T2070" s="6"/>
      <c r="U2070" s="8"/>
    </row>
    <row r="2071" spans="1:34" ht="13.5" customHeight="1">
      <c r="A2071" s="8" t="s">
        <v>10890</v>
      </c>
      <c r="B2071" s="16">
        <v>28</v>
      </c>
      <c r="C2071" s="8" t="s">
        <v>115</v>
      </c>
      <c r="D2071" s="8" t="s">
        <v>37</v>
      </c>
      <c r="E2071" s="8" t="s">
        <v>10891</v>
      </c>
      <c r="F2071" s="17">
        <v>41729</v>
      </c>
      <c r="G2071" s="8" t="s">
        <v>10892</v>
      </c>
      <c r="H2071" s="8" t="s">
        <v>10893</v>
      </c>
      <c r="I2071" s="8" t="s">
        <v>370</v>
      </c>
      <c r="J2071" s="16" t="s">
        <v>10894</v>
      </c>
      <c r="K2071" s="2" t="s">
        <v>1881</v>
      </c>
      <c r="L2071" s="8" t="s">
        <v>10895</v>
      </c>
      <c r="M2071" s="8" t="s">
        <v>383</v>
      </c>
      <c r="N2071" s="8" t="s">
        <v>10896</v>
      </c>
      <c r="O2071" s="8" t="s">
        <v>1018</v>
      </c>
      <c r="P2071" s="8" t="s">
        <v>405</v>
      </c>
      <c r="Q2071" s="12" t="s">
        <v>10897</v>
      </c>
      <c r="R2071" s="8" t="s">
        <v>100</v>
      </c>
      <c r="S2071" s="7" t="s">
        <v>18</v>
      </c>
      <c r="T2071" s="6"/>
      <c r="U2071" s="8"/>
    </row>
    <row r="2072" spans="1:34" ht="13.5" customHeight="1">
      <c r="A2072" s="8" t="s">
        <v>10885</v>
      </c>
      <c r="B2072" s="16">
        <v>74</v>
      </c>
      <c r="C2072" s="8" t="s">
        <v>115</v>
      </c>
      <c r="D2072" s="8" t="s">
        <v>30</v>
      </c>
      <c r="F2072" s="17">
        <v>41729</v>
      </c>
      <c r="G2072" s="8" t="s">
        <v>10886</v>
      </c>
      <c r="H2072" s="8" t="s">
        <v>1253</v>
      </c>
      <c r="I2072" s="8" t="s">
        <v>175</v>
      </c>
      <c r="J2072" s="16" t="s">
        <v>10887</v>
      </c>
      <c r="K2072" s="2" t="s">
        <v>1351</v>
      </c>
      <c r="L2072" s="8" t="s">
        <v>1352</v>
      </c>
      <c r="M2072" s="8" t="s">
        <v>27</v>
      </c>
      <c r="N2072" s="8" t="s">
        <v>10888</v>
      </c>
      <c r="O2072" s="8" t="s">
        <v>1018</v>
      </c>
      <c r="P2072" s="8" t="s">
        <v>405</v>
      </c>
      <c r="Q2072" s="12" t="s">
        <v>10889</v>
      </c>
      <c r="R2072" s="8" t="s">
        <v>559</v>
      </c>
      <c r="S2072" s="7" t="s">
        <v>28</v>
      </c>
      <c r="T2072" s="6"/>
      <c r="U2072" s="8"/>
    </row>
    <row r="2073" spans="1:34" ht="13.5" customHeight="1">
      <c r="A2073" s="8" t="s">
        <v>10905</v>
      </c>
      <c r="B2073" s="16">
        <v>20</v>
      </c>
      <c r="C2073" s="8" t="s">
        <v>20</v>
      </c>
      <c r="D2073" s="8" t="s">
        <v>85</v>
      </c>
      <c r="E2073" s="8" t="s">
        <v>10906</v>
      </c>
      <c r="F2073" s="17">
        <v>41728</v>
      </c>
      <c r="G2073" s="8" t="s">
        <v>10907</v>
      </c>
      <c r="H2073" s="8" t="s">
        <v>1300</v>
      </c>
      <c r="I2073" s="8" t="s">
        <v>175</v>
      </c>
      <c r="J2073" s="16" t="s">
        <v>10908</v>
      </c>
      <c r="K2073" s="2" t="s">
        <v>10909</v>
      </c>
      <c r="L2073" s="8" t="s">
        <v>10910</v>
      </c>
      <c r="M2073" s="8" t="s">
        <v>27</v>
      </c>
      <c r="N2073" s="8" t="s">
        <v>10911</v>
      </c>
      <c r="O2073" s="8" t="s">
        <v>1018</v>
      </c>
      <c r="P2073" s="8" t="s">
        <v>405</v>
      </c>
      <c r="Q2073" s="12" t="str">
        <f>HYPERLINK("http://www.nydailynews.com/news/crime/campus-cops-fatally-shoot-man-georgia-university-article-1.1740351","http://www.nydailynews.com/news/crime/campus-cops-fatally-shoot-man-georgia-university-article-1.1740351")</f>
        <v>http://www.nydailynews.com/news/crime/campus-cops-fatally-shoot-man-georgia-university-article-1.1740351</v>
      </c>
      <c r="R2073" s="8" t="s">
        <v>100</v>
      </c>
      <c r="S2073" s="7" t="s">
        <v>18</v>
      </c>
      <c r="T2073" s="6"/>
      <c r="U2073" s="8"/>
    </row>
    <row r="2074" spans="1:34" ht="13.5" customHeight="1">
      <c r="A2074" s="8" t="s">
        <v>10912</v>
      </c>
      <c r="B2074" s="16">
        <v>20</v>
      </c>
      <c r="C2074" s="8" t="s">
        <v>20</v>
      </c>
      <c r="D2074" s="8" t="s">
        <v>85</v>
      </c>
      <c r="E2074" s="8" t="s">
        <v>10913</v>
      </c>
      <c r="F2074" s="17">
        <v>41727</v>
      </c>
      <c r="G2074" s="8" t="s">
        <v>10914</v>
      </c>
      <c r="H2074" s="8" t="s">
        <v>87</v>
      </c>
      <c r="I2074" s="8" t="s">
        <v>44</v>
      </c>
      <c r="J2074" s="16" t="s">
        <v>1693</v>
      </c>
      <c r="K2074" s="2" t="s">
        <v>88</v>
      </c>
      <c r="L2074" s="8" t="s">
        <v>89</v>
      </c>
      <c r="M2074" s="8" t="s">
        <v>27</v>
      </c>
      <c r="N2074" s="8" t="s">
        <v>10915</v>
      </c>
      <c r="O2074" s="8" t="s">
        <v>1018</v>
      </c>
      <c r="P2074" s="8" t="s">
        <v>405</v>
      </c>
      <c r="Q2074" s="12" t="str">
        <f>HYPERLINK("http://www.myfoxchicago.com/story/25108986/raason-shaw-man-shot-to-death-by-police-in-woodlawn","http://www.myfoxchicago.com/story/25108986/raason-shaw-man-shot-to-death-by-police-in-woodlawn")</f>
        <v>http://www.myfoxchicago.com/story/25108986/raason-shaw-man-shot-to-death-by-police-in-woodlawn</v>
      </c>
      <c r="R2074" s="8" t="s">
        <v>100</v>
      </c>
      <c r="S2074" s="7" t="s">
        <v>28</v>
      </c>
      <c r="T2074" s="6"/>
      <c r="U2074" s="8"/>
    </row>
    <row r="2075" spans="1:34" ht="13.5" customHeight="1">
      <c r="A2075" s="8" t="s">
        <v>10935</v>
      </c>
      <c r="B2075" s="16">
        <v>40</v>
      </c>
      <c r="C2075" s="8" t="s">
        <v>20</v>
      </c>
      <c r="D2075" s="8" t="s">
        <v>30</v>
      </c>
      <c r="F2075" s="17">
        <v>41726</v>
      </c>
      <c r="G2075" s="8" t="s">
        <v>10936</v>
      </c>
      <c r="H2075" s="8" t="s">
        <v>10937</v>
      </c>
      <c r="I2075" s="8" t="s">
        <v>370</v>
      </c>
      <c r="J2075" s="16" t="s">
        <v>10938</v>
      </c>
      <c r="K2075" s="2" t="s">
        <v>2339</v>
      </c>
      <c r="L2075" s="8" t="s">
        <v>10939</v>
      </c>
      <c r="M2075" s="8" t="s">
        <v>27</v>
      </c>
      <c r="N2075" s="8" t="s">
        <v>10940</v>
      </c>
      <c r="O2075" s="8" t="s">
        <v>1018</v>
      </c>
      <c r="P2075" s="8" t="s">
        <v>405</v>
      </c>
      <c r="Q2075" s="12" t="s">
        <v>10941</v>
      </c>
      <c r="R2075" s="8" t="s">
        <v>29</v>
      </c>
      <c r="S2075" s="7" t="s">
        <v>28</v>
      </c>
      <c r="T2075" s="6"/>
      <c r="U2075" s="8"/>
    </row>
    <row r="2076" spans="1:34" ht="13.5" customHeight="1">
      <c r="A2076" s="8" t="s">
        <v>10916</v>
      </c>
      <c r="B2076" s="16">
        <v>35</v>
      </c>
      <c r="C2076" s="8" t="s">
        <v>20</v>
      </c>
      <c r="D2076" s="8" t="s">
        <v>85</v>
      </c>
      <c r="E2076" s="8" t="s">
        <v>10917</v>
      </c>
      <c r="F2076" s="17">
        <v>41726</v>
      </c>
      <c r="G2076" s="8" t="s">
        <v>10918</v>
      </c>
      <c r="H2076" s="8" t="s">
        <v>10919</v>
      </c>
      <c r="I2076" s="8" t="s">
        <v>370</v>
      </c>
      <c r="J2076" s="16" t="s">
        <v>10920</v>
      </c>
      <c r="K2076" s="2" t="s">
        <v>5680</v>
      </c>
      <c r="L2076" s="8" t="s">
        <v>10921</v>
      </c>
      <c r="M2076" s="8" t="s">
        <v>27</v>
      </c>
      <c r="N2076" s="8" t="s">
        <v>10922</v>
      </c>
      <c r="O2076" s="8" t="s">
        <v>1018</v>
      </c>
      <c r="P2076" s="8" t="s">
        <v>405</v>
      </c>
      <c r="Q2076" s="12" t="str">
        <f>HYPERLINK("http://www.wcti12.com/news/city-official-two-officers-injured-one-suspect-dead-in-shooting/25226556","http://www.wcti12.com/news/city-official-two-officers-injured-one-suspect-dead-in-shooting/25226556")</f>
        <v>http://www.wcti12.com/news/city-official-two-officers-injured-one-suspect-dead-in-shooting/25226556</v>
      </c>
      <c r="R2076" s="8" t="s">
        <v>29</v>
      </c>
      <c r="S2076" s="7" t="s">
        <v>28</v>
      </c>
      <c r="T2076" s="6"/>
      <c r="U2076" s="8"/>
    </row>
    <row r="2077" spans="1:34" ht="13.5" customHeight="1">
      <c r="A2077" s="8" t="s">
        <v>10929</v>
      </c>
      <c r="B2077" s="16">
        <v>35</v>
      </c>
      <c r="C2077" s="8" t="s">
        <v>20</v>
      </c>
      <c r="D2077" s="8" t="s">
        <v>950</v>
      </c>
      <c r="E2077" s="8" t="str">
        <f>HYPERLINK("http://fox13now.com/2014/03/28/2-police-officers-hurt-1-man-dead-after-salt-lake-city-shooting/","http://fox13now.com/2014/03/28/2-police-officers-hurt-1-man-dead-after-salt-lake-city-shooting/")</f>
        <v>http://fox13now.com/2014/03/28/2-police-officers-hurt-1-man-dead-after-salt-lake-city-shooting/</v>
      </c>
      <c r="F2077" s="17">
        <v>41726</v>
      </c>
      <c r="G2077" s="8" t="s">
        <v>10930</v>
      </c>
      <c r="H2077" s="8" t="s">
        <v>242</v>
      </c>
      <c r="I2077" s="8" t="s">
        <v>243</v>
      </c>
      <c r="J2077" s="16" t="s">
        <v>10931</v>
      </c>
      <c r="K2077" s="2" t="s">
        <v>617</v>
      </c>
      <c r="L2077" s="8" t="s">
        <v>10932</v>
      </c>
      <c r="M2077" s="8" t="s">
        <v>27</v>
      </c>
      <c r="N2077" s="8" t="s">
        <v>10933</v>
      </c>
      <c r="O2077" s="8" t="s">
        <v>554</v>
      </c>
      <c r="P2077" s="8" t="s">
        <v>405</v>
      </c>
      <c r="Q2077" s="12" t="s">
        <v>10934</v>
      </c>
      <c r="R2077" s="8" t="s">
        <v>29</v>
      </c>
      <c r="S2077" s="7" t="s">
        <v>28</v>
      </c>
      <c r="T2077" s="6"/>
      <c r="U2077" s="8"/>
    </row>
    <row r="2078" spans="1:34" ht="13.5" customHeight="1">
      <c r="A2078" s="8" t="s">
        <v>10942</v>
      </c>
      <c r="B2078" s="16">
        <v>25</v>
      </c>
      <c r="C2078" s="8" t="s">
        <v>20</v>
      </c>
      <c r="D2078" s="8" t="s">
        <v>37</v>
      </c>
      <c r="F2078" s="17">
        <v>41726</v>
      </c>
      <c r="G2078" s="8" t="s">
        <v>10943</v>
      </c>
      <c r="H2078" s="8" t="s">
        <v>10944</v>
      </c>
      <c r="I2078" s="8" t="s">
        <v>45</v>
      </c>
      <c r="J2078" s="16" t="s">
        <v>10945</v>
      </c>
      <c r="K2078" s="2" t="s">
        <v>313</v>
      </c>
      <c r="L2078" s="8" t="s">
        <v>314</v>
      </c>
      <c r="M2078" s="8" t="s">
        <v>27</v>
      </c>
      <c r="N2078" s="8" t="s">
        <v>10946</v>
      </c>
      <c r="O2078" s="8" t="s">
        <v>1018</v>
      </c>
      <c r="P2078" s="8" t="s">
        <v>405</v>
      </c>
      <c r="Q2078" s="12" t="s">
        <v>10947</v>
      </c>
      <c r="R2078" s="8" t="s">
        <v>29</v>
      </c>
      <c r="S2078" s="7" t="s">
        <v>28</v>
      </c>
      <c r="T2078" s="6"/>
      <c r="U2078" s="8"/>
    </row>
    <row r="2079" spans="1:34" ht="13.5" customHeight="1">
      <c r="A2079" s="8" t="s">
        <v>10923</v>
      </c>
      <c r="B2079" s="16">
        <v>25</v>
      </c>
      <c r="C2079" s="8" t="s">
        <v>20</v>
      </c>
      <c r="D2079" s="8" t="s">
        <v>85</v>
      </c>
      <c r="E2079" s="8" t="s">
        <v>10924</v>
      </c>
      <c r="F2079" s="17">
        <v>41726</v>
      </c>
      <c r="G2079" s="8" t="s">
        <v>10925</v>
      </c>
      <c r="H2079" s="8" t="s">
        <v>898</v>
      </c>
      <c r="I2079" s="8" t="s">
        <v>319</v>
      </c>
      <c r="J2079" s="16" t="s">
        <v>10926</v>
      </c>
      <c r="K2079" s="2" t="s">
        <v>1795</v>
      </c>
      <c r="L2079" s="8" t="s">
        <v>899</v>
      </c>
      <c r="M2079" s="8" t="s">
        <v>27</v>
      </c>
      <c r="N2079" s="8" t="s">
        <v>10927</v>
      </c>
      <c r="O2079" s="8" t="s">
        <v>1018</v>
      </c>
      <c r="P2079" s="8" t="s">
        <v>405</v>
      </c>
      <c r="Q2079" s="12" t="s">
        <v>10928</v>
      </c>
      <c r="R2079" s="8" t="s">
        <v>29</v>
      </c>
      <c r="S2079" s="7" t="s">
        <v>28</v>
      </c>
      <c r="T2079" s="6"/>
      <c r="U2079" s="8"/>
    </row>
    <row r="2080" spans="1:34" ht="13.5" customHeight="1">
      <c r="A2080" s="8" t="s">
        <v>10948</v>
      </c>
      <c r="B2080" s="16">
        <v>27</v>
      </c>
      <c r="C2080" s="8" t="s">
        <v>20</v>
      </c>
      <c r="D2080" s="8" t="s">
        <v>85</v>
      </c>
      <c r="F2080" s="17">
        <v>41725</v>
      </c>
      <c r="G2080" s="8" t="s">
        <v>10949</v>
      </c>
      <c r="H2080" s="8" t="s">
        <v>1413</v>
      </c>
      <c r="I2080" s="8" t="s">
        <v>81</v>
      </c>
      <c r="J2080" s="16" t="s">
        <v>7406</v>
      </c>
      <c r="K2080" s="2" t="s">
        <v>1414</v>
      </c>
      <c r="L2080" s="8" t="s">
        <v>1415</v>
      </c>
      <c r="M2080" s="8" t="s">
        <v>27</v>
      </c>
      <c r="N2080" s="8" t="s">
        <v>10950</v>
      </c>
      <c r="O2080" s="8" t="s">
        <v>1018</v>
      </c>
      <c r="P2080" s="8" t="s">
        <v>405</v>
      </c>
      <c r="Q2080" s="12" t="s">
        <v>10951</v>
      </c>
      <c r="R2080" s="8" t="s">
        <v>100</v>
      </c>
      <c r="S2080" s="7" t="s">
        <v>28</v>
      </c>
      <c r="T2080" s="6"/>
      <c r="U2080" s="8"/>
      <c r="Y2080" s="8"/>
      <c r="Z2080" s="8"/>
      <c r="AA2080" s="8"/>
      <c r="AB2080" s="8"/>
      <c r="AC2080" s="8"/>
      <c r="AD2080" s="8"/>
      <c r="AE2080" s="8"/>
      <c r="AF2080" s="8"/>
      <c r="AG2080" s="8"/>
      <c r="AH2080" s="8"/>
    </row>
    <row r="2081" spans="1:39" ht="13.5" customHeight="1">
      <c r="A2081" s="8" t="s">
        <v>10952</v>
      </c>
      <c r="B2081" s="16">
        <v>19</v>
      </c>
      <c r="C2081" s="8" t="s">
        <v>20</v>
      </c>
      <c r="D2081" s="8" t="s">
        <v>48</v>
      </c>
      <c r="F2081" s="17">
        <v>41725</v>
      </c>
      <c r="G2081" s="8" t="s">
        <v>10953</v>
      </c>
      <c r="H2081" s="8" t="s">
        <v>8028</v>
      </c>
      <c r="I2081" s="8" t="s">
        <v>73</v>
      </c>
      <c r="J2081" s="16" t="s">
        <v>10954</v>
      </c>
      <c r="K2081" s="2" t="s">
        <v>1795</v>
      </c>
      <c r="L2081" s="8" t="s">
        <v>10955</v>
      </c>
      <c r="M2081" s="8" t="s">
        <v>27</v>
      </c>
      <c r="N2081" s="8" t="s">
        <v>10956</v>
      </c>
      <c r="O2081" s="8" t="s">
        <v>554</v>
      </c>
      <c r="P2081" s="8" t="s">
        <v>405</v>
      </c>
      <c r="Q2081" s="12" t="s">
        <v>10957</v>
      </c>
      <c r="R2081" s="8" t="s">
        <v>100</v>
      </c>
      <c r="S2081" s="7" t="s">
        <v>18</v>
      </c>
      <c r="T2081" s="6"/>
      <c r="U2081" s="8"/>
    </row>
    <row r="2082" spans="1:39" ht="13.5" customHeight="1">
      <c r="A2082" s="8" t="s">
        <v>10966</v>
      </c>
      <c r="B2082" s="16">
        <v>43</v>
      </c>
      <c r="C2082" s="8" t="s">
        <v>20</v>
      </c>
      <c r="D2082" s="8" t="s">
        <v>37</v>
      </c>
      <c r="E2082" s="8" t="s">
        <v>10967</v>
      </c>
      <c r="F2082" s="17">
        <v>41725</v>
      </c>
      <c r="G2082" s="8" t="s">
        <v>10968</v>
      </c>
      <c r="H2082" s="8" t="s">
        <v>10969</v>
      </c>
      <c r="I2082" s="8" t="s">
        <v>399</v>
      </c>
      <c r="J2082" s="16" t="s">
        <v>10970</v>
      </c>
      <c r="K2082" s="2" t="s">
        <v>10971</v>
      </c>
      <c r="L2082" s="8" t="s">
        <v>10972</v>
      </c>
      <c r="M2082" s="8" t="s">
        <v>27</v>
      </c>
      <c r="N2082" s="8" t="s">
        <v>10973</v>
      </c>
      <c r="O2082" s="8" t="s">
        <v>1018</v>
      </c>
      <c r="P2082" s="8" t="s">
        <v>405</v>
      </c>
      <c r="Q2082" s="12" t="s">
        <v>10974</v>
      </c>
      <c r="R2082" s="8" t="s">
        <v>29</v>
      </c>
      <c r="S2082" s="7" t="s">
        <v>28</v>
      </c>
      <c r="T2082" s="6"/>
      <c r="U2082" s="8"/>
    </row>
    <row r="2083" spans="1:39" ht="13.5" customHeight="1">
      <c r="A2083" s="8" t="s">
        <v>10958</v>
      </c>
      <c r="B2083" s="16">
        <v>58</v>
      </c>
      <c r="C2083" s="8" t="s">
        <v>20</v>
      </c>
      <c r="D2083" s="8" t="s">
        <v>30</v>
      </c>
      <c r="F2083" s="17">
        <v>41725</v>
      </c>
      <c r="G2083" s="8" t="s">
        <v>10959</v>
      </c>
      <c r="H2083" s="8" t="s">
        <v>10960</v>
      </c>
      <c r="I2083" s="8" t="s">
        <v>73</v>
      </c>
      <c r="J2083" s="16" t="s">
        <v>10961</v>
      </c>
      <c r="K2083" s="2" t="s">
        <v>10962</v>
      </c>
      <c r="L2083" s="8" t="s">
        <v>10963</v>
      </c>
      <c r="M2083" s="8" t="s">
        <v>27</v>
      </c>
      <c r="N2083" s="8" t="s">
        <v>10964</v>
      </c>
      <c r="O2083" s="8" t="s">
        <v>1018</v>
      </c>
      <c r="P2083" s="8" t="s">
        <v>405</v>
      </c>
      <c r="Q2083" s="12" t="s">
        <v>10965</v>
      </c>
      <c r="R2083" s="8" t="s">
        <v>29</v>
      </c>
      <c r="S2083" s="7" t="s">
        <v>28</v>
      </c>
      <c r="T2083" s="6"/>
      <c r="U2083" s="8"/>
    </row>
    <row r="2084" spans="1:39" ht="13.5" customHeight="1">
      <c r="A2084" s="8" t="s">
        <v>10975</v>
      </c>
      <c r="B2084" s="16">
        <v>41</v>
      </c>
      <c r="C2084" s="8" t="s">
        <v>20</v>
      </c>
      <c r="D2084" s="8" t="s">
        <v>37</v>
      </c>
      <c r="F2084" s="17">
        <v>41724</v>
      </c>
      <c r="G2084" s="8" t="s">
        <v>10976</v>
      </c>
      <c r="H2084" s="8" t="s">
        <v>10977</v>
      </c>
      <c r="I2084" s="8" t="s">
        <v>45</v>
      </c>
      <c r="J2084" s="16" t="s">
        <v>3522</v>
      </c>
      <c r="K2084" s="2" t="s">
        <v>687</v>
      </c>
      <c r="L2084" s="8" t="s">
        <v>755</v>
      </c>
      <c r="M2084" s="8" t="s">
        <v>27</v>
      </c>
      <c r="N2084" s="8" t="s">
        <v>10978</v>
      </c>
      <c r="O2084" s="8" t="s">
        <v>554</v>
      </c>
      <c r="P2084" s="8" t="s">
        <v>405</v>
      </c>
      <c r="Q2084" s="12" t="s">
        <v>10979</v>
      </c>
      <c r="R2084" s="8" t="s">
        <v>100</v>
      </c>
      <c r="S2084" s="7" t="s">
        <v>18</v>
      </c>
      <c r="T2084" s="6"/>
      <c r="U2084" s="8"/>
    </row>
    <row r="2085" spans="1:39" ht="13.5" customHeight="1">
      <c r="A2085" s="8" t="s">
        <v>10980</v>
      </c>
      <c r="B2085" s="16">
        <v>30</v>
      </c>
      <c r="C2085" s="8" t="s">
        <v>20</v>
      </c>
      <c r="D2085" s="8" t="s">
        <v>37</v>
      </c>
      <c r="E2085" s="8" t="s">
        <v>10981</v>
      </c>
      <c r="F2085" s="17">
        <v>41724</v>
      </c>
      <c r="G2085" s="8" t="s">
        <v>10982</v>
      </c>
      <c r="H2085" s="8" t="s">
        <v>846</v>
      </c>
      <c r="I2085" s="8" t="s">
        <v>306</v>
      </c>
      <c r="J2085" s="16" t="s">
        <v>10983</v>
      </c>
      <c r="K2085" s="2" t="s">
        <v>846</v>
      </c>
      <c r="L2085" s="8" t="s">
        <v>847</v>
      </c>
      <c r="M2085" s="8" t="s">
        <v>27</v>
      </c>
      <c r="N2085" s="8" t="s">
        <v>10984</v>
      </c>
      <c r="O2085" s="8" t="s">
        <v>1018</v>
      </c>
      <c r="P2085" s="8" t="s">
        <v>405</v>
      </c>
      <c r="Q2085" s="12" t="s">
        <v>10985</v>
      </c>
      <c r="R2085" s="8" t="s">
        <v>100</v>
      </c>
      <c r="S2085" s="7" t="s">
        <v>28</v>
      </c>
      <c r="T2085" s="6"/>
      <c r="U2085" s="8"/>
    </row>
    <row r="2086" spans="1:39" ht="13.5" customHeight="1">
      <c r="A2086" s="8" t="s">
        <v>10998</v>
      </c>
      <c r="B2086" s="16" t="s">
        <v>10999</v>
      </c>
      <c r="C2086" s="8" t="s">
        <v>20</v>
      </c>
      <c r="D2086" s="8" t="s">
        <v>85</v>
      </c>
      <c r="E2086" s="8" t="s">
        <v>11000</v>
      </c>
      <c r="F2086" s="17">
        <v>41723</v>
      </c>
      <c r="G2086" s="8" t="s">
        <v>11001</v>
      </c>
      <c r="H2086" s="8" t="s">
        <v>930</v>
      </c>
      <c r="I2086" s="8" t="s">
        <v>198</v>
      </c>
      <c r="J2086" s="16" t="s">
        <v>11002</v>
      </c>
      <c r="K2086" s="2" t="s">
        <v>471</v>
      </c>
      <c r="L2086" s="8" t="s">
        <v>5024</v>
      </c>
      <c r="M2086" s="8" t="s">
        <v>27</v>
      </c>
      <c r="N2086" s="8" t="s">
        <v>11003</v>
      </c>
      <c r="O2086" s="8" t="s">
        <v>29</v>
      </c>
      <c r="P2086" s="8" t="s">
        <v>405</v>
      </c>
      <c r="Q2086" s="12" t="s">
        <v>10223</v>
      </c>
      <c r="R2086" s="8" t="s">
        <v>100</v>
      </c>
      <c r="S2086" s="7" t="s">
        <v>28</v>
      </c>
      <c r="T2086" s="6"/>
      <c r="U2086" s="8"/>
      <c r="Y2086" s="8"/>
      <c r="Z2086" s="8"/>
      <c r="AA2086" s="8"/>
      <c r="AB2086" s="8"/>
      <c r="AC2086" s="8"/>
      <c r="AD2086" s="8"/>
      <c r="AE2086" s="8"/>
      <c r="AF2086" s="8"/>
      <c r="AG2086" s="8"/>
      <c r="AH2086" s="8"/>
    </row>
    <row r="2087" spans="1:39" ht="13.5" customHeight="1">
      <c r="A2087" s="8" t="s">
        <v>11025</v>
      </c>
      <c r="B2087" s="16">
        <v>41</v>
      </c>
      <c r="C2087" s="8" t="s">
        <v>20</v>
      </c>
      <c r="D2087" s="8" t="s">
        <v>37</v>
      </c>
      <c r="E2087" s="8" t="s">
        <v>11026</v>
      </c>
      <c r="F2087" s="17">
        <v>41723</v>
      </c>
      <c r="G2087" s="8" t="s">
        <v>11027</v>
      </c>
      <c r="H2087" s="8" t="s">
        <v>11028</v>
      </c>
      <c r="I2087" s="8" t="s">
        <v>306</v>
      </c>
      <c r="J2087" s="16" t="s">
        <v>11029</v>
      </c>
      <c r="K2087" s="2" t="s">
        <v>722</v>
      </c>
      <c r="L2087" s="8" t="s">
        <v>11030</v>
      </c>
      <c r="M2087" s="8" t="s">
        <v>27</v>
      </c>
      <c r="N2087" s="8" t="s">
        <v>11031</v>
      </c>
      <c r="O2087" s="8" t="s">
        <v>554</v>
      </c>
      <c r="P2087" s="8" t="s">
        <v>405</v>
      </c>
      <c r="Q2087" s="12" t="s">
        <v>11032</v>
      </c>
      <c r="R2087" s="8" t="s">
        <v>972</v>
      </c>
      <c r="S2087" s="7" t="s">
        <v>28</v>
      </c>
      <c r="T2087" s="6"/>
      <c r="U2087" s="8"/>
    </row>
    <row r="2088" spans="1:39" ht="13.5" customHeight="1">
      <c r="A2088" s="8" t="s">
        <v>11012</v>
      </c>
      <c r="B2088" s="16">
        <v>42</v>
      </c>
      <c r="C2088" s="8" t="s">
        <v>20</v>
      </c>
      <c r="D2088" s="8" t="s">
        <v>37</v>
      </c>
      <c r="E2088" s="8" t="s">
        <v>11013</v>
      </c>
      <c r="F2088" s="17">
        <v>41723</v>
      </c>
      <c r="G2088" s="8" t="s">
        <v>11014</v>
      </c>
      <c r="H2088" s="8" t="s">
        <v>7385</v>
      </c>
      <c r="I2088" s="8" t="s">
        <v>73</v>
      </c>
      <c r="J2088" s="16">
        <v>76903</v>
      </c>
      <c r="K2088" s="2" t="s">
        <v>7387</v>
      </c>
      <c r="L2088" s="8" t="s">
        <v>7388</v>
      </c>
      <c r="M2088" s="8" t="s">
        <v>27</v>
      </c>
      <c r="N2088" s="8" t="s">
        <v>11015</v>
      </c>
      <c r="O2088" s="8" t="s">
        <v>29</v>
      </c>
      <c r="P2088" s="8" t="s">
        <v>405</v>
      </c>
      <c r="Q2088" s="12" t="s">
        <v>11016</v>
      </c>
      <c r="R2088" s="8" t="s">
        <v>559</v>
      </c>
      <c r="S2088" s="7" t="s">
        <v>28</v>
      </c>
      <c r="T2088" s="6"/>
      <c r="U2088" s="8"/>
    </row>
    <row r="2089" spans="1:39" ht="13.5" customHeight="1">
      <c r="A2089" s="8" t="s">
        <v>10986</v>
      </c>
      <c r="B2089" s="16">
        <v>47</v>
      </c>
      <c r="C2089" s="8" t="s">
        <v>115</v>
      </c>
      <c r="D2089" s="8" t="s">
        <v>21</v>
      </c>
      <c r="E2089" s="8" t="s">
        <v>10987</v>
      </c>
      <c r="F2089" s="17">
        <v>41723</v>
      </c>
      <c r="G2089" s="8" t="s">
        <v>10988</v>
      </c>
      <c r="H2089" s="8" t="s">
        <v>6544</v>
      </c>
      <c r="I2089" s="8" t="s">
        <v>370</v>
      </c>
      <c r="J2089" s="16" t="s">
        <v>10838</v>
      </c>
      <c r="K2089" s="2" t="s">
        <v>653</v>
      </c>
      <c r="L2089" s="8" t="s">
        <v>10989</v>
      </c>
      <c r="M2089" s="8" t="s">
        <v>27</v>
      </c>
      <c r="N2089" s="8" t="s">
        <v>10990</v>
      </c>
      <c r="O2089" s="8" t="s">
        <v>554</v>
      </c>
      <c r="P2089" s="8" t="s">
        <v>405</v>
      </c>
      <c r="Q2089" s="12" t="s">
        <v>10991</v>
      </c>
      <c r="R2089" s="8" t="s">
        <v>29</v>
      </c>
      <c r="S2089" s="7" t="s">
        <v>28</v>
      </c>
      <c r="T2089" s="6"/>
      <c r="U2089" s="8"/>
      <c r="Y2089" s="8"/>
      <c r="Z2089" s="8"/>
      <c r="AA2089" s="8"/>
      <c r="AB2089" s="8"/>
      <c r="AC2089" s="8"/>
      <c r="AD2089" s="8"/>
      <c r="AE2089" s="8"/>
      <c r="AF2089" s="8"/>
      <c r="AG2089" s="8"/>
      <c r="AH2089" s="8"/>
      <c r="AI2089" s="8"/>
      <c r="AJ2089" s="8"/>
      <c r="AK2089" s="8"/>
      <c r="AL2089" s="8"/>
      <c r="AM2089" s="8"/>
    </row>
    <row r="2090" spans="1:39" ht="13.5" customHeight="1">
      <c r="A2090" s="8" t="s">
        <v>10992</v>
      </c>
      <c r="B2090" s="16">
        <v>27</v>
      </c>
      <c r="C2090" s="8" t="s">
        <v>20</v>
      </c>
      <c r="D2090" s="8" t="s">
        <v>85</v>
      </c>
      <c r="E2090" s="8" t="s">
        <v>10993</v>
      </c>
      <c r="F2090" s="17">
        <v>41723</v>
      </c>
      <c r="G2090" s="8" t="s">
        <v>10994</v>
      </c>
      <c r="H2090" s="8" t="s">
        <v>2513</v>
      </c>
      <c r="I2090" s="8" t="s">
        <v>399</v>
      </c>
      <c r="J2090" s="16" t="s">
        <v>10995</v>
      </c>
      <c r="K2090" s="2" t="s">
        <v>2513</v>
      </c>
      <c r="L2090" s="8" t="s">
        <v>3419</v>
      </c>
      <c r="M2090" s="8" t="s">
        <v>27</v>
      </c>
      <c r="N2090" s="8" t="s">
        <v>10996</v>
      </c>
      <c r="O2090" s="8" t="s">
        <v>554</v>
      </c>
      <c r="P2090" s="8" t="s">
        <v>405</v>
      </c>
      <c r="Q2090" s="12" t="s">
        <v>10997</v>
      </c>
      <c r="R2090" s="8" t="s">
        <v>972</v>
      </c>
      <c r="S2090" s="7" t="s">
        <v>18</v>
      </c>
      <c r="T2090" s="6"/>
      <c r="U2090" s="8"/>
    </row>
    <row r="2091" spans="1:39" ht="13.5" customHeight="1">
      <c r="A2091" s="8" t="s">
        <v>11017</v>
      </c>
      <c r="B2091" s="16">
        <v>65</v>
      </c>
      <c r="C2091" s="8" t="s">
        <v>20</v>
      </c>
      <c r="D2091" s="8" t="s">
        <v>37</v>
      </c>
      <c r="E2091" s="8" t="s">
        <v>11018</v>
      </c>
      <c r="F2091" s="17">
        <v>41723</v>
      </c>
      <c r="G2091" s="8" t="s">
        <v>11019</v>
      </c>
      <c r="H2091" s="8" t="s">
        <v>11020</v>
      </c>
      <c r="I2091" s="8" t="s">
        <v>69</v>
      </c>
      <c r="J2091" s="16" t="s">
        <v>11021</v>
      </c>
      <c r="K2091" s="2" t="s">
        <v>105</v>
      </c>
      <c r="L2091" s="8" t="s">
        <v>11022</v>
      </c>
      <c r="M2091" s="8" t="s">
        <v>27</v>
      </c>
      <c r="N2091" s="8" t="s">
        <v>11023</v>
      </c>
      <c r="O2091" s="8" t="s">
        <v>554</v>
      </c>
      <c r="P2091" s="8" t="s">
        <v>405</v>
      </c>
      <c r="Q2091" s="12" t="s">
        <v>11024</v>
      </c>
      <c r="R2091" s="8" t="s">
        <v>972</v>
      </c>
      <c r="S2091" s="7" t="s">
        <v>28</v>
      </c>
      <c r="T2091" s="6"/>
      <c r="U2091" s="8"/>
    </row>
    <row r="2092" spans="1:39" ht="13.5" customHeight="1">
      <c r="A2092" s="8" t="s">
        <v>11004</v>
      </c>
      <c r="B2092" s="16">
        <v>20</v>
      </c>
      <c r="C2092" s="8" t="s">
        <v>20</v>
      </c>
      <c r="D2092" s="8" t="s">
        <v>85</v>
      </c>
      <c r="E2092" s="8" t="s">
        <v>11005</v>
      </c>
      <c r="F2092" s="17">
        <v>41723</v>
      </c>
      <c r="G2092" s="8" t="s">
        <v>11006</v>
      </c>
      <c r="H2092" s="8" t="s">
        <v>3946</v>
      </c>
      <c r="I2092" s="8" t="s">
        <v>370</v>
      </c>
      <c r="J2092" s="16" t="s">
        <v>11007</v>
      </c>
      <c r="K2092" s="2" t="s">
        <v>11008</v>
      </c>
      <c r="L2092" s="8" t="s">
        <v>11009</v>
      </c>
      <c r="M2092" s="8" t="s">
        <v>27</v>
      </c>
      <c r="N2092" s="8" t="s">
        <v>11010</v>
      </c>
      <c r="O2092" s="8" t="s">
        <v>404</v>
      </c>
      <c r="P2092" s="8" t="s">
        <v>405</v>
      </c>
      <c r="Q2092" s="12" t="s">
        <v>11011</v>
      </c>
      <c r="R2092" s="8" t="s">
        <v>100</v>
      </c>
      <c r="S2092" s="7" t="s">
        <v>28</v>
      </c>
      <c r="T2092" s="6"/>
      <c r="U2092" s="8"/>
    </row>
    <row r="2093" spans="1:39" ht="13.5" customHeight="1">
      <c r="A2093" s="8" t="s">
        <v>11033</v>
      </c>
      <c r="B2093" s="16">
        <v>27</v>
      </c>
      <c r="C2093" s="8" t="s">
        <v>20</v>
      </c>
      <c r="D2093" s="8" t="s">
        <v>37</v>
      </c>
      <c r="E2093" s="8" t="s">
        <v>11034</v>
      </c>
      <c r="F2093" s="17">
        <v>41722</v>
      </c>
      <c r="G2093" s="8" t="s">
        <v>11035</v>
      </c>
      <c r="H2093" s="8" t="s">
        <v>98</v>
      </c>
      <c r="I2093" s="8" t="s">
        <v>45</v>
      </c>
      <c r="J2093" s="16" t="s">
        <v>11036</v>
      </c>
      <c r="K2093" s="2" t="s">
        <v>98</v>
      </c>
      <c r="L2093" s="8" t="s">
        <v>99</v>
      </c>
      <c r="M2093" s="8" t="s">
        <v>27</v>
      </c>
      <c r="N2093" s="8" t="s">
        <v>11037</v>
      </c>
      <c r="O2093" s="8" t="s">
        <v>1018</v>
      </c>
      <c r="P2093" s="8" t="s">
        <v>405</v>
      </c>
      <c r="Q2093" s="12" t="s">
        <v>11038</v>
      </c>
      <c r="R2093" s="8" t="s">
        <v>100</v>
      </c>
      <c r="S2093" s="7" t="s">
        <v>28</v>
      </c>
      <c r="T2093" s="6"/>
      <c r="U2093" s="8"/>
    </row>
    <row r="2094" spans="1:39" ht="13.5" customHeight="1">
      <c r="A2094" s="8" t="s">
        <v>11045</v>
      </c>
      <c r="B2094" s="16">
        <v>73</v>
      </c>
      <c r="C2094" s="8" t="s">
        <v>20</v>
      </c>
      <c r="D2094" s="8" t="s">
        <v>37</v>
      </c>
      <c r="E2094" s="8" t="s">
        <v>11046</v>
      </c>
      <c r="F2094" s="17">
        <v>41721</v>
      </c>
      <c r="G2094" s="8" t="s">
        <v>11047</v>
      </c>
      <c r="H2094" s="8" t="s">
        <v>1104</v>
      </c>
      <c r="I2094" s="8" t="s">
        <v>399</v>
      </c>
      <c r="J2094" s="16" t="s">
        <v>4087</v>
      </c>
      <c r="K2094" s="2" t="s">
        <v>1105</v>
      </c>
      <c r="L2094" s="8" t="s">
        <v>1106</v>
      </c>
      <c r="M2094" s="8" t="s">
        <v>27</v>
      </c>
      <c r="N2094" s="8" t="s">
        <v>11048</v>
      </c>
      <c r="O2094" s="8" t="s">
        <v>1018</v>
      </c>
      <c r="P2094" s="8" t="s">
        <v>405</v>
      </c>
      <c r="Q2094" s="12" t="s">
        <v>11049</v>
      </c>
      <c r="R2094" s="8" t="s">
        <v>559</v>
      </c>
      <c r="S2094" s="7" t="s">
        <v>28</v>
      </c>
      <c r="T2094" s="6"/>
      <c r="U2094" s="8"/>
    </row>
    <row r="2095" spans="1:39" ht="13.5" customHeight="1">
      <c r="A2095" s="8" t="s">
        <v>11039</v>
      </c>
      <c r="B2095" s="16">
        <v>25</v>
      </c>
      <c r="C2095" s="8" t="s">
        <v>20</v>
      </c>
      <c r="D2095" s="8" t="s">
        <v>85</v>
      </c>
      <c r="E2095" s="8" t="s">
        <v>11040</v>
      </c>
      <c r="F2095" s="17">
        <v>41721</v>
      </c>
      <c r="G2095" s="8" t="s">
        <v>11041</v>
      </c>
      <c r="H2095" s="8" t="s">
        <v>638</v>
      </c>
      <c r="I2095" s="8" t="s">
        <v>124</v>
      </c>
      <c r="J2095" s="16" t="s">
        <v>11042</v>
      </c>
      <c r="K2095" s="2" t="s">
        <v>639</v>
      </c>
      <c r="L2095" s="8" t="s">
        <v>640</v>
      </c>
      <c r="M2095" s="8" t="s">
        <v>27</v>
      </c>
      <c r="N2095" s="8" t="s">
        <v>11043</v>
      </c>
      <c r="O2095" s="8" t="s">
        <v>1018</v>
      </c>
      <c r="P2095" s="8" t="s">
        <v>405</v>
      </c>
      <c r="Q2095" s="12" t="s">
        <v>11044</v>
      </c>
      <c r="R2095" s="8" t="s">
        <v>29</v>
      </c>
      <c r="S2095" s="7" t="s">
        <v>18</v>
      </c>
      <c r="T2095" s="6"/>
      <c r="U2095" s="8"/>
      <c r="V2095" s="8"/>
      <c r="W2095" s="8"/>
      <c r="X2095" s="8"/>
    </row>
    <row r="2096" spans="1:39" ht="13.5" customHeight="1">
      <c r="A2096" s="8" t="s">
        <v>11057</v>
      </c>
      <c r="B2096" s="16">
        <v>25</v>
      </c>
      <c r="C2096" s="8" t="s">
        <v>20</v>
      </c>
      <c r="D2096" s="8" t="s">
        <v>37</v>
      </c>
      <c r="E2096" s="8" t="s">
        <v>11058</v>
      </c>
      <c r="F2096" s="17">
        <v>41720</v>
      </c>
      <c r="G2096" s="8" t="s">
        <v>11059</v>
      </c>
      <c r="H2096" s="8" t="s">
        <v>10049</v>
      </c>
      <c r="I2096" s="8" t="s">
        <v>306</v>
      </c>
      <c r="J2096" s="16" t="s">
        <v>10050</v>
      </c>
      <c r="K2096" s="2" t="s">
        <v>891</v>
      </c>
      <c r="L2096" s="8" t="s">
        <v>11060</v>
      </c>
      <c r="M2096" s="8" t="s">
        <v>27</v>
      </c>
      <c r="N2096" s="8" t="s">
        <v>11061</v>
      </c>
      <c r="O2096" s="8" t="s">
        <v>554</v>
      </c>
      <c r="P2096" s="8" t="s">
        <v>405</v>
      </c>
      <c r="Q2096" s="12" t="s">
        <v>11062</v>
      </c>
      <c r="R2096" s="8" t="s">
        <v>972</v>
      </c>
      <c r="S2096" s="7" t="s">
        <v>28</v>
      </c>
      <c r="T2096" s="6"/>
      <c r="U2096" s="8"/>
    </row>
    <row r="2097" spans="1:39" ht="13.5" customHeight="1">
      <c r="A2097" s="8" t="s">
        <v>11050</v>
      </c>
      <c r="B2097" s="16">
        <v>18</v>
      </c>
      <c r="C2097" s="8" t="s">
        <v>20</v>
      </c>
      <c r="D2097" s="8" t="s">
        <v>85</v>
      </c>
      <c r="E2097" s="8" t="s">
        <v>11051</v>
      </c>
      <c r="F2097" s="17">
        <v>41720</v>
      </c>
      <c r="G2097" s="8" t="s">
        <v>11052</v>
      </c>
      <c r="H2097" s="8" t="s">
        <v>475</v>
      </c>
      <c r="I2097" s="8" t="s">
        <v>476</v>
      </c>
      <c r="J2097" s="16" t="s">
        <v>11053</v>
      </c>
      <c r="K2097" s="2" t="s">
        <v>475</v>
      </c>
      <c r="L2097" s="8" t="s">
        <v>11054</v>
      </c>
      <c r="M2097" s="8" t="s">
        <v>27</v>
      </c>
      <c r="N2097" s="8" t="s">
        <v>11055</v>
      </c>
      <c r="O2097" s="8" t="s">
        <v>1018</v>
      </c>
      <c r="P2097" s="8" t="s">
        <v>405</v>
      </c>
      <c r="Q2097" s="12" t="s">
        <v>11056</v>
      </c>
      <c r="R2097" s="8" t="s">
        <v>100</v>
      </c>
      <c r="S2097" s="7" t="s">
        <v>28</v>
      </c>
      <c r="T2097" s="6"/>
      <c r="U2097" s="8"/>
    </row>
    <row r="2098" spans="1:39" ht="13.5" customHeight="1">
      <c r="A2098" s="8" t="s">
        <v>11080</v>
      </c>
      <c r="B2098" s="16">
        <v>51</v>
      </c>
      <c r="C2098" s="8" t="s">
        <v>20</v>
      </c>
      <c r="D2098" s="8" t="s">
        <v>85</v>
      </c>
      <c r="E2098" s="8" t="s">
        <v>11081</v>
      </c>
      <c r="F2098" s="17">
        <v>41719</v>
      </c>
      <c r="G2098" s="8" t="s">
        <v>11082</v>
      </c>
      <c r="H2098" s="8" t="s">
        <v>2045</v>
      </c>
      <c r="I2098" s="8" t="s">
        <v>323</v>
      </c>
      <c r="J2098" s="16" t="s">
        <v>11083</v>
      </c>
      <c r="K2098" s="2" t="s">
        <v>887</v>
      </c>
      <c r="L2098" s="8" t="s">
        <v>888</v>
      </c>
      <c r="M2098" s="8" t="s">
        <v>27</v>
      </c>
      <c r="N2098" s="8" t="s">
        <v>11084</v>
      </c>
      <c r="O2098" s="8" t="s">
        <v>1018</v>
      </c>
      <c r="P2098" s="8" t="s">
        <v>405</v>
      </c>
      <c r="Q2098" s="12"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2098" s="8" t="s">
        <v>972</v>
      </c>
      <c r="S2098" s="7" t="s">
        <v>28</v>
      </c>
      <c r="T2098" s="6"/>
      <c r="U2098" s="8"/>
    </row>
    <row r="2099" spans="1:39" ht="13.5" customHeight="1">
      <c r="A2099" s="8" t="s">
        <v>11085</v>
      </c>
      <c r="B2099" s="16">
        <v>28</v>
      </c>
      <c r="C2099" s="8" t="s">
        <v>20</v>
      </c>
      <c r="D2099" s="8" t="s">
        <v>48</v>
      </c>
      <c r="E2099" s="8" t="s">
        <v>11086</v>
      </c>
      <c r="F2099" s="17">
        <v>41719</v>
      </c>
      <c r="G2099" s="8" t="s">
        <v>11087</v>
      </c>
      <c r="H2099" s="8" t="s">
        <v>953</v>
      </c>
      <c r="I2099" s="8" t="s">
        <v>45</v>
      </c>
      <c r="J2099" s="16" t="s">
        <v>4058</v>
      </c>
      <c r="K2099" s="2" t="s">
        <v>953</v>
      </c>
      <c r="L2099" s="8" t="s">
        <v>954</v>
      </c>
      <c r="M2099" s="8" t="s">
        <v>27</v>
      </c>
      <c r="N2099" s="8" t="s">
        <v>11088</v>
      </c>
      <c r="O2099" s="8" t="s">
        <v>1018</v>
      </c>
      <c r="P2099" s="8" t="s">
        <v>405</v>
      </c>
      <c r="Q2099" s="12" t="s">
        <v>11089</v>
      </c>
      <c r="R2099" s="8" t="s">
        <v>559</v>
      </c>
      <c r="S2099" s="7" t="s">
        <v>28</v>
      </c>
      <c r="T2099" s="6"/>
      <c r="U2099" s="8"/>
    </row>
    <row r="2100" spans="1:39" ht="13.5" customHeight="1">
      <c r="A2100" s="8" t="s">
        <v>11075</v>
      </c>
      <c r="B2100" s="16">
        <v>45</v>
      </c>
      <c r="C2100" s="8" t="s">
        <v>20</v>
      </c>
      <c r="D2100" s="8" t="s">
        <v>85</v>
      </c>
      <c r="E2100" s="8"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2100" s="17">
        <v>41719</v>
      </c>
      <c r="G2100" s="8" t="s">
        <v>11076</v>
      </c>
      <c r="H2100" s="8" t="s">
        <v>9346</v>
      </c>
      <c r="I2100" s="8" t="s">
        <v>427</v>
      </c>
      <c r="J2100" s="16" t="s">
        <v>11077</v>
      </c>
      <c r="K2100" s="2" t="s">
        <v>585</v>
      </c>
      <c r="L2100" s="8" t="s">
        <v>9348</v>
      </c>
      <c r="M2100" s="8" t="s">
        <v>9747</v>
      </c>
      <c r="N2100" s="8" t="s">
        <v>11078</v>
      </c>
      <c r="O2100" s="8" t="s">
        <v>404</v>
      </c>
      <c r="P2100" s="8" t="s">
        <v>405</v>
      </c>
      <c r="Q2100" s="12" t="s">
        <v>11079</v>
      </c>
      <c r="R2100" s="8" t="s">
        <v>100</v>
      </c>
      <c r="S2100" s="7" t="s">
        <v>28</v>
      </c>
      <c r="T2100" s="6"/>
      <c r="U2100" s="8"/>
      <c r="V2100" s="8"/>
      <c r="W2100" s="8"/>
      <c r="X2100" s="8"/>
    </row>
    <row r="2101" spans="1:39" ht="13.5" customHeight="1">
      <c r="A2101" s="8" t="s">
        <v>11070</v>
      </c>
      <c r="B2101" s="16">
        <v>21</v>
      </c>
      <c r="C2101" s="8" t="s">
        <v>20</v>
      </c>
      <c r="D2101" s="8" t="s">
        <v>85</v>
      </c>
      <c r="F2101" s="17">
        <v>41719</v>
      </c>
      <c r="G2101" s="8" t="s">
        <v>11071</v>
      </c>
      <c r="H2101" s="8" t="s">
        <v>657</v>
      </c>
      <c r="I2101" s="8" t="s">
        <v>62</v>
      </c>
      <c r="J2101" s="16" t="s">
        <v>11072</v>
      </c>
      <c r="K2101" s="2" t="s">
        <v>658</v>
      </c>
      <c r="L2101" s="8" t="s">
        <v>659</v>
      </c>
      <c r="M2101" s="8" t="s">
        <v>27</v>
      </c>
      <c r="N2101" s="8" t="s">
        <v>11073</v>
      </c>
      <c r="O2101" s="8" t="s">
        <v>404</v>
      </c>
      <c r="P2101" s="8" t="s">
        <v>405</v>
      </c>
      <c r="Q2101" s="12" t="s">
        <v>11074</v>
      </c>
      <c r="R2101" s="8" t="s">
        <v>100</v>
      </c>
      <c r="S2101" s="7" t="s">
        <v>28</v>
      </c>
      <c r="T2101" s="6"/>
      <c r="U2101" s="8"/>
    </row>
    <row r="2102" spans="1:39" ht="13.5" customHeight="1">
      <c r="A2102" s="8" t="s">
        <v>11098</v>
      </c>
      <c r="B2102" s="16">
        <v>74</v>
      </c>
      <c r="C2102" s="8" t="s">
        <v>20</v>
      </c>
      <c r="D2102" s="8" t="s">
        <v>37</v>
      </c>
      <c r="E2102" s="8" t="s">
        <v>11099</v>
      </c>
      <c r="F2102" s="17">
        <v>41719</v>
      </c>
      <c r="G2102" s="8" t="s">
        <v>11100</v>
      </c>
      <c r="H2102" s="8" t="s">
        <v>98</v>
      </c>
      <c r="I2102" s="8" t="s">
        <v>45</v>
      </c>
      <c r="J2102" s="16">
        <v>91356</v>
      </c>
      <c r="K2102" s="2" t="s">
        <v>98</v>
      </c>
      <c r="L2102" s="8" t="s">
        <v>418</v>
      </c>
      <c r="M2102" s="8" t="s">
        <v>27</v>
      </c>
      <c r="N2102" s="8" t="s">
        <v>11101</v>
      </c>
      <c r="P2102" s="8" t="s">
        <v>405</v>
      </c>
      <c r="Q2102" s="12" t="s">
        <v>11102</v>
      </c>
      <c r="S2102" s="7" t="s">
        <v>28</v>
      </c>
      <c r="T2102" s="6"/>
      <c r="U2102" s="8"/>
    </row>
    <row r="2103" spans="1:39" ht="13.5" customHeight="1">
      <c r="A2103" s="8" t="s">
        <v>11063</v>
      </c>
      <c r="B2103" s="16">
        <v>29</v>
      </c>
      <c r="C2103" s="8" t="s">
        <v>20</v>
      </c>
      <c r="D2103" s="8" t="s">
        <v>85</v>
      </c>
      <c r="E2103" s="8" t="s">
        <v>11064</v>
      </c>
      <c r="F2103" s="17">
        <v>41719</v>
      </c>
      <c r="G2103" s="8" t="s">
        <v>11065</v>
      </c>
      <c r="H2103" s="8" t="s">
        <v>11066</v>
      </c>
      <c r="I2103" s="8" t="s">
        <v>52</v>
      </c>
      <c r="J2103" s="16" t="s">
        <v>11067</v>
      </c>
      <c r="K2103" s="2" t="s">
        <v>9830</v>
      </c>
      <c r="L2103" s="8" t="s">
        <v>703</v>
      </c>
      <c r="M2103" s="8" t="s">
        <v>27</v>
      </c>
      <c r="N2103" s="8" t="s">
        <v>11068</v>
      </c>
      <c r="O2103" s="8" t="s">
        <v>404</v>
      </c>
      <c r="P2103" s="8" t="s">
        <v>405</v>
      </c>
      <c r="Q2103" s="12" t="s">
        <v>11069</v>
      </c>
      <c r="R2103" s="8" t="s">
        <v>100</v>
      </c>
      <c r="S2103" s="7" t="s">
        <v>383</v>
      </c>
      <c r="T2103" s="6"/>
      <c r="U2103" s="8"/>
    </row>
    <row r="2104" spans="1:39" ht="13.5" customHeight="1">
      <c r="A2104" s="8" t="s">
        <v>11090</v>
      </c>
      <c r="B2104" s="16">
        <v>44</v>
      </c>
      <c r="C2104" s="8" t="s">
        <v>20</v>
      </c>
      <c r="D2104" s="8" t="s">
        <v>37</v>
      </c>
      <c r="E2104" s="8" t="s">
        <v>11091</v>
      </c>
      <c r="F2104" s="17">
        <v>41719</v>
      </c>
      <c r="G2104" s="8" t="s">
        <v>11092</v>
      </c>
      <c r="H2104" s="8" t="s">
        <v>11093</v>
      </c>
      <c r="I2104" s="8" t="s">
        <v>73</v>
      </c>
      <c r="J2104" s="16" t="s">
        <v>11094</v>
      </c>
      <c r="K2104" s="2" t="s">
        <v>2609</v>
      </c>
      <c r="L2104" s="8" t="s">
        <v>11095</v>
      </c>
      <c r="M2104" s="8" t="s">
        <v>3189</v>
      </c>
      <c r="N2104" s="8" t="s">
        <v>11096</v>
      </c>
      <c r="O2104" s="8" t="s">
        <v>29</v>
      </c>
      <c r="P2104" s="8" t="s">
        <v>405</v>
      </c>
      <c r="Q2104" s="12" t="s">
        <v>11097</v>
      </c>
      <c r="R2104" s="8" t="s">
        <v>972</v>
      </c>
      <c r="S2104" s="7" t="s">
        <v>18</v>
      </c>
      <c r="T2104" s="6"/>
      <c r="U2104" s="8"/>
    </row>
    <row r="2105" spans="1:39" ht="13.5" customHeight="1">
      <c r="A2105" s="8" t="s">
        <v>11103</v>
      </c>
      <c r="B2105" s="16">
        <v>42</v>
      </c>
      <c r="C2105" s="8" t="s">
        <v>20</v>
      </c>
      <c r="D2105" s="8" t="s">
        <v>48</v>
      </c>
      <c r="E2105" s="8" t="s">
        <v>11104</v>
      </c>
      <c r="F2105" s="17">
        <v>41718</v>
      </c>
      <c r="G2105" s="8" t="s">
        <v>11105</v>
      </c>
      <c r="H2105" s="8" t="s">
        <v>6421</v>
      </c>
      <c r="I2105" s="8" t="s">
        <v>45</v>
      </c>
      <c r="J2105" s="16" t="s">
        <v>6422</v>
      </c>
      <c r="K2105" s="2" t="s">
        <v>65</v>
      </c>
      <c r="L2105" s="8" t="s">
        <v>6423</v>
      </c>
      <c r="M2105" s="8" t="s">
        <v>27</v>
      </c>
      <c r="N2105" s="8" t="s">
        <v>11106</v>
      </c>
      <c r="O2105" s="8" t="s">
        <v>554</v>
      </c>
      <c r="P2105" s="8" t="s">
        <v>405</v>
      </c>
      <c r="Q2105" s="12" t="s">
        <v>11107</v>
      </c>
      <c r="R2105" s="8" t="s">
        <v>29</v>
      </c>
      <c r="S2105" s="7" t="s">
        <v>28</v>
      </c>
      <c r="T2105" s="6"/>
      <c r="U2105" s="8"/>
    </row>
    <row r="2106" spans="1:39" ht="13.5" customHeight="1">
      <c r="A2106" s="8" t="s">
        <v>11108</v>
      </c>
      <c r="B2106" s="16">
        <v>40</v>
      </c>
      <c r="C2106" s="8" t="s">
        <v>20</v>
      </c>
      <c r="D2106" s="8" t="s">
        <v>48</v>
      </c>
      <c r="E2106" s="8" t="s">
        <v>11109</v>
      </c>
      <c r="F2106" s="17">
        <v>41718</v>
      </c>
      <c r="G2106" s="8" t="s">
        <v>11110</v>
      </c>
      <c r="H2106" s="8" t="s">
        <v>11111</v>
      </c>
      <c r="I2106" s="8" t="s">
        <v>45</v>
      </c>
      <c r="J2106" s="16" t="s">
        <v>11112</v>
      </c>
      <c r="K2106" s="2" t="s">
        <v>65</v>
      </c>
      <c r="L2106" s="8" t="s">
        <v>11113</v>
      </c>
      <c r="M2106" s="8" t="s">
        <v>27</v>
      </c>
      <c r="N2106" s="8" t="s">
        <v>11114</v>
      </c>
      <c r="O2106" s="8" t="s">
        <v>1018</v>
      </c>
      <c r="P2106" s="8" t="s">
        <v>405</v>
      </c>
      <c r="Q2106" s="12" t="s">
        <v>11115</v>
      </c>
      <c r="R2106" s="8" t="s">
        <v>29</v>
      </c>
      <c r="S2106" s="7" t="s">
        <v>35</v>
      </c>
      <c r="T2106" s="6"/>
      <c r="U2106" s="8"/>
    </row>
    <row r="2107" spans="1:39" ht="13.5" customHeight="1">
      <c r="A2107" s="8" t="s">
        <v>11116</v>
      </c>
      <c r="B2107" s="16">
        <v>21</v>
      </c>
      <c r="C2107" s="8" t="s">
        <v>20</v>
      </c>
      <c r="D2107" s="8" t="s">
        <v>37</v>
      </c>
      <c r="E2107" s="8" t="s">
        <v>11117</v>
      </c>
      <c r="F2107" s="17">
        <v>41718</v>
      </c>
      <c r="G2107" s="8" t="s">
        <v>11118</v>
      </c>
      <c r="H2107" s="8" t="s">
        <v>1896</v>
      </c>
      <c r="I2107" s="8" t="s">
        <v>45</v>
      </c>
      <c r="J2107" s="16" t="s">
        <v>1897</v>
      </c>
      <c r="K2107" s="2" t="s">
        <v>1070</v>
      </c>
      <c r="L2107" s="8" t="s">
        <v>1898</v>
      </c>
      <c r="M2107" s="8" t="s">
        <v>27</v>
      </c>
      <c r="N2107" s="8" t="s">
        <v>11119</v>
      </c>
      <c r="O2107" s="8" t="s">
        <v>554</v>
      </c>
      <c r="P2107" s="8" t="s">
        <v>405</v>
      </c>
      <c r="Q2107" s="12" t="str">
        <f>HYPERLINK("http://blogs.ocweekly.com/navelgazing/2014/03/police_shooting_in_anaheim_lea.php?page=2","http://blogs.ocweekly.com/navelgazing/2014/03/police_shooting_in_anaheim_lea.php?page=2")</f>
        <v>http://blogs.ocweekly.com/navelgazing/2014/03/police_shooting_in_anaheim_lea.php?page=2</v>
      </c>
      <c r="R2107" s="8" t="s">
        <v>100</v>
      </c>
      <c r="S2107" s="7" t="s">
        <v>28</v>
      </c>
      <c r="T2107" s="6"/>
      <c r="U2107" s="8"/>
      <c r="Y2107" s="8"/>
      <c r="Z2107" s="8"/>
      <c r="AA2107" s="8"/>
      <c r="AB2107" s="8"/>
      <c r="AC2107" s="8"/>
      <c r="AD2107" s="8"/>
      <c r="AE2107" s="8"/>
      <c r="AF2107" s="8"/>
      <c r="AG2107" s="8"/>
      <c r="AH2107" s="8"/>
    </row>
    <row r="2108" spans="1:39" ht="13.5" customHeight="1">
      <c r="A2108" s="8" t="s">
        <v>11120</v>
      </c>
      <c r="B2108" s="16">
        <v>30</v>
      </c>
      <c r="C2108" s="8" t="s">
        <v>20</v>
      </c>
      <c r="D2108" s="8" t="s">
        <v>37</v>
      </c>
      <c r="E2108" s="8" t="s">
        <v>11121</v>
      </c>
      <c r="F2108" s="17">
        <v>41718</v>
      </c>
      <c r="G2108" s="8" t="s">
        <v>11122</v>
      </c>
      <c r="H2108" s="8" t="s">
        <v>1643</v>
      </c>
      <c r="I2108" s="8" t="s">
        <v>467</v>
      </c>
      <c r="J2108" s="16" t="s">
        <v>4153</v>
      </c>
      <c r="K2108" s="2" t="s">
        <v>946</v>
      </c>
      <c r="L2108" s="8" t="s">
        <v>2273</v>
      </c>
      <c r="M2108" s="8" t="s">
        <v>27</v>
      </c>
      <c r="N2108" s="8" t="s">
        <v>11123</v>
      </c>
      <c r="O2108" s="8" t="s">
        <v>554</v>
      </c>
      <c r="P2108" s="8" t="s">
        <v>405</v>
      </c>
      <c r="Q2108" s="12" t="str">
        <f>HYPERLINK("http://www.ketv.com/news/police-id-man-killed-in-officer-involved-shooting/25060968#!bIoKti","http://www.ketv.com/news/police-id-man-killed-in-officer-involved-shooting/25060968#!bIoKti")</f>
        <v>http://www.ketv.com/news/police-id-man-killed-in-officer-involved-shooting/25060968#!bIoKti</v>
      </c>
      <c r="R2108" s="8" t="s">
        <v>972</v>
      </c>
      <c r="S2108" s="7" t="s">
        <v>28</v>
      </c>
      <c r="T2108" s="6"/>
      <c r="U2108" s="8"/>
    </row>
    <row r="2109" spans="1:39" ht="13.5" customHeight="1">
      <c r="A2109" s="8" t="s">
        <v>11124</v>
      </c>
      <c r="B2109" s="16">
        <v>34</v>
      </c>
      <c r="C2109" s="8" t="s">
        <v>20</v>
      </c>
      <c r="D2109" s="8" t="s">
        <v>21</v>
      </c>
      <c r="E2109" s="8" t="s">
        <v>11125</v>
      </c>
      <c r="F2109" s="17">
        <v>41717</v>
      </c>
      <c r="G2109" s="8" t="s">
        <v>11126</v>
      </c>
      <c r="H2109" s="8" t="s">
        <v>11127</v>
      </c>
      <c r="I2109" s="8" t="s">
        <v>45</v>
      </c>
      <c r="J2109" s="16" t="s">
        <v>11128</v>
      </c>
      <c r="K2109" s="2" t="s">
        <v>4689</v>
      </c>
      <c r="L2109" s="8" t="s">
        <v>11129</v>
      </c>
      <c r="M2109" s="8" t="s">
        <v>27</v>
      </c>
      <c r="N2109" s="8" t="s">
        <v>11130</v>
      </c>
      <c r="O2109" s="8" t="s">
        <v>554</v>
      </c>
      <c r="P2109" s="8" t="s">
        <v>405</v>
      </c>
      <c r="Q2109" s="12" t="s">
        <v>11131</v>
      </c>
      <c r="R2109" s="8" t="s">
        <v>559</v>
      </c>
      <c r="S2109" s="7" t="s">
        <v>28</v>
      </c>
      <c r="T2109" s="6"/>
      <c r="U2109" s="8"/>
      <c r="AI2109" s="8"/>
      <c r="AJ2109" s="8"/>
      <c r="AK2109" s="8"/>
      <c r="AL2109" s="8"/>
      <c r="AM2109" s="8"/>
    </row>
    <row r="2110" spans="1:39" ht="13.5" customHeight="1">
      <c r="A2110" s="8" t="s">
        <v>11132</v>
      </c>
      <c r="B2110" s="16">
        <v>50</v>
      </c>
      <c r="C2110" s="8" t="s">
        <v>20</v>
      </c>
      <c r="D2110" s="8" t="s">
        <v>37</v>
      </c>
      <c r="E2110" s="8" t="s">
        <v>11133</v>
      </c>
      <c r="F2110" s="17">
        <v>41717</v>
      </c>
      <c r="G2110" s="8" t="s">
        <v>11134</v>
      </c>
      <c r="H2110" s="8" t="s">
        <v>3871</v>
      </c>
      <c r="I2110" s="8" t="s">
        <v>212</v>
      </c>
      <c r="J2110" s="16" t="s">
        <v>11135</v>
      </c>
      <c r="K2110" s="2" t="s">
        <v>1941</v>
      </c>
      <c r="L2110" s="8" t="s">
        <v>3874</v>
      </c>
      <c r="M2110" s="8" t="s">
        <v>27</v>
      </c>
      <c r="N2110" s="8" t="s">
        <v>11136</v>
      </c>
      <c r="O2110" s="8" t="s">
        <v>554</v>
      </c>
      <c r="P2110" s="8" t="s">
        <v>405</v>
      </c>
      <c r="Q2110" s="12" t="s">
        <v>11137</v>
      </c>
      <c r="R2110" s="8" t="s">
        <v>972</v>
      </c>
      <c r="S2110" s="7" t="s">
        <v>28</v>
      </c>
      <c r="T2110" s="6"/>
      <c r="U2110" s="8"/>
      <c r="Y2110" s="8"/>
      <c r="Z2110" s="8"/>
      <c r="AA2110" s="8"/>
      <c r="AB2110" s="8"/>
      <c r="AC2110" s="8"/>
      <c r="AD2110" s="8"/>
      <c r="AE2110" s="8"/>
      <c r="AF2110" s="8"/>
      <c r="AG2110" s="8"/>
      <c r="AH2110" s="8"/>
    </row>
    <row r="2111" spans="1:39" ht="13.5" customHeight="1">
      <c r="A2111" s="8" t="s">
        <v>11154</v>
      </c>
      <c r="B2111" s="16">
        <v>26</v>
      </c>
      <c r="C2111" s="8" t="s">
        <v>20</v>
      </c>
      <c r="D2111" s="8" t="s">
        <v>37</v>
      </c>
      <c r="E2111" s="8" t="s">
        <v>11155</v>
      </c>
      <c r="F2111" s="17">
        <v>41716</v>
      </c>
      <c r="G2111" s="8" t="s">
        <v>11156</v>
      </c>
      <c r="H2111" s="8" t="s">
        <v>638</v>
      </c>
      <c r="I2111" s="8" t="s">
        <v>124</v>
      </c>
      <c r="J2111" s="16" t="s">
        <v>11157</v>
      </c>
      <c r="K2111" s="2" t="s">
        <v>639</v>
      </c>
      <c r="L2111" s="8" t="s">
        <v>640</v>
      </c>
      <c r="M2111" s="8" t="s">
        <v>27</v>
      </c>
      <c r="N2111" s="8" t="s">
        <v>11158</v>
      </c>
      <c r="O2111" s="8" t="s">
        <v>554</v>
      </c>
      <c r="P2111" s="8" t="s">
        <v>405</v>
      </c>
      <c r="Q2111" s="12" t="s">
        <v>11159</v>
      </c>
      <c r="R2111" s="8" t="s">
        <v>100</v>
      </c>
      <c r="S2111" s="7" t="s">
        <v>18</v>
      </c>
      <c r="T2111" s="6"/>
      <c r="U2111" s="8"/>
      <c r="V2111" s="8"/>
      <c r="W2111" s="8"/>
      <c r="X2111" s="8"/>
    </row>
    <row r="2112" spans="1:39" ht="13.5" customHeight="1">
      <c r="A2112" s="8" t="s">
        <v>11138</v>
      </c>
      <c r="B2112" s="16">
        <v>19</v>
      </c>
      <c r="C2112" s="8" t="s">
        <v>20</v>
      </c>
      <c r="D2112" s="8" t="s">
        <v>85</v>
      </c>
      <c r="F2112" s="17">
        <v>41716</v>
      </c>
      <c r="G2112" s="8" t="s">
        <v>11139</v>
      </c>
      <c r="H2112" s="8" t="s">
        <v>119</v>
      </c>
      <c r="I2112" s="8" t="s">
        <v>3709</v>
      </c>
      <c r="J2112" s="16" t="s">
        <v>11140</v>
      </c>
      <c r="K2112" s="2" t="s">
        <v>3711</v>
      </c>
      <c r="L2112" s="8" t="s">
        <v>11141</v>
      </c>
      <c r="M2112" s="8" t="s">
        <v>27</v>
      </c>
      <c r="N2112" s="8" t="s">
        <v>11142</v>
      </c>
      <c r="O2112" s="8" t="s">
        <v>1018</v>
      </c>
      <c r="P2112" s="8" t="s">
        <v>405</v>
      </c>
      <c r="Q2112" s="12"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2112" s="8" t="s">
        <v>100</v>
      </c>
      <c r="S2112" s="7" t="s">
        <v>28</v>
      </c>
      <c r="T2112" s="6"/>
      <c r="U2112" s="8"/>
    </row>
    <row r="2113" spans="1:39" ht="13.5" customHeight="1">
      <c r="A2113" s="8" t="s">
        <v>11148</v>
      </c>
      <c r="B2113" s="16">
        <v>21</v>
      </c>
      <c r="C2113" s="8" t="s">
        <v>20</v>
      </c>
      <c r="D2113" s="8" t="s">
        <v>37</v>
      </c>
      <c r="E2113" s="8" t="str">
        <f>HYPERLINK("http://www.peacefulalternatives.com/fh/obituaries/obituary.cfm?o_id=2458194&amp;fh_id=14153","http://www.peacefulalternatives.com/fh/obituaries/obituary.cfm?o_id=2458194&amp;fh_id=14153")</f>
        <v>http://www.peacefulalternatives.com/fh/obituaries/obituary.cfm?o_id=2458194&amp;fh_id=14153</v>
      </c>
      <c r="F2113" s="17">
        <v>41716</v>
      </c>
      <c r="G2113" s="8" t="s">
        <v>11149</v>
      </c>
      <c r="H2113" s="8" t="s">
        <v>11150</v>
      </c>
      <c r="I2113" s="8" t="s">
        <v>52</v>
      </c>
      <c r="J2113" s="16" t="s">
        <v>11151</v>
      </c>
      <c r="K2113" s="2" t="s">
        <v>1608</v>
      </c>
      <c r="L2113" s="8" t="s">
        <v>234</v>
      </c>
      <c r="M2113" s="8" t="s">
        <v>27</v>
      </c>
      <c r="N2113" s="8" t="s">
        <v>11152</v>
      </c>
      <c r="O2113" s="8" t="s">
        <v>1018</v>
      </c>
      <c r="P2113" s="8" t="s">
        <v>405</v>
      </c>
      <c r="Q2113" s="12" t="s">
        <v>11153</v>
      </c>
      <c r="R2113" s="8" t="s">
        <v>29</v>
      </c>
      <c r="S2113" s="7" t="s">
        <v>28</v>
      </c>
      <c r="T2113" s="6"/>
      <c r="U2113" s="8"/>
    </row>
    <row r="2114" spans="1:39" ht="13.5" customHeight="1">
      <c r="A2114" s="8" t="s">
        <v>11143</v>
      </c>
      <c r="B2114" s="16">
        <v>32</v>
      </c>
      <c r="C2114" s="8" t="s">
        <v>20</v>
      </c>
      <c r="D2114" s="8" t="s">
        <v>85</v>
      </c>
      <c r="E2114" s="8" t="s">
        <v>11144</v>
      </c>
      <c r="F2114" s="17">
        <v>41716</v>
      </c>
      <c r="G2114" s="8" t="s">
        <v>11145</v>
      </c>
      <c r="H2114" s="8" t="s">
        <v>3946</v>
      </c>
      <c r="I2114" s="8" t="s">
        <v>52</v>
      </c>
      <c r="J2114" s="16" t="s">
        <v>3947</v>
      </c>
      <c r="K2114" s="2" t="s">
        <v>3948</v>
      </c>
      <c r="L2114" s="8" t="s">
        <v>703</v>
      </c>
      <c r="M2114" s="8" t="s">
        <v>27</v>
      </c>
      <c r="N2114" s="8" t="s">
        <v>11146</v>
      </c>
      <c r="O2114" s="8" t="s">
        <v>1018</v>
      </c>
      <c r="P2114" s="8" t="s">
        <v>405</v>
      </c>
      <c r="Q2114" s="12" t="s">
        <v>11147</v>
      </c>
      <c r="R2114" s="8" t="s">
        <v>100</v>
      </c>
      <c r="S2114" s="7" t="s">
        <v>28</v>
      </c>
      <c r="T2114" s="6"/>
      <c r="U2114" s="8"/>
    </row>
    <row r="2115" spans="1:39" ht="13.5" customHeight="1">
      <c r="A2115" s="8" t="s">
        <v>11160</v>
      </c>
      <c r="B2115" s="16">
        <v>26</v>
      </c>
      <c r="C2115" s="8" t="s">
        <v>20</v>
      </c>
      <c r="D2115" s="8" t="s">
        <v>85</v>
      </c>
      <c r="E2115" s="8" t="s">
        <v>11161</v>
      </c>
      <c r="F2115" s="17">
        <v>41715</v>
      </c>
      <c r="G2115" s="8" t="s">
        <v>11162</v>
      </c>
      <c r="H2115" s="8" t="s">
        <v>731</v>
      </c>
      <c r="I2115" s="8" t="s">
        <v>73</v>
      </c>
      <c r="J2115" s="16" t="s">
        <v>6913</v>
      </c>
      <c r="K2115" s="2" t="s">
        <v>562</v>
      </c>
      <c r="L2115" s="8" t="s">
        <v>732</v>
      </c>
      <c r="M2115" s="8" t="s">
        <v>27</v>
      </c>
      <c r="N2115" s="8" t="s">
        <v>11163</v>
      </c>
      <c r="O2115" s="8" t="s">
        <v>1018</v>
      </c>
      <c r="P2115" s="8" t="s">
        <v>405</v>
      </c>
      <c r="Q2115" s="12" t="s">
        <v>11164</v>
      </c>
      <c r="R2115" s="8" t="s">
        <v>559</v>
      </c>
      <c r="S2115" s="7" t="s">
        <v>18</v>
      </c>
      <c r="T2115" s="6"/>
      <c r="U2115" s="8"/>
    </row>
    <row r="2116" spans="1:39" ht="13.5" customHeight="1">
      <c r="A2116" s="8" t="s">
        <v>11165</v>
      </c>
      <c r="B2116" s="16">
        <v>52</v>
      </c>
      <c r="C2116" s="8" t="s">
        <v>20</v>
      </c>
      <c r="D2116" s="8" t="s">
        <v>30</v>
      </c>
      <c r="F2116" s="17">
        <v>41715</v>
      </c>
      <c r="G2116" s="8" t="s">
        <v>11166</v>
      </c>
      <c r="H2116" s="8" t="s">
        <v>9464</v>
      </c>
      <c r="I2116" s="8" t="s">
        <v>175</v>
      </c>
      <c r="J2116" s="16" t="s">
        <v>11167</v>
      </c>
      <c r="K2116" s="2" t="s">
        <v>9466</v>
      </c>
      <c r="L2116" s="8" t="s">
        <v>11168</v>
      </c>
      <c r="M2116" s="8" t="s">
        <v>27</v>
      </c>
      <c r="N2116" s="8" t="s">
        <v>11169</v>
      </c>
      <c r="O2116" s="8" t="s">
        <v>554</v>
      </c>
      <c r="P2116" s="8" t="s">
        <v>405</v>
      </c>
      <c r="Q2116" s="12" t="str">
        <f>HYPERLINK("http://www.ajc.com/news/news/local/man-shot-and-killed-by-forsyth-county-deputies/nfFC8/","http://www.ajc.com/news/news/local/man-shot-and-killed-by-forsyth-county-deputies/nfFC8/")</f>
        <v>http://www.ajc.com/news/news/local/man-shot-and-killed-by-forsyth-county-deputies/nfFC8/</v>
      </c>
      <c r="R2116" s="8" t="s">
        <v>100</v>
      </c>
      <c r="S2116" s="7" t="s">
        <v>28</v>
      </c>
      <c r="T2116" s="6"/>
      <c r="U2116" s="8"/>
    </row>
    <row r="2117" spans="1:39" ht="13.5" customHeight="1">
      <c r="A2117" s="8" t="s">
        <v>11170</v>
      </c>
      <c r="B2117" s="16">
        <v>29</v>
      </c>
      <c r="C2117" s="8" t="s">
        <v>20</v>
      </c>
      <c r="D2117" s="8" t="s">
        <v>37</v>
      </c>
      <c r="F2117" s="17">
        <v>41715</v>
      </c>
      <c r="G2117" s="8" t="s">
        <v>11171</v>
      </c>
      <c r="H2117" s="8" t="s">
        <v>9731</v>
      </c>
      <c r="I2117" s="8" t="s">
        <v>427</v>
      </c>
      <c r="J2117" s="16" t="s">
        <v>9732</v>
      </c>
      <c r="K2117" s="2" t="s">
        <v>2489</v>
      </c>
      <c r="L2117" s="8" t="s">
        <v>11172</v>
      </c>
      <c r="M2117" s="8" t="s">
        <v>27</v>
      </c>
      <c r="N2117" s="8" t="s">
        <v>11173</v>
      </c>
      <c r="O2117" s="8" t="s">
        <v>1018</v>
      </c>
      <c r="P2117" s="8" t="s">
        <v>405</v>
      </c>
      <c r="Q2117" s="12" t="s">
        <v>11174</v>
      </c>
      <c r="R2117" s="8" t="s">
        <v>972</v>
      </c>
      <c r="S2117" s="7" t="s">
        <v>28</v>
      </c>
      <c r="T2117" s="6"/>
      <c r="U2117" s="8"/>
    </row>
    <row r="2118" spans="1:39" ht="13.5" customHeight="1">
      <c r="A2118" s="8" t="s">
        <v>11194</v>
      </c>
      <c r="B2118" s="16" t="s">
        <v>11195</v>
      </c>
      <c r="C2118" s="8" t="s">
        <v>20</v>
      </c>
      <c r="D2118" s="8" t="s">
        <v>37</v>
      </c>
      <c r="F2118" s="17">
        <v>41714</v>
      </c>
      <c r="G2118" s="8" t="s">
        <v>11196</v>
      </c>
      <c r="H2118" s="8" t="s">
        <v>930</v>
      </c>
      <c r="I2118" s="8" t="s">
        <v>198</v>
      </c>
      <c r="J2118" s="16" t="s">
        <v>8536</v>
      </c>
      <c r="K2118" s="2" t="s">
        <v>471</v>
      </c>
      <c r="L2118" s="8" t="s">
        <v>5024</v>
      </c>
      <c r="M2118" s="8" t="s">
        <v>27</v>
      </c>
      <c r="N2118" s="8" t="s">
        <v>11197</v>
      </c>
      <c r="O2118" s="8" t="s">
        <v>1170</v>
      </c>
      <c r="P2118" s="8" t="s">
        <v>1171</v>
      </c>
      <c r="Q2118" s="12" t="s">
        <v>10223</v>
      </c>
      <c r="R2118" s="8" t="s">
        <v>559</v>
      </c>
      <c r="S2118" s="7" t="s">
        <v>28</v>
      </c>
      <c r="T2118" s="6"/>
      <c r="U2118" s="8"/>
      <c r="Y2118" s="8"/>
      <c r="Z2118" s="8"/>
      <c r="AA2118" s="8"/>
      <c r="AB2118" s="8"/>
      <c r="AC2118" s="8"/>
      <c r="AD2118" s="8"/>
      <c r="AE2118" s="8"/>
      <c r="AF2118" s="8"/>
      <c r="AG2118" s="8"/>
      <c r="AH2118" s="8"/>
    </row>
    <row r="2119" spans="1:39" ht="13.5" customHeight="1">
      <c r="A2119" s="8" t="s">
        <v>11198</v>
      </c>
      <c r="B2119" s="16">
        <v>28</v>
      </c>
      <c r="C2119" s="8" t="s">
        <v>20</v>
      </c>
      <c r="D2119" s="8" t="s">
        <v>37</v>
      </c>
      <c r="E2119" s="8" t="s">
        <v>11199</v>
      </c>
      <c r="F2119" s="17">
        <v>41714</v>
      </c>
      <c r="G2119" s="8" t="s">
        <v>11200</v>
      </c>
      <c r="H2119" s="8" t="s">
        <v>1015</v>
      </c>
      <c r="I2119" s="8" t="s">
        <v>69</v>
      </c>
      <c r="J2119" s="16" t="s">
        <v>11201</v>
      </c>
      <c r="K2119" s="2" t="s">
        <v>2615</v>
      </c>
      <c r="L2119" s="8" t="s">
        <v>11202</v>
      </c>
      <c r="M2119" s="8" t="s">
        <v>27</v>
      </c>
      <c r="N2119" s="8" t="s">
        <v>11203</v>
      </c>
      <c r="O2119" s="8" t="s">
        <v>404</v>
      </c>
      <c r="P2119" s="8" t="s">
        <v>405</v>
      </c>
      <c r="Q2119" s="12" t="s">
        <v>11204</v>
      </c>
      <c r="R2119" s="8" t="s">
        <v>100</v>
      </c>
      <c r="S2119" s="7" t="s">
        <v>18</v>
      </c>
      <c r="T2119" s="6"/>
      <c r="U2119" s="8"/>
    </row>
    <row r="2120" spans="1:39" ht="13.5" customHeight="1">
      <c r="A2120" s="8" t="s">
        <v>11180</v>
      </c>
      <c r="B2120" s="16">
        <v>47</v>
      </c>
      <c r="C2120" s="8" t="s">
        <v>20</v>
      </c>
      <c r="D2120" s="8" t="s">
        <v>85</v>
      </c>
      <c r="E2120" s="8" t="s">
        <v>11181</v>
      </c>
      <c r="F2120" s="17">
        <v>41714</v>
      </c>
      <c r="G2120" s="8" t="s">
        <v>11182</v>
      </c>
      <c r="H2120" s="8" t="s">
        <v>11183</v>
      </c>
      <c r="I2120" s="8" t="s">
        <v>399</v>
      </c>
      <c r="J2120" s="16" t="s">
        <v>11184</v>
      </c>
      <c r="K2120" s="2" t="s">
        <v>11185</v>
      </c>
      <c r="L2120" s="8" t="s">
        <v>11186</v>
      </c>
      <c r="M2120" s="8" t="s">
        <v>27</v>
      </c>
      <c r="N2120" s="8" t="s">
        <v>11187</v>
      </c>
      <c r="O2120" s="8" t="s">
        <v>554</v>
      </c>
      <c r="P2120" s="8" t="s">
        <v>405</v>
      </c>
      <c r="Q2120" s="12" t="s">
        <v>11188</v>
      </c>
      <c r="R2120" s="8" t="s">
        <v>559</v>
      </c>
      <c r="S2120" s="7" t="s">
        <v>28</v>
      </c>
      <c r="T2120" s="6"/>
      <c r="U2120" s="8"/>
    </row>
    <row r="2121" spans="1:39" ht="13.5" customHeight="1">
      <c r="A2121" s="8" t="s">
        <v>11175</v>
      </c>
      <c r="B2121" s="16">
        <v>51</v>
      </c>
      <c r="C2121" s="8" t="s">
        <v>20</v>
      </c>
      <c r="D2121" s="8" t="s">
        <v>21</v>
      </c>
      <c r="E2121" s="8" t="s">
        <v>11176</v>
      </c>
      <c r="F2121" s="17">
        <v>41714</v>
      </c>
      <c r="G2121" s="8" t="s">
        <v>11177</v>
      </c>
      <c r="H2121" s="8" t="s">
        <v>1835</v>
      </c>
      <c r="I2121" s="8" t="s">
        <v>62</v>
      </c>
      <c r="J2121" s="16" t="s">
        <v>4437</v>
      </c>
      <c r="K2121" s="2" t="s">
        <v>1134</v>
      </c>
      <c r="L2121" s="8" t="s">
        <v>4438</v>
      </c>
      <c r="M2121" s="8" t="s">
        <v>27</v>
      </c>
      <c r="N2121" s="8" t="s">
        <v>11178</v>
      </c>
      <c r="O2121" s="8" t="s">
        <v>1018</v>
      </c>
      <c r="P2121" s="8" t="s">
        <v>405</v>
      </c>
      <c r="Q2121" s="12" t="s">
        <v>11179</v>
      </c>
      <c r="R2121" s="8" t="s">
        <v>100</v>
      </c>
      <c r="S2121" s="7" t="s">
        <v>28</v>
      </c>
      <c r="T2121" s="6"/>
      <c r="U2121" s="8"/>
      <c r="AI2121" s="8"/>
      <c r="AJ2121" s="8"/>
      <c r="AK2121" s="8"/>
      <c r="AL2121" s="8"/>
      <c r="AM2121" s="8"/>
    </row>
    <row r="2122" spans="1:39" ht="13.5" customHeight="1">
      <c r="A2122" s="8" t="s">
        <v>11189</v>
      </c>
      <c r="B2122" s="16">
        <v>50</v>
      </c>
      <c r="C2122" s="8" t="s">
        <v>20</v>
      </c>
      <c r="D2122" s="8" t="s">
        <v>30</v>
      </c>
      <c r="F2122" s="17">
        <v>41714</v>
      </c>
      <c r="G2122" s="8" t="s">
        <v>11190</v>
      </c>
      <c r="H2122" s="8" t="s">
        <v>6616</v>
      </c>
      <c r="I2122" s="8" t="s">
        <v>272</v>
      </c>
      <c r="J2122" s="16" t="s">
        <v>11191</v>
      </c>
      <c r="K2122" s="2" t="s">
        <v>574</v>
      </c>
      <c r="L2122" s="8" t="s">
        <v>575</v>
      </c>
      <c r="M2122" s="8" t="s">
        <v>27</v>
      </c>
      <c r="N2122" s="8" t="s">
        <v>11192</v>
      </c>
      <c r="O2122" s="8" t="s">
        <v>1018</v>
      </c>
      <c r="P2122" s="8" t="s">
        <v>405</v>
      </c>
      <c r="Q2122" s="12" t="s">
        <v>11193</v>
      </c>
      <c r="R2122" s="8" t="s">
        <v>29</v>
      </c>
      <c r="S2122" s="7" t="s">
        <v>28</v>
      </c>
      <c r="T2122" s="6"/>
      <c r="U2122" s="8"/>
    </row>
    <row r="2123" spans="1:39" ht="13.5" customHeight="1">
      <c r="A2123" s="8" t="s">
        <v>11205</v>
      </c>
      <c r="B2123" s="16">
        <v>36</v>
      </c>
      <c r="C2123" s="8" t="s">
        <v>20</v>
      </c>
      <c r="D2123" s="8" t="s">
        <v>37</v>
      </c>
      <c r="E2123" s="8" t="s">
        <v>11206</v>
      </c>
      <c r="F2123" s="17">
        <v>41712</v>
      </c>
      <c r="G2123" s="8" t="s">
        <v>11207</v>
      </c>
      <c r="H2123" s="8" t="s">
        <v>11208</v>
      </c>
      <c r="I2123" s="8" t="s">
        <v>306</v>
      </c>
      <c r="J2123" s="16" t="s">
        <v>11209</v>
      </c>
      <c r="K2123" s="2" t="s">
        <v>574</v>
      </c>
      <c r="L2123" s="8" t="s">
        <v>11210</v>
      </c>
      <c r="M2123" s="8" t="s">
        <v>27</v>
      </c>
      <c r="N2123" s="8" t="s">
        <v>11211</v>
      </c>
      <c r="O2123" s="8" t="s">
        <v>1018</v>
      </c>
      <c r="P2123" s="8" t="s">
        <v>405</v>
      </c>
      <c r="Q2123" s="12" t="s">
        <v>11212</v>
      </c>
      <c r="R2123" s="8" t="s">
        <v>100</v>
      </c>
      <c r="S2123" s="7" t="s">
        <v>28</v>
      </c>
      <c r="T2123" s="6"/>
      <c r="U2123" s="8"/>
    </row>
    <row r="2124" spans="1:39" ht="13.5" customHeight="1">
      <c r="A2124" s="8" t="s">
        <v>11213</v>
      </c>
      <c r="B2124" s="16">
        <v>60</v>
      </c>
      <c r="C2124" s="8" t="s">
        <v>20</v>
      </c>
      <c r="D2124" s="8" t="s">
        <v>37</v>
      </c>
      <c r="E2124" s="8" t="s">
        <v>11214</v>
      </c>
      <c r="F2124" s="17">
        <v>41712</v>
      </c>
      <c r="G2124" s="8" t="s">
        <v>11215</v>
      </c>
      <c r="H2124" s="8" t="s">
        <v>7741</v>
      </c>
      <c r="I2124" s="8" t="s">
        <v>62</v>
      </c>
      <c r="J2124" s="16" t="s">
        <v>7742</v>
      </c>
      <c r="K2124" s="2" t="s">
        <v>51</v>
      </c>
      <c r="L2124" s="8" t="s">
        <v>11216</v>
      </c>
      <c r="M2124" s="8" t="s">
        <v>27</v>
      </c>
      <c r="N2124" s="8" t="s">
        <v>11217</v>
      </c>
      <c r="O2124" s="8" t="s">
        <v>554</v>
      </c>
      <c r="P2124" s="8" t="s">
        <v>405</v>
      </c>
      <c r="Q2124" s="12" t="str">
        <f>HYPERLINK("http://www.firstcoastnews.com/story/news/crime/2014/03/15/lake-city-killed-police/6457449/","http://www.firstcoastnews.com/story/news/crime/2014/03/15/lake-city-killed-police/6457449/")</f>
        <v>http://www.firstcoastnews.com/story/news/crime/2014/03/15/lake-city-killed-police/6457449/</v>
      </c>
      <c r="R2124" s="8" t="s">
        <v>100</v>
      </c>
      <c r="S2124" s="7" t="s">
        <v>28</v>
      </c>
      <c r="T2124" s="6"/>
      <c r="U2124" s="8"/>
    </row>
    <row r="2125" spans="1:39" ht="13.5" customHeight="1">
      <c r="A2125" s="8" t="s">
        <v>11218</v>
      </c>
      <c r="B2125" s="16">
        <v>26</v>
      </c>
      <c r="C2125" s="8" t="s">
        <v>20</v>
      </c>
      <c r="D2125" s="8" t="s">
        <v>48</v>
      </c>
      <c r="F2125" s="17">
        <v>41711</v>
      </c>
      <c r="G2125" s="8" t="s">
        <v>11219</v>
      </c>
      <c r="H2125" s="8" t="s">
        <v>638</v>
      </c>
      <c r="I2125" s="8" t="s">
        <v>124</v>
      </c>
      <c r="J2125" s="16" t="s">
        <v>6461</v>
      </c>
      <c r="K2125" s="2" t="s">
        <v>639</v>
      </c>
      <c r="L2125" s="8" t="s">
        <v>640</v>
      </c>
      <c r="M2125" s="8" t="s">
        <v>27</v>
      </c>
      <c r="N2125" s="8" t="s">
        <v>11220</v>
      </c>
      <c r="O2125" s="8" t="s">
        <v>1018</v>
      </c>
      <c r="P2125" s="8" t="s">
        <v>405</v>
      </c>
      <c r="Q2125" s="12" t="s">
        <v>11221</v>
      </c>
      <c r="R2125" s="8" t="s">
        <v>559</v>
      </c>
      <c r="S2125" s="7" t="s">
        <v>18</v>
      </c>
      <c r="T2125" s="6"/>
      <c r="U2125" s="8"/>
      <c r="V2125" s="8"/>
      <c r="W2125" s="8"/>
      <c r="X2125" s="8"/>
    </row>
    <row r="2126" spans="1:39" ht="13.5" customHeight="1">
      <c r="A2126" s="8" t="s">
        <v>11222</v>
      </c>
      <c r="B2126" s="16">
        <v>60</v>
      </c>
      <c r="C2126" s="8" t="s">
        <v>20</v>
      </c>
      <c r="D2126" s="8" t="s">
        <v>30</v>
      </c>
      <c r="F2126" s="17">
        <v>41711</v>
      </c>
      <c r="G2126" s="8" t="s">
        <v>11223</v>
      </c>
      <c r="H2126" s="8" t="s">
        <v>11224</v>
      </c>
      <c r="I2126" s="8" t="s">
        <v>45</v>
      </c>
      <c r="J2126" s="16" t="s">
        <v>11225</v>
      </c>
      <c r="K2126" s="2" t="s">
        <v>7663</v>
      </c>
      <c r="L2126" s="8" t="s">
        <v>11226</v>
      </c>
      <c r="M2126" s="8" t="s">
        <v>27</v>
      </c>
      <c r="N2126" s="8" t="s">
        <v>11227</v>
      </c>
      <c r="O2126" s="8" t="s">
        <v>1018</v>
      </c>
      <c r="P2126" s="8" t="s">
        <v>405</v>
      </c>
      <c r="Q2126" s="12" t="s">
        <v>11228</v>
      </c>
      <c r="R2126" s="8" t="s">
        <v>559</v>
      </c>
      <c r="S2126" s="7" t="s">
        <v>28</v>
      </c>
      <c r="T2126" s="6"/>
      <c r="U2126" s="8"/>
      <c r="V2126" s="8"/>
      <c r="W2126" s="8"/>
      <c r="X2126" s="8"/>
    </row>
    <row r="2127" spans="1:39" ht="13.5" customHeight="1">
      <c r="A2127" s="8" t="s">
        <v>11229</v>
      </c>
      <c r="B2127" s="16">
        <v>25</v>
      </c>
      <c r="C2127" s="8" t="s">
        <v>20</v>
      </c>
      <c r="D2127" s="8" t="s">
        <v>37</v>
      </c>
      <c r="F2127" s="17">
        <v>41710</v>
      </c>
      <c r="G2127" s="8" t="s">
        <v>11230</v>
      </c>
      <c r="H2127" s="8" t="s">
        <v>2918</v>
      </c>
      <c r="I2127" s="8" t="s">
        <v>45</v>
      </c>
      <c r="J2127" s="16">
        <v>92346</v>
      </c>
      <c r="K2127" s="2" t="s">
        <v>313</v>
      </c>
      <c r="L2127" s="8" t="s">
        <v>314</v>
      </c>
      <c r="M2127" s="8" t="s">
        <v>27</v>
      </c>
      <c r="N2127" s="8" t="s">
        <v>11231</v>
      </c>
      <c r="P2127" s="8" t="s">
        <v>405</v>
      </c>
      <c r="Q2127" s="12" t="s">
        <v>11232</v>
      </c>
      <c r="S2127" s="7" t="s">
        <v>28</v>
      </c>
      <c r="T2127" s="6"/>
      <c r="U2127" s="8"/>
    </row>
    <row r="2128" spans="1:39" ht="13.5" customHeight="1">
      <c r="A2128" s="8" t="s">
        <v>11241</v>
      </c>
      <c r="B2128" s="16">
        <v>49</v>
      </c>
      <c r="C2128" s="8" t="s">
        <v>20</v>
      </c>
      <c r="D2128" s="8" t="s">
        <v>37</v>
      </c>
      <c r="E2128" s="8" t="s">
        <v>11242</v>
      </c>
      <c r="F2128" s="17">
        <v>41710</v>
      </c>
      <c r="G2128" s="8" t="s">
        <v>11243</v>
      </c>
      <c r="H2128" s="8" t="s">
        <v>1577</v>
      </c>
      <c r="I2128" s="8" t="s">
        <v>118</v>
      </c>
      <c r="J2128" s="16" t="s">
        <v>11244</v>
      </c>
      <c r="K2128" s="2" t="s">
        <v>1579</v>
      </c>
      <c r="L2128" s="8" t="s">
        <v>18230</v>
      </c>
      <c r="M2128" s="8" t="s">
        <v>27</v>
      </c>
      <c r="N2128" s="8" t="s">
        <v>11245</v>
      </c>
      <c r="O2128" s="8" t="s">
        <v>554</v>
      </c>
      <c r="P2128" s="8" t="s">
        <v>405</v>
      </c>
      <c r="Q2128" s="12" t="s">
        <v>11246</v>
      </c>
      <c r="R2128" s="8" t="s">
        <v>559</v>
      </c>
      <c r="S2128" s="7" t="s">
        <v>28</v>
      </c>
      <c r="T2128" s="6"/>
      <c r="U2128" s="8"/>
    </row>
    <row r="2129" spans="1:39" ht="13.5" customHeight="1">
      <c r="A2129" s="8" t="s">
        <v>11233</v>
      </c>
      <c r="B2129" s="16">
        <v>38</v>
      </c>
      <c r="C2129" s="8" t="s">
        <v>20</v>
      </c>
      <c r="D2129" s="8" t="s">
        <v>37</v>
      </c>
      <c r="E2129" s="8" t="s">
        <v>11234</v>
      </c>
      <c r="F2129" s="17">
        <v>41710</v>
      </c>
      <c r="G2129" s="8" t="s">
        <v>11235</v>
      </c>
      <c r="H2129" s="8" t="s">
        <v>1951</v>
      </c>
      <c r="I2129" s="8" t="s">
        <v>370</v>
      </c>
      <c r="J2129" s="16" t="s">
        <v>11236</v>
      </c>
      <c r="K2129" s="2" t="s">
        <v>11237</v>
      </c>
      <c r="L2129" s="8" t="s">
        <v>11238</v>
      </c>
      <c r="M2129" s="8" t="s">
        <v>27</v>
      </c>
      <c r="N2129" s="8" t="s">
        <v>11239</v>
      </c>
      <c r="O2129" s="8" t="s">
        <v>1018</v>
      </c>
      <c r="P2129" s="8" t="s">
        <v>405</v>
      </c>
      <c r="Q2129" s="12" t="s">
        <v>11240</v>
      </c>
      <c r="R2129" s="8" t="s">
        <v>29</v>
      </c>
      <c r="S2129" s="7" t="s">
        <v>28</v>
      </c>
      <c r="T2129" s="6"/>
      <c r="U2129" s="8"/>
      <c r="Y2129" s="8"/>
      <c r="Z2129" s="8"/>
      <c r="AA2129" s="8"/>
      <c r="AB2129" s="8"/>
      <c r="AC2129" s="8"/>
      <c r="AD2129" s="8"/>
      <c r="AE2129" s="8"/>
      <c r="AF2129" s="8"/>
      <c r="AG2129" s="8"/>
      <c r="AH2129" s="8"/>
    </row>
    <row r="2130" spans="1:39" ht="13.5" customHeight="1">
      <c r="A2130" s="8" t="s">
        <v>11253</v>
      </c>
      <c r="B2130" s="16">
        <v>53</v>
      </c>
      <c r="C2130" s="8" t="s">
        <v>20</v>
      </c>
      <c r="D2130" s="8" t="s">
        <v>37</v>
      </c>
      <c r="E2130" s="8" t="s">
        <v>11254</v>
      </c>
      <c r="F2130" s="17">
        <v>41709</v>
      </c>
      <c r="G2130" s="8" t="s">
        <v>11255</v>
      </c>
      <c r="H2130" s="8" t="s">
        <v>898</v>
      </c>
      <c r="I2130" s="8" t="s">
        <v>319</v>
      </c>
      <c r="J2130" s="16" t="s">
        <v>11256</v>
      </c>
      <c r="K2130" s="2" t="s">
        <v>1795</v>
      </c>
      <c r="L2130" s="8" t="s">
        <v>11257</v>
      </c>
      <c r="M2130" s="8" t="s">
        <v>27</v>
      </c>
      <c r="N2130" s="8" t="s">
        <v>11258</v>
      </c>
      <c r="O2130" s="8" t="s">
        <v>554</v>
      </c>
      <c r="P2130" s="8" t="s">
        <v>405</v>
      </c>
      <c r="Q2130" s="12" t="s">
        <v>11259</v>
      </c>
      <c r="R2130" s="8" t="s">
        <v>100</v>
      </c>
      <c r="S2130" s="7" t="s">
        <v>28</v>
      </c>
      <c r="T2130" s="6"/>
      <c r="U2130" s="8"/>
    </row>
    <row r="2131" spans="1:39" ht="13.5" customHeight="1">
      <c r="A2131" s="8" t="s">
        <v>11247</v>
      </c>
      <c r="B2131" s="16" t="s">
        <v>29</v>
      </c>
      <c r="C2131" s="8" t="s">
        <v>20</v>
      </c>
      <c r="D2131" s="8" t="s">
        <v>37</v>
      </c>
      <c r="F2131" s="17">
        <v>41709</v>
      </c>
      <c r="G2131" s="8" t="s">
        <v>11248</v>
      </c>
      <c r="H2131" s="8" t="s">
        <v>11249</v>
      </c>
      <c r="I2131" s="8" t="s">
        <v>62</v>
      </c>
      <c r="J2131" s="16" t="s">
        <v>11250</v>
      </c>
      <c r="K2131" s="2" t="s">
        <v>119</v>
      </c>
      <c r="L2131" s="8" t="s">
        <v>10832</v>
      </c>
      <c r="M2131" s="8" t="s">
        <v>27</v>
      </c>
      <c r="N2131" s="8" t="s">
        <v>11251</v>
      </c>
      <c r="O2131" s="8" t="s">
        <v>554</v>
      </c>
      <c r="P2131" s="8" t="s">
        <v>405</v>
      </c>
      <c r="Q2131" s="12" t="s">
        <v>11252</v>
      </c>
      <c r="R2131" s="8" t="s">
        <v>29</v>
      </c>
      <c r="S2131" s="7" t="s">
        <v>18</v>
      </c>
      <c r="T2131" s="6"/>
      <c r="U2131" s="8"/>
    </row>
    <row r="2132" spans="1:39" ht="13.5" customHeight="1">
      <c r="A2132" s="8" t="s">
        <v>11263</v>
      </c>
      <c r="B2132" s="16">
        <v>25</v>
      </c>
      <c r="C2132" s="8" t="s">
        <v>20</v>
      </c>
      <c r="D2132" s="8" t="s">
        <v>48</v>
      </c>
      <c r="E2132" s="8" t="s">
        <v>11264</v>
      </c>
      <c r="F2132" s="17">
        <v>41708</v>
      </c>
      <c r="G2132" s="8" t="s">
        <v>11265</v>
      </c>
      <c r="H2132" s="8" t="s">
        <v>3954</v>
      </c>
      <c r="I2132" s="8" t="s">
        <v>124</v>
      </c>
      <c r="J2132" s="16" t="s">
        <v>11266</v>
      </c>
      <c r="K2132" s="2" t="s">
        <v>639</v>
      </c>
      <c r="L2132" s="8" t="s">
        <v>11267</v>
      </c>
      <c r="M2132" s="8" t="s">
        <v>27</v>
      </c>
      <c r="N2132" s="8" t="s">
        <v>11268</v>
      </c>
      <c r="O2132" s="8" t="s">
        <v>1018</v>
      </c>
      <c r="P2132" s="8" t="s">
        <v>405</v>
      </c>
      <c r="Q2132" s="12" t="s">
        <v>11269</v>
      </c>
      <c r="R2132" s="8" t="s">
        <v>100</v>
      </c>
      <c r="S2132" s="7" t="s">
        <v>28</v>
      </c>
      <c r="T2132" s="6"/>
      <c r="U2132" s="8"/>
      <c r="Y2132" s="8"/>
      <c r="Z2132" s="8"/>
      <c r="AA2132" s="8"/>
      <c r="AB2132" s="8"/>
      <c r="AC2132" s="8"/>
      <c r="AD2132" s="8"/>
      <c r="AE2132" s="8"/>
      <c r="AF2132" s="8"/>
      <c r="AG2132" s="8"/>
      <c r="AH2132" s="8"/>
    </row>
    <row r="2133" spans="1:39" ht="13.5" customHeight="1">
      <c r="A2133" s="8" t="s">
        <v>11283</v>
      </c>
      <c r="B2133" s="16">
        <v>35</v>
      </c>
      <c r="C2133" s="8" t="s">
        <v>20</v>
      </c>
      <c r="D2133" s="8" t="s">
        <v>37</v>
      </c>
      <c r="F2133" s="17">
        <v>41708</v>
      </c>
      <c r="G2133" s="8" t="s">
        <v>11284</v>
      </c>
      <c r="H2133" s="8" t="s">
        <v>2020</v>
      </c>
      <c r="I2133" s="8" t="s">
        <v>510</v>
      </c>
      <c r="J2133" s="16" t="s">
        <v>11285</v>
      </c>
      <c r="K2133" s="2" t="s">
        <v>11286</v>
      </c>
      <c r="L2133" s="8" t="s">
        <v>11287</v>
      </c>
      <c r="M2133" s="8" t="s">
        <v>27</v>
      </c>
      <c r="N2133" s="8" t="s">
        <v>11288</v>
      </c>
      <c r="O2133" s="8" t="s">
        <v>554</v>
      </c>
      <c r="P2133" s="8" t="s">
        <v>405</v>
      </c>
      <c r="Q2133" s="12" t="str">
        <f>HYPERLINK("http://doj.nh.gov/media-center/press-releases/2014/documents/20140723-rochester-officer-involved-report.pdf","http://doj.nh.gov/media-center/press-releases/2014/documents/20140723-rochester-officer-involved-report.pdf")</f>
        <v>http://doj.nh.gov/media-center/press-releases/2014/documents/20140723-rochester-officer-involved-report.pdf</v>
      </c>
      <c r="R2133" s="8" t="s">
        <v>100</v>
      </c>
      <c r="S2133" s="7" t="s">
        <v>18</v>
      </c>
      <c r="T2133" s="6"/>
      <c r="U2133" s="8"/>
    </row>
    <row r="2134" spans="1:39" ht="13.5" customHeight="1">
      <c r="A2134" s="8" t="s">
        <v>11289</v>
      </c>
      <c r="B2134" s="16">
        <v>23</v>
      </c>
      <c r="C2134" s="8" t="s">
        <v>20</v>
      </c>
      <c r="D2134" s="8" t="s">
        <v>37</v>
      </c>
      <c r="E2134" s="8" t="s">
        <v>11290</v>
      </c>
      <c r="F2134" s="17">
        <v>41708</v>
      </c>
      <c r="G2134" s="8" t="s">
        <v>11291</v>
      </c>
      <c r="H2134" s="8" t="s">
        <v>11292</v>
      </c>
      <c r="I2134" s="8" t="s">
        <v>367</v>
      </c>
      <c r="J2134" s="16" t="s">
        <v>11293</v>
      </c>
      <c r="K2134" s="2" t="s">
        <v>1043</v>
      </c>
      <c r="L2134" s="8" t="s">
        <v>7568</v>
      </c>
      <c r="M2134" s="8" t="s">
        <v>27</v>
      </c>
      <c r="N2134" s="8" t="s">
        <v>11294</v>
      </c>
      <c r="O2134" s="8" t="s">
        <v>1018</v>
      </c>
      <c r="P2134" s="8" t="s">
        <v>405</v>
      </c>
      <c r="Q2134" s="12" t="s">
        <v>11295</v>
      </c>
      <c r="R2134" s="8" t="s">
        <v>100</v>
      </c>
      <c r="S2134" s="7" t="s">
        <v>28</v>
      </c>
      <c r="T2134" s="6"/>
      <c r="U2134" s="8"/>
    </row>
    <row r="2135" spans="1:39" ht="13.5" customHeight="1">
      <c r="A2135" s="8" t="s">
        <v>11260</v>
      </c>
      <c r="B2135" s="16">
        <v>38</v>
      </c>
      <c r="C2135" s="8" t="s">
        <v>20</v>
      </c>
      <c r="D2135" s="8" t="s">
        <v>85</v>
      </c>
      <c r="F2135" s="17">
        <v>41708</v>
      </c>
      <c r="G2135" s="8" t="s">
        <v>11261</v>
      </c>
      <c r="H2135" s="8" t="s">
        <v>271</v>
      </c>
      <c r="I2135" s="8" t="s">
        <v>272</v>
      </c>
      <c r="J2135" s="16" t="s">
        <v>6903</v>
      </c>
      <c r="K2135" s="2" t="s">
        <v>574</v>
      </c>
      <c r="L2135" s="8" t="s">
        <v>273</v>
      </c>
      <c r="M2135" s="8" t="s">
        <v>27</v>
      </c>
      <c r="N2135" s="8" t="s">
        <v>11262</v>
      </c>
      <c r="O2135" s="8" t="s">
        <v>1018</v>
      </c>
      <c r="P2135" s="8" t="s">
        <v>405</v>
      </c>
      <c r="Q2135" s="12"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2135" s="8" t="s">
        <v>29</v>
      </c>
      <c r="S2135" s="7" t="s">
        <v>28</v>
      </c>
      <c r="T2135" s="6"/>
      <c r="U2135" s="8"/>
    </row>
    <row r="2136" spans="1:39" ht="13.5" customHeight="1">
      <c r="A2136" s="8" t="s">
        <v>11274</v>
      </c>
      <c r="B2136" s="16">
        <v>47</v>
      </c>
      <c r="C2136" s="8" t="s">
        <v>20</v>
      </c>
      <c r="D2136" s="8" t="s">
        <v>37</v>
      </c>
      <c r="E2136" s="8" t="s">
        <v>11275</v>
      </c>
      <c r="F2136" s="17">
        <v>41708</v>
      </c>
      <c r="G2136" s="8" t="s">
        <v>11276</v>
      </c>
      <c r="H2136" s="8" t="s">
        <v>11277</v>
      </c>
      <c r="I2136" s="8" t="s">
        <v>435</v>
      </c>
      <c r="J2136" s="16" t="s">
        <v>11278</v>
      </c>
      <c r="K2136" s="2" t="s">
        <v>11279</v>
      </c>
      <c r="L2136" s="8" t="s">
        <v>11280</v>
      </c>
      <c r="M2136" s="8" t="s">
        <v>27</v>
      </c>
      <c r="N2136" s="8" t="s">
        <v>11281</v>
      </c>
      <c r="O2136" s="8" t="s">
        <v>554</v>
      </c>
      <c r="P2136" s="8" t="s">
        <v>405</v>
      </c>
      <c r="Q2136" s="12" t="s">
        <v>11282</v>
      </c>
      <c r="R2136" s="8" t="s">
        <v>559</v>
      </c>
      <c r="S2136" s="7" t="s">
        <v>28</v>
      </c>
      <c r="T2136" s="6"/>
      <c r="U2136" s="8"/>
    </row>
    <row r="2137" spans="1:39" ht="13.5" customHeight="1">
      <c r="A2137" s="8" t="s">
        <v>3288</v>
      </c>
      <c r="B2137" s="16">
        <v>30</v>
      </c>
      <c r="C2137" s="8" t="s">
        <v>20</v>
      </c>
      <c r="D2137" s="8" t="s">
        <v>30</v>
      </c>
      <c r="F2137" s="17">
        <v>41708</v>
      </c>
      <c r="G2137" s="8" t="s">
        <v>11270</v>
      </c>
      <c r="H2137" s="8" t="s">
        <v>448</v>
      </c>
      <c r="I2137" s="8" t="s">
        <v>57</v>
      </c>
      <c r="J2137" s="16" t="s">
        <v>11271</v>
      </c>
      <c r="K2137" s="2" t="s">
        <v>1139</v>
      </c>
      <c r="L2137" s="8" t="s">
        <v>4790</v>
      </c>
      <c r="M2137" s="8" t="s">
        <v>27</v>
      </c>
      <c r="N2137" s="8" t="s">
        <v>11272</v>
      </c>
      <c r="O2137" s="8" t="s">
        <v>1018</v>
      </c>
      <c r="P2137" s="8" t="s">
        <v>405</v>
      </c>
      <c r="Q2137" s="12" t="s">
        <v>11273</v>
      </c>
      <c r="R2137" s="8" t="s">
        <v>29</v>
      </c>
      <c r="S2137" s="7" t="s">
        <v>28</v>
      </c>
      <c r="T2137" s="6"/>
      <c r="U2137" s="8"/>
    </row>
    <row r="2138" spans="1:39" ht="13.5" customHeight="1">
      <c r="A2138" s="8" t="s">
        <v>11296</v>
      </c>
      <c r="B2138" s="16">
        <v>40</v>
      </c>
      <c r="C2138" s="8" t="s">
        <v>20</v>
      </c>
      <c r="D2138" s="8" t="s">
        <v>21</v>
      </c>
      <c r="E2138" s="8" t="s">
        <v>11297</v>
      </c>
      <c r="F2138" s="17">
        <v>41707</v>
      </c>
      <c r="G2138" s="8" t="s">
        <v>11298</v>
      </c>
      <c r="H2138" s="8" t="s">
        <v>11299</v>
      </c>
      <c r="I2138" s="8" t="s">
        <v>44</v>
      </c>
      <c r="J2138" s="16" t="s">
        <v>11300</v>
      </c>
      <c r="K2138" s="2" t="s">
        <v>1269</v>
      </c>
      <c r="L2138" s="8" t="s">
        <v>11301</v>
      </c>
      <c r="M2138" s="8" t="s">
        <v>27</v>
      </c>
      <c r="N2138" s="8" t="s">
        <v>11302</v>
      </c>
      <c r="O2138" s="8" t="s">
        <v>1018</v>
      </c>
      <c r="P2138" s="8" t="s">
        <v>405</v>
      </c>
      <c r="Q2138" s="12" t="s">
        <v>11303</v>
      </c>
      <c r="R2138" s="8" t="s">
        <v>100</v>
      </c>
      <c r="S2138" s="7" t="s">
        <v>28</v>
      </c>
      <c r="T2138" s="6"/>
      <c r="U2138" s="8"/>
      <c r="AI2138" s="8"/>
      <c r="AJ2138" s="8"/>
      <c r="AK2138" s="8"/>
      <c r="AL2138" s="8"/>
      <c r="AM2138" s="8"/>
    </row>
    <row r="2139" spans="1:39" ht="13.5" customHeight="1">
      <c r="A2139" s="8" t="s">
        <v>11310</v>
      </c>
      <c r="B2139" s="16">
        <v>31</v>
      </c>
      <c r="C2139" s="8" t="s">
        <v>20</v>
      </c>
      <c r="D2139" s="8" t="s">
        <v>85</v>
      </c>
      <c r="F2139" s="17">
        <v>41707</v>
      </c>
      <c r="G2139" s="8" t="s">
        <v>11311</v>
      </c>
      <c r="H2139" s="8" t="s">
        <v>11312</v>
      </c>
      <c r="I2139" s="8" t="s">
        <v>62</v>
      </c>
      <c r="J2139" s="16" t="s">
        <v>11313</v>
      </c>
      <c r="K2139" s="2" t="s">
        <v>11314</v>
      </c>
      <c r="L2139" s="8" t="s">
        <v>11315</v>
      </c>
      <c r="M2139" s="8" t="s">
        <v>27</v>
      </c>
      <c r="N2139" s="8" t="s">
        <v>11316</v>
      </c>
      <c r="O2139" s="8" t="s">
        <v>1018</v>
      </c>
      <c r="P2139" s="8" t="s">
        <v>405</v>
      </c>
      <c r="Q2139" s="12" t="str">
        <f>HYPERLINK("http://www.newssun.com/news/article_513fe971-a208-543b-8a5c-71ff2376804d.html","http://www.newssun.com/news/article_513fe971-a208-543b-8a5c-71ff2376804d.html")</f>
        <v>http://www.newssun.com/news/article_513fe971-a208-543b-8a5c-71ff2376804d.html</v>
      </c>
      <c r="R2139" s="8" t="s">
        <v>559</v>
      </c>
      <c r="S2139" s="7" t="s">
        <v>28</v>
      </c>
      <c r="T2139" s="6"/>
      <c r="U2139" s="8"/>
    </row>
    <row r="2140" spans="1:39" ht="13.5" customHeight="1">
      <c r="A2140" s="8" t="s">
        <v>11331</v>
      </c>
      <c r="B2140" s="16">
        <v>52</v>
      </c>
      <c r="C2140" s="8" t="s">
        <v>20</v>
      </c>
      <c r="D2140" s="8" t="s">
        <v>37</v>
      </c>
      <c r="E2140" s="8" t="s">
        <v>11332</v>
      </c>
      <c r="F2140" s="17">
        <v>41707</v>
      </c>
      <c r="G2140" s="8" t="s">
        <v>11333</v>
      </c>
      <c r="H2140" s="8" t="s">
        <v>7299</v>
      </c>
      <c r="I2140" s="8" t="s">
        <v>334</v>
      </c>
      <c r="J2140" s="16" t="s">
        <v>11334</v>
      </c>
      <c r="K2140" s="2" t="s">
        <v>7301</v>
      </c>
      <c r="L2140" s="8" t="s">
        <v>11335</v>
      </c>
      <c r="M2140" s="8" t="s">
        <v>27</v>
      </c>
      <c r="N2140" s="8" t="s">
        <v>11336</v>
      </c>
      <c r="O2140" s="8" t="s">
        <v>554</v>
      </c>
      <c r="P2140" s="8" t="s">
        <v>405</v>
      </c>
      <c r="Q2140" s="12" t="s">
        <v>11337</v>
      </c>
      <c r="R2140" s="8" t="s">
        <v>559</v>
      </c>
      <c r="S2140" s="7" t="s">
        <v>383</v>
      </c>
      <c r="T2140" s="6"/>
      <c r="U2140" s="8"/>
      <c r="Y2140" s="8"/>
      <c r="Z2140" s="8"/>
      <c r="AA2140" s="8"/>
      <c r="AB2140" s="8"/>
      <c r="AC2140" s="8"/>
      <c r="AD2140" s="8"/>
      <c r="AE2140" s="8"/>
      <c r="AF2140" s="8"/>
      <c r="AG2140" s="8"/>
      <c r="AH2140" s="8"/>
    </row>
    <row r="2141" spans="1:39" ht="13.5" customHeight="1">
      <c r="A2141" s="8" t="s">
        <v>11323</v>
      </c>
      <c r="B2141" s="16">
        <v>60</v>
      </c>
      <c r="C2141" s="8" t="s">
        <v>20</v>
      </c>
      <c r="D2141" s="8" t="s">
        <v>30</v>
      </c>
      <c r="F2141" s="17">
        <v>41707</v>
      </c>
      <c r="G2141" s="8" t="s">
        <v>11324</v>
      </c>
      <c r="H2141" s="8" t="s">
        <v>11325</v>
      </c>
      <c r="I2141" s="8" t="s">
        <v>175</v>
      </c>
      <c r="J2141" s="16" t="s">
        <v>11326</v>
      </c>
      <c r="K2141" s="2" t="s">
        <v>11327</v>
      </c>
      <c r="L2141" s="8" t="s">
        <v>11328</v>
      </c>
      <c r="M2141" s="8" t="s">
        <v>27</v>
      </c>
      <c r="N2141" s="8" t="s">
        <v>11329</v>
      </c>
      <c r="O2141" s="8" t="s">
        <v>554</v>
      </c>
      <c r="P2141" s="8" t="s">
        <v>405</v>
      </c>
      <c r="Q2141" s="12" t="s">
        <v>11330</v>
      </c>
      <c r="R2141" s="8" t="s">
        <v>100</v>
      </c>
      <c r="S2141" s="7" t="s">
        <v>28</v>
      </c>
      <c r="T2141" s="6"/>
      <c r="U2141" s="8"/>
    </row>
    <row r="2142" spans="1:39" ht="13.5" customHeight="1">
      <c r="A2142" s="8" t="s">
        <v>11317</v>
      </c>
      <c r="B2142" s="16">
        <v>15</v>
      </c>
      <c r="C2142" s="8" t="s">
        <v>20</v>
      </c>
      <c r="D2142" s="8" t="s">
        <v>48</v>
      </c>
      <c r="E2142" s="8" t="s">
        <v>11318</v>
      </c>
      <c r="F2142" s="17">
        <v>41707</v>
      </c>
      <c r="G2142" s="8" t="s">
        <v>11319</v>
      </c>
      <c r="H2142" s="8" t="s">
        <v>599</v>
      </c>
      <c r="I2142" s="8" t="s">
        <v>73</v>
      </c>
      <c r="J2142" s="16" t="s">
        <v>11320</v>
      </c>
      <c r="K2142" s="2" t="s">
        <v>600</v>
      </c>
      <c r="L2142" s="8" t="s">
        <v>601</v>
      </c>
      <c r="M2142" s="8" t="s">
        <v>27</v>
      </c>
      <c r="N2142" s="8" t="s">
        <v>11321</v>
      </c>
      <c r="O2142" s="8" t="s">
        <v>554</v>
      </c>
      <c r="P2142" s="8" t="s">
        <v>405</v>
      </c>
      <c r="Q2142" s="12" t="s">
        <v>11322</v>
      </c>
      <c r="R2142" s="8" t="s">
        <v>100</v>
      </c>
      <c r="S2142" s="7" t="s">
        <v>28</v>
      </c>
      <c r="T2142" s="6"/>
      <c r="U2142" s="8"/>
    </row>
    <row r="2143" spans="1:39" ht="13.5" customHeight="1">
      <c r="A2143" s="8" t="s">
        <v>11304</v>
      </c>
      <c r="B2143" s="16">
        <v>22</v>
      </c>
      <c r="C2143" s="8" t="s">
        <v>20</v>
      </c>
      <c r="D2143" s="8" t="s">
        <v>85</v>
      </c>
      <c r="E2143" s="8" t="s">
        <v>11305</v>
      </c>
      <c r="F2143" s="17">
        <v>41707</v>
      </c>
      <c r="G2143" s="8" t="s">
        <v>11306</v>
      </c>
      <c r="H2143" s="8" t="s">
        <v>8711</v>
      </c>
      <c r="I2143" s="8" t="s">
        <v>25</v>
      </c>
      <c r="J2143" s="16" t="s">
        <v>8712</v>
      </c>
      <c r="K2143" s="2" t="s">
        <v>8713</v>
      </c>
      <c r="L2143" s="8" t="s">
        <v>11307</v>
      </c>
      <c r="M2143" s="8" t="s">
        <v>27</v>
      </c>
      <c r="N2143" s="8" t="s">
        <v>11308</v>
      </c>
      <c r="O2143" s="8" t="s">
        <v>404</v>
      </c>
      <c r="P2143" s="8" t="s">
        <v>405</v>
      </c>
      <c r="Q2143" s="12" t="s">
        <v>11309</v>
      </c>
      <c r="R2143" s="8" t="s">
        <v>29</v>
      </c>
      <c r="S2143" s="7" t="s">
        <v>18</v>
      </c>
      <c r="T2143" s="6"/>
      <c r="U2143" s="8"/>
    </row>
    <row r="2144" spans="1:39" ht="13.5" customHeight="1">
      <c r="A2144" s="8" t="s">
        <v>11338</v>
      </c>
      <c r="B2144" s="16">
        <v>21</v>
      </c>
      <c r="C2144" s="8" t="s">
        <v>20</v>
      </c>
      <c r="D2144" s="8" t="s">
        <v>85</v>
      </c>
      <c r="E2144" s="8" t="s">
        <v>11339</v>
      </c>
      <c r="F2144" s="17">
        <v>41706</v>
      </c>
      <c r="G2144" s="8" t="s">
        <v>11340</v>
      </c>
      <c r="H2144" s="8" t="s">
        <v>11341</v>
      </c>
      <c r="I2144" s="8" t="s">
        <v>94</v>
      </c>
      <c r="J2144" s="16" t="s">
        <v>11342</v>
      </c>
      <c r="K2144" s="2" t="s">
        <v>4385</v>
      </c>
      <c r="L2144" s="8" t="s">
        <v>11343</v>
      </c>
      <c r="M2144" s="8" t="s">
        <v>27</v>
      </c>
      <c r="N2144" s="8" t="s">
        <v>11344</v>
      </c>
      <c r="O2144" s="8" t="s">
        <v>554</v>
      </c>
      <c r="P2144" s="8" t="s">
        <v>405</v>
      </c>
      <c r="Q2144" s="12" t="s">
        <v>11345</v>
      </c>
      <c r="R2144" s="8" t="s">
        <v>100</v>
      </c>
      <c r="S2144" s="7" t="s">
        <v>35</v>
      </c>
      <c r="T2144" s="6"/>
      <c r="U2144" s="8"/>
      <c r="Y2144" s="8"/>
      <c r="Z2144" s="8"/>
      <c r="AA2144" s="8"/>
      <c r="AB2144" s="8"/>
      <c r="AC2144" s="8"/>
      <c r="AD2144" s="8"/>
      <c r="AE2144" s="8"/>
      <c r="AF2144" s="8"/>
      <c r="AG2144" s="8"/>
      <c r="AH2144" s="8"/>
    </row>
    <row r="2145" spans="1:21" ht="13.5" customHeight="1">
      <c r="A2145" s="8" t="s">
        <v>11346</v>
      </c>
      <c r="B2145" s="16">
        <v>50</v>
      </c>
      <c r="C2145" s="8" t="s">
        <v>20</v>
      </c>
      <c r="D2145" s="8" t="s">
        <v>30</v>
      </c>
      <c r="F2145" s="17">
        <v>41706</v>
      </c>
      <c r="G2145" s="8" t="s">
        <v>11347</v>
      </c>
      <c r="H2145" s="8" t="s">
        <v>1658</v>
      </c>
      <c r="I2145" s="8" t="s">
        <v>45</v>
      </c>
      <c r="J2145" s="16" t="s">
        <v>11348</v>
      </c>
      <c r="K2145" s="2" t="s">
        <v>1658</v>
      </c>
      <c r="L2145" s="8" t="s">
        <v>2346</v>
      </c>
      <c r="M2145" s="8" t="s">
        <v>27</v>
      </c>
      <c r="N2145" s="8" t="s">
        <v>11349</v>
      </c>
      <c r="O2145" s="8" t="s">
        <v>1018</v>
      </c>
      <c r="P2145" s="8" t="s">
        <v>405</v>
      </c>
      <c r="Q2145" s="12" t="s">
        <v>11350</v>
      </c>
      <c r="R2145" s="8" t="s">
        <v>29</v>
      </c>
      <c r="S2145" s="7" t="s">
        <v>28</v>
      </c>
      <c r="T2145" s="6"/>
      <c r="U2145" s="8"/>
    </row>
    <row r="2146" spans="1:21" ht="13.5" customHeight="1">
      <c r="A2146" s="8" t="s">
        <v>11351</v>
      </c>
      <c r="B2146" s="16">
        <v>45</v>
      </c>
      <c r="C2146" s="8" t="s">
        <v>20</v>
      </c>
      <c r="D2146" s="8" t="s">
        <v>37</v>
      </c>
      <c r="E2146" s="8" t="s">
        <v>11352</v>
      </c>
      <c r="F2146" s="17">
        <v>41706</v>
      </c>
      <c r="G2146" s="8" t="s">
        <v>11353</v>
      </c>
      <c r="H2146" s="8" t="s">
        <v>694</v>
      </c>
      <c r="I2146" s="8" t="s">
        <v>124</v>
      </c>
      <c r="J2146" s="16" t="s">
        <v>4938</v>
      </c>
      <c r="K2146" s="2" t="s">
        <v>639</v>
      </c>
      <c r="L2146" s="8" t="s">
        <v>4939</v>
      </c>
      <c r="M2146" s="8" t="s">
        <v>27</v>
      </c>
      <c r="N2146" s="8" t="s">
        <v>11354</v>
      </c>
      <c r="O2146" s="8" t="s">
        <v>1018</v>
      </c>
      <c r="P2146" s="8" t="s">
        <v>405</v>
      </c>
      <c r="Q2146" s="12" t="s">
        <v>11355</v>
      </c>
      <c r="R2146" s="8" t="s">
        <v>559</v>
      </c>
      <c r="S2146" s="7" t="s">
        <v>28</v>
      </c>
      <c r="T2146" s="6"/>
      <c r="U2146" s="8"/>
    </row>
    <row r="2147" spans="1:21" ht="13.5" customHeight="1">
      <c r="A2147" s="8" t="s">
        <v>11360</v>
      </c>
      <c r="B2147" s="16">
        <v>34</v>
      </c>
      <c r="C2147" s="8" t="s">
        <v>115</v>
      </c>
      <c r="D2147" s="8" t="s">
        <v>37</v>
      </c>
      <c r="E2147" s="8" t="s">
        <v>11361</v>
      </c>
      <c r="F2147" s="17">
        <v>41705</v>
      </c>
      <c r="G2147" s="8" t="s">
        <v>11362</v>
      </c>
      <c r="H2147" s="8" t="s">
        <v>11363</v>
      </c>
      <c r="I2147" s="8" t="s">
        <v>408</v>
      </c>
      <c r="J2147" s="16" t="s">
        <v>11364</v>
      </c>
      <c r="K2147" s="2" t="s">
        <v>1065</v>
      </c>
      <c r="L2147" s="8" t="s">
        <v>9453</v>
      </c>
      <c r="M2147" s="8" t="s">
        <v>27</v>
      </c>
      <c r="N2147" s="8" t="s">
        <v>11365</v>
      </c>
      <c r="O2147" s="8" t="s">
        <v>3421</v>
      </c>
      <c r="P2147" s="8" t="s">
        <v>405</v>
      </c>
      <c r="Q2147" s="12" t="s">
        <v>11366</v>
      </c>
      <c r="R2147" s="8" t="s">
        <v>100</v>
      </c>
      <c r="S2147" s="7" t="s">
        <v>18</v>
      </c>
      <c r="T2147" s="6"/>
      <c r="U2147" s="8"/>
    </row>
    <row r="2148" spans="1:21" ht="13.5" customHeight="1">
      <c r="A2148" s="8" t="s">
        <v>11356</v>
      </c>
      <c r="B2148" s="16">
        <v>48</v>
      </c>
      <c r="C2148" s="8" t="s">
        <v>115</v>
      </c>
      <c r="D2148" s="8" t="s">
        <v>37</v>
      </c>
      <c r="F2148" s="17">
        <v>41705</v>
      </c>
      <c r="G2148" s="8" t="s">
        <v>11357</v>
      </c>
      <c r="H2148" s="8" t="s">
        <v>203</v>
      </c>
      <c r="I2148" s="8" t="s">
        <v>45</v>
      </c>
      <c r="J2148" s="16" t="s">
        <v>11358</v>
      </c>
      <c r="K2148" s="2" t="s">
        <v>203</v>
      </c>
      <c r="L2148" s="8" t="s">
        <v>204</v>
      </c>
      <c r="M2148" s="8" t="s">
        <v>27</v>
      </c>
      <c r="N2148" s="8" t="s">
        <v>11359</v>
      </c>
      <c r="O2148" s="8" t="s">
        <v>1018</v>
      </c>
      <c r="P2148" s="8" t="s">
        <v>405</v>
      </c>
      <c r="Q2148" s="12"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2148" s="8" t="s">
        <v>559</v>
      </c>
      <c r="S2148" s="7" t="s">
        <v>28</v>
      </c>
      <c r="T2148" s="6"/>
      <c r="U2148" s="8"/>
    </row>
    <row r="2149" spans="1:21" ht="13.5" customHeight="1">
      <c r="A2149" s="8" t="s">
        <v>11390</v>
      </c>
      <c r="B2149" s="16">
        <v>55</v>
      </c>
      <c r="C2149" s="8" t="s">
        <v>20</v>
      </c>
      <c r="D2149" s="8" t="s">
        <v>37</v>
      </c>
      <c r="E2149" s="8" t="s">
        <v>11391</v>
      </c>
      <c r="F2149" s="17">
        <v>41704</v>
      </c>
      <c r="G2149" s="8" t="s">
        <v>11392</v>
      </c>
      <c r="H2149" s="8" t="s">
        <v>391</v>
      </c>
      <c r="I2149" s="8" t="s">
        <v>323</v>
      </c>
      <c r="J2149" s="16" t="s">
        <v>7371</v>
      </c>
      <c r="K2149" s="2" t="s">
        <v>2708</v>
      </c>
      <c r="L2149" s="8" t="s">
        <v>7921</v>
      </c>
      <c r="M2149" s="8" t="s">
        <v>27</v>
      </c>
      <c r="N2149" s="8" t="s">
        <v>11393</v>
      </c>
      <c r="O2149" s="8" t="s">
        <v>1018</v>
      </c>
      <c r="P2149" s="8" t="s">
        <v>405</v>
      </c>
      <c r="Q2149" s="12" t="s">
        <v>11394</v>
      </c>
      <c r="R2149" s="8" t="s">
        <v>559</v>
      </c>
      <c r="S2149" s="7" t="s">
        <v>28</v>
      </c>
      <c r="T2149" s="6"/>
      <c r="U2149" s="8"/>
    </row>
    <row r="2150" spans="1:21" ht="13.5" customHeight="1">
      <c r="A2150" s="8" t="s">
        <v>11383</v>
      </c>
      <c r="B2150" s="16">
        <v>28</v>
      </c>
      <c r="C2150" s="8" t="s">
        <v>20</v>
      </c>
      <c r="D2150" s="8" t="s">
        <v>37</v>
      </c>
      <c r="E2150" s="8" t="s">
        <v>11384</v>
      </c>
      <c r="F2150" s="17">
        <v>41704</v>
      </c>
      <c r="G2150" s="8" t="s">
        <v>11385</v>
      </c>
      <c r="H2150" s="8" t="s">
        <v>7523</v>
      </c>
      <c r="I2150" s="8" t="s">
        <v>399</v>
      </c>
      <c r="J2150" s="16" t="s">
        <v>11386</v>
      </c>
      <c r="K2150" s="2" t="s">
        <v>7523</v>
      </c>
      <c r="L2150" s="8" t="s">
        <v>11387</v>
      </c>
      <c r="M2150" s="8" t="s">
        <v>27</v>
      </c>
      <c r="N2150" s="8" t="s">
        <v>11388</v>
      </c>
      <c r="O2150" s="8" t="s">
        <v>554</v>
      </c>
      <c r="P2150" s="8" t="s">
        <v>405</v>
      </c>
      <c r="Q2150" s="12" t="s">
        <v>11389</v>
      </c>
      <c r="R2150" s="8" t="s">
        <v>100</v>
      </c>
      <c r="S2150" s="7" t="s">
        <v>28</v>
      </c>
      <c r="T2150" s="6"/>
      <c r="U2150" s="8"/>
    </row>
    <row r="2151" spans="1:21" ht="13.5" customHeight="1">
      <c r="A2151" s="8" t="s">
        <v>11371</v>
      </c>
      <c r="B2151" s="16">
        <v>23</v>
      </c>
      <c r="C2151" s="8" t="s">
        <v>20</v>
      </c>
      <c r="D2151" s="8" t="s">
        <v>85</v>
      </c>
      <c r="F2151" s="17">
        <v>41704</v>
      </c>
      <c r="G2151" s="8" t="s">
        <v>11372</v>
      </c>
      <c r="H2151" s="8" t="s">
        <v>98</v>
      </c>
      <c r="I2151" s="8" t="s">
        <v>45</v>
      </c>
      <c r="J2151" s="16">
        <v>90003</v>
      </c>
      <c r="K2151" s="2" t="s">
        <v>98</v>
      </c>
      <c r="L2151" s="8" t="s">
        <v>99</v>
      </c>
      <c r="M2151" s="8" t="s">
        <v>27</v>
      </c>
      <c r="N2151" s="8" t="s">
        <v>11373</v>
      </c>
      <c r="P2151" s="8" t="s">
        <v>405</v>
      </c>
      <c r="Q2151" s="12" t="s">
        <v>11374</v>
      </c>
      <c r="R2151" s="8" t="s">
        <v>29</v>
      </c>
      <c r="S2151" s="7" t="s">
        <v>28</v>
      </c>
      <c r="T2151" s="6"/>
      <c r="U2151" s="8"/>
    </row>
    <row r="2152" spans="1:21" ht="13.5" customHeight="1">
      <c r="A2152" s="8" t="s">
        <v>11375</v>
      </c>
      <c r="B2152" s="16">
        <v>47</v>
      </c>
      <c r="C2152" s="8" t="s">
        <v>20</v>
      </c>
      <c r="D2152" s="8" t="s">
        <v>37</v>
      </c>
      <c r="E2152" s="8" t="s">
        <v>11376</v>
      </c>
      <c r="F2152" s="17">
        <v>41704</v>
      </c>
      <c r="G2152" s="8" t="s">
        <v>11377</v>
      </c>
      <c r="H2152" s="8" t="s">
        <v>552</v>
      </c>
      <c r="I2152" s="8" t="s">
        <v>862</v>
      </c>
      <c r="J2152" s="16" t="s">
        <v>11378</v>
      </c>
      <c r="K2152" s="2" t="s">
        <v>11379</v>
      </c>
      <c r="L2152" s="8" t="s">
        <v>11380</v>
      </c>
      <c r="M2152" s="8" t="s">
        <v>27</v>
      </c>
      <c r="N2152" s="8" t="s">
        <v>11381</v>
      </c>
      <c r="O2152" s="8" t="s">
        <v>1018</v>
      </c>
      <c r="P2152" s="8" t="s">
        <v>405</v>
      </c>
      <c r="Q2152" s="12" t="s">
        <v>11382</v>
      </c>
      <c r="R2152" s="8" t="s">
        <v>100</v>
      </c>
      <c r="S2152" s="7" t="s">
        <v>28</v>
      </c>
      <c r="T2152" s="6"/>
      <c r="U2152" s="8"/>
    </row>
    <row r="2153" spans="1:21" ht="13.5" customHeight="1">
      <c r="A2153" s="8" t="s">
        <v>3288</v>
      </c>
      <c r="B2153" s="16" t="s">
        <v>29</v>
      </c>
      <c r="C2153" s="8" t="s">
        <v>20</v>
      </c>
      <c r="D2153" s="8" t="s">
        <v>85</v>
      </c>
      <c r="F2153" s="17">
        <v>41704</v>
      </c>
      <c r="G2153" s="8" t="s">
        <v>11367</v>
      </c>
      <c r="H2153" s="8" t="s">
        <v>731</v>
      </c>
      <c r="I2153" s="8" t="s">
        <v>73</v>
      </c>
      <c r="J2153" s="16" t="s">
        <v>11368</v>
      </c>
      <c r="K2153" s="2" t="s">
        <v>562</v>
      </c>
      <c r="L2153" s="8" t="s">
        <v>732</v>
      </c>
      <c r="M2153" s="8" t="s">
        <v>27</v>
      </c>
      <c r="N2153" s="8" t="s">
        <v>11369</v>
      </c>
      <c r="O2153" s="8" t="s">
        <v>1018</v>
      </c>
      <c r="P2153" s="8" t="s">
        <v>405</v>
      </c>
      <c r="Q2153" s="12" t="s">
        <v>11370</v>
      </c>
      <c r="R2153" s="8" t="s">
        <v>100</v>
      </c>
      <c r="S2153" s="7" t="s">
        <v>28</v>
      </c>
      <c r="T2153" s="6"/>
      <c r="U2153" s="8"/>
    </row>
    <row r="2154" spans="1:21" ht="13.5" customHeight="1">
      <c r="A2154" s="8" t="s">
        <v>11425</v>
      </c>
      <c r="B2154" s="16">
        <v>27</v>
      </c>
      <c r="C2154" s="8" t="s">
        <v>20</v>
      </c>
      <c r="D2154" s="8" t="s">
        <v>37</v>
      </c>
      <c r="E2154" s="8" t="s">
        <v>11426</v>
      </c>
      <c r="F2154" s="17">
        <v>41703</v>
      </c>
      <c r="G2154" s="8" t="s">
        <v>11427</v>
      </c>
      <c r="H2154" s="8" t="s">
        <v>219</v>
      </c>
      <c r="I2154" s="8" t="s">
        <v>220</v>
      </c>
      <c r="J2154" s="16" t="s">
        <v>11428</v>
      </c>
      <c r="K2154" s="2" t="s">
        <v>424</v>
      </c>
      <c r="L2154" s="8" t="s">
        <v>221</v>
      </c>
      <c r="M2154" s="8" t="s">
        <v>27</v>
      </c>
      <c r="N2154" s="8" t="s">
        <v>11429</v>
      </c>
      <c r="O2154" s="8" t="s">
        <v>29</v>
      </c>
      <c r="P2154" s="8" t="s">
        <v>405</v>
      </c>
      <c r="Q2154" s="12"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2154" s="8" t="s">
        <v>972</v>
      </c>
      <c r="S2154" s="7" t="s">
        <v>28</v>
      </c>
      <c r="T2154" s="6"/>
      <c r="U2154" s="8"/>
    </row>
    <row r="2155" spans="1:21" ht="13.5" customHeight="1">
      <c r="A2155" s="8" t="s">
        <v>11402</v>
      </c>
      <c r="B2155" s="16">
        <v>23</v>
      </c>
      <c r="C2155" s="8" t="s">
        <v>20</v>
      </c>
      <c r="D2155" s="8" t="s">
        <v>48</v>
      </c>
      <c r="F2155" s="17">
        <v>41703</v>
      </c>
      <c r="G2155" s="8" t="s">
        <v>11403</v>
      </c>
      <c r="H2155" s="8" t="s">
        <v>11404</v>
      </c>
      <c r="I2155" s="8" t="s">
        <v>62</v>
      </c>
      <c r="J2155" s="16" t="s">
        <v>11405</v>
      </c>
      <c r="K2155" s="2" t="s">
        <v>11406</v>
      </c>
      <c r="L2155" s="8" t="s">
        <v>11407</v>
      </c>
      <c r="M2155" s="8" t="s">
        <v>27</v>
      </c>
      <c r="N2155" s="8" t="s">
        <v>11408</v>
      </c>
      <c r="O2155" s="8" t="s">
        <v>404</v>
      </c>
      <c r="P2155" s="8" t="s">
        <v>405</v>
      </c>
      <c r="Q2155" s="12" t="s">
        <v>11409</v>
      </c>
      <c r="R2155" s="8" t="s">
        <v>100</v>
      </c>
      <c r="S2155" s="7" t="s">
        <v>28</v>
      </c>
      <c r="T2155" s="6"/>
      <c r="U2155" s="8"/>
    </row>
    <row r="2156" spans="1:21" ht="13.5" customHeight="1">
      <c r="A2156" s="8" t="s">
        <v>11416</v>
      </c>
      <c r="B2156" s="16">
        <v>50</v>
      </c>
      <c r="C2156" s="8" t="s">
        <v>20</v>
      </c>
      <c r="D2156" s="8" t="s">
        <v>37</v>
      </c>
      <c r="E2156" s="8" t="s">
        <v>11417</v>
      </c>
      <c r="F2156" s="17">
        <v>41703</v>
      </c>
      <c r="G2156" s="8" t="s">
        <v>11418</v>
      </c>
      <c r="H2156" s="8" t="s">
        <v>11419</v>
      </c>
      <c r="I2156" s="8" t="s">
        <v>435</v>
      </c>
      <c r="J2156" s="16" t="s">
        <v>11420</v>
      </c>
      <c r="K2156" s="2" t="s">
        <v>11421</v>
      </c>
      <c r="L2156" s="8" t="s">
        <v>11422</v>
      </c>
      <c r="M2156" s="8" t="s">
        <v>27</v>
      </c>
      <c r="N2156" s="8" t="s">
        <v>11423</v>
      </c>
      <c r="O2156" s="8" t="s">
        <v>554</v>
      </c>
      <c r="P2156" s="8" t="s">
        <v>405</v>
      </c>
      <c r="Q2156" s="12" t="s">
        <v>11424</v>
      </c>
      <c r="R2156" s="8" t="s">
        <v>972</v>
      </c>
      <c r="S2156" s="7" t="s">
        <v>18</v>
      </c>
      <c r="T2156" s="6"/>
      <c r="U2156" s="8"/>
    </row>
    <row r="2157" spans="1:21" ht="13.5" customHeight="1">
      <c r="A2157" s="8" t="s">
        <v>11430</v>
      </c>
      <c r="B2157" s="16">
        <v>97</v>
      </c>
      <c r="C2157" s="8" t="s">
        <v>115</v>
      </c>
      <c r="D2157" s="8" t="s">
        <v>37</v>
      </c>
      <c r="E2157" s="8" t="s">
        <v>11431</v>
      </c>
      <c r="F2157" s="17">
        <v>41703</v>
      </c>
      <c r="G2157" s="8" t="s">
        <v>11432</v>
      </c>
      <c r="H2157" s="8" t="s">
        <v>7210</v>
      </c>
      <c r="I2157" s="8" t="s">
        <v>62</v>
      </c>
      <c r="J2157" s="16" t="s">
        <v>11433</v>
      </c>
      <c r="K2157" s="2" t="s">
        <v>3940</v>
      </c>
      <c r="L2157" s="8" t="s">
        <v>1034</v>
      </c>
      <c r="M2157" s="8" t="s">
        <v>383</v>
      </c>
      <c r="N2157" s="8" t="s">
        <v>11434</v>
      </c>
      <c r="O2157" s="8" t="s">
        <v>1018</v>
      </c>
      <c r="P2157" s="8" t="s">
        <v>405</v>
      </c>
      <c r="Q2157" s="12" t="s">
        <v>11435</v>
      </c>
      <c r="R2157" s="8" t="s">
        <v>100</v>
      </c>
      <c r="S2157" s="7" t="s">
        <v>18</v>
      </c>
      <c r="T2157" s="6"/>
      <c r="U2157" s="8"/>
    </row>
    <row r="2158" spans="1:21" ht="13.5" customHeight="1">
      <c r="A2158" s="8" t="s">
        <v>11395</v>
      </c>
      <c r="B2158" s="16">
        <v>52</v>
      </c>
      <c r="C2158" s="8" t="s">
        <v>20</v>
      </c>
      <c r="D2158" s="8" t="s">
        <v>85</v>
      </c>
      <c r="E2158" s="8" t="s">
        <v>11396</v>
      </c>
      <c r="F2158" s="17">
        <v>41703</v>
      </c>
      <c r="G2158" s="8" t="s">
        <v>11397</v>
      </c>
      <c r="H2158" s="8" t="s">
        <v>9858</v>
      </c>
      <c r="I2158" s="8" t="s">
        <v>986</v>
      </c>
      <c r="J2158" s="16" t="s">
        <v>11398</v>
      </c>
      <c r="K2158" s="2" t="s">
        <v>2521</v>
      </c>
      <c r="L2158" s="8" t="s">
        <v>11399</v>
      </c>
      <c r="M2158" s="8" t="s">
        <v>27</v>
      </c>
      <c r="N2158" s="8" t="s">
        <v>11400</v>
      </c>
      <c r="O2158" s="8" t="s">
        <v>404</v>
      </c>
      <c r="P2158" s="8" t="s">
        <v>405</v>
      </c>
      <c r="Q2158" s="12" t="s">
        <v>11401</v>
      </c>
      <c r="R2158" s="8" t="s">
        <v>29</v>
      </c>
      <c r="S2158" s="7" t="s">
        <v>18</v>
      </c>
      <c r="T2158" s="6"/>
      <c r="U2158" s="8"/>
    </row>
    <row r="2159" spans="1:21" ht="13.5" customHeight="1">
      <c r="A2159" s="8" t="s">
        <v>11410</v>
      </c>
      <c r="B2159" s="16">
        <v>23</v>
      </c>
      <c r="C2159" s="8" t="s">
        <v>20</v>
      </c>
      <c r="D2159" s="8" t="s">
        <v>48</v>
      </c>
      <c r="E2159" s="8" t="s">
        <v>11411</v>
      </c>
      <c r="F2159" s="17">
        <v>41703</v>
      </c>
      <c r="G2159" s="8" t="s">
        <v>11412</v>
      </c>
      <c r="H2159" s="8" t="s">
        <v>4738</v>
      </c>
      <c r="I2159" s="8" t="s">
        <v>212</v>
      </c>
      <c r="J2159" s="16" t="s">
        <v>11413</v>
      </c>
      <c r="K2159" s="2" t="s">
        <v>4738</v>
      </c>
      <c r="L2159" s="8" t="s">
        <v>4740</v>
      </c>
      <c r="M2159" s="8" t="s">
        <v>27</v>
      </c>
      <c r="N2159" s="8" t="s">
        <v>11414</v>
      </c>
      <c r="O2159" s="8" t="s">
        <v>554</v>
      </c>
      <c r="P2159" s="8" t="s">
        <v>405</v>
      </c>
      <c r="Q2159" s="12" t="s">
        <v>11415</v>
      </c>
      <c r="R2159" s="8" t="s">
        <v>100</v>
      </c>
      <c r="S2159" s="7" t="s">
        <v>28</v>
      </c>
      <c r="T2159" s="6"/>
      <c r="U2159" s="8"/>
    </row>
    <row r="2160" spans="1:21" ht="13.5" customHeight="1">
      <c r="A2160" s="8" t="s">
        <v>11447</v>
      </c>
      <c r="B2160" s="16">
        <v>67</v>
      </c>
      <c r="C2160" s="8" t="s">
        <v>20</v>
      </c>
      <c r="D2160" s="8" t="s">
        <v>48</v>
      </c>
      <c r="F2160" s="17">
        <v>41702</v>
      </c>
      <c r="G2160" s="8" t="s">
        <v>11448</v>
      </c>
      <c r="H2160" s="8" t="s">
        <v>1608</v>
      </c>
      <c r="I2160" s="8" t="s">
        <v>52</v>
      </c>
      <c r="J2160" s="16" t="s">
        <v>2798</v>
      </c>
      <c r="K2160" s="2" t="s">
        <v>4755</v>
      </c>
      <c r="L2160" s="8" t="s">
        <v>11449</v>
      </c>
      <c r="M2160" s="8" t="s">
        <v>8430</v>
      </c>
      <c r="N2160" s="8" t="s">
        <v>11450</v>
      </c>
      <c r="O2160" s="8" t="s">
        <v>1018</v>
      </c>
      <c r="P2160" s="8" t="s">
        <v>405</v>
      </c>
      <c r="Q2160" s="12" t="s">
        <v>11451</v>
      </c>
      <c r="R2160" s="8" t="s">
        <v>559</v>
      </c>
      <c r="S2160" s="7" t="s">
        <v>18</v>
      </c>
      <c r="T2160" s="6"/>
      <c r="U2160" s="8"/>
    </row>
    <row r="2161" spans="1:24" ht="13.5" customHeight="1">
      <c r="A2161" s="8" t="s">
        <v>11452</v>
      </c>
      <c r="B2161" s="16">
        <v>44</v>
      </c>
      <c r="C2161" s="8" t="s">
        <v>20</v>
      </c>
      <c r="D2161" s="8" t="s">
        <v>37</v>
      </c>
      <c r="E2161" s="8" t="s">
        <v>11453</v>
      </c>
      <c r="F2161" s="17">
        <v>41702</v>
      </c>
      <c r="G2161" s="8" t="s">
        <v>11454</v>
      </c>
      <c r="H2161" s="8" t="s">
        <v>11455</v>
      </c>
      <c r="I2161" s="8" t="s">
        <v>57</v>
      </c>
      <c r="J2161" s="16" t="s">
        <v>11456</v>
      </c>
      <c r="K2161" s="2" t="s">
        <v>607</v>
      </c>
      <c r="L2161" s="8" t="s">
        <v>19111</v>
      </c>
      <c r="M2161" s="8" t="s">
        <v>27</v>
      </c>
      <c r="N2161" s="8" t="s">
        <v>11457</v>
      </c>
      <c r="O2161" s="8" t="s">
        <v>404</v>
      </c>
      <c r="P2161" s="8" t="s">
        <v>405</v>
      </c>
      <c r="Q2161" s="12" t="s">
        <v>11458</v>
      </c>
      <c r="R2161" s="8" t="s">
        <v>972</v>
      </c>
      <c r="S2161" s="7" t="s">
        <v>28</v>
      </c>
      <c r="T2161" s="6"/>
      <c r="U2161" s="8"/>
    </row>
    <row r="2162" spans="1:24" ht="13.5" customHeight="1">
      <c r="A2162" s="8" t="s">
        <v>11442</v>
      </c>
      <c r="B2162" s="16">
        <v>20</v>
      </c>
      <c r="C2162" s="8" t="s">
        <v>20</v>
      </c>
      <c r="D2162" s="8" t="s">
        <v>48</v>
      </c>
      <c r="F2162" s="17">
        <v>41702</v>
      </c>
      <c r="G2162" s="8" t="s">
        <v>11443</v>
      </c>
      <c r="H2162" s="8" t="s">
        <v>771</v>
      </c>
      <c r="I2162" s="8" t="s">
        <v>62</v>
      </c>
      <c r="J2162" s="16" t="s">
        <v>11444</v>
      </c>
      <c r="K2162" s="2" t="s">
        <v>163</v>
      </c>
      <c r="L2162" s="8" t="s">
        <v>164</v>
      </c>
      <c r="M2162" s="8" t="s">
        <v>27</v>
      </c>
      <c r="N2162" s="8" t="s">
        <v>11445</v>
      </c>
      <c r="O2162" s="8" t="s">
        <v>1018</v>
      </c>
      <c r="P2162" s="8" t="s">
        <v>405</v>
      </c>
      <c r="Q2162" s="12" t="s">
        <v>11446</v>
      </c>
      <c r="R2162" s="8" t="s">
        <v>559</v>
      </c>
      <c r="S2162" s="7" t="s">
        <v>28</v>
      </c>
      <c r="T2162" s="6"/>
      <c r="U2162" s="8"/>
    </row>
    <row r="2163" spans="1:24" ht="13.5" customHeight="1">
      <c r="A2163" s="8" t="s">
        <v>11436</v>
      </c>
      <c r="B2163" s="16">
        <v>41</v>
      </c>
      <c r="C2163" s="8" t="s">
        <v>20</v>
      </c>
      <c r="D2163" s="8" t="s">
        <v>85</v>
      </c>
      <c r="E2163" s="8" t="s">
        <v>11437</v>
      </c>
      <c r="F2163" s="17">
        <v>41702</v>
      </c>
      <c r="G2163" s="8" t="s">
        <v>11438</v>
      </c>
      <c r="H2163" s="8" t="s">
        <v>10290</v>
      </c>
      <c r="I2163" s="8" t="s">
        <v>62</v>
      </c>
      <c r="J2163" s="16" t="s">
        <v>11439</v>
      </c>
      <c r="K2163" s="2" t="s">
        <v>644</v>
      </c>
      <c r="L2163" s="8" t="s">
        <v>645</v>
      </c>
      <c r="M2163" s="8" t="s">
        <v>27</v>
      </c>
      <c r="N2163" s="8" t="s">
        <v>11440</v>
      </c>
      <c r="O2163" s="8" t="s">
        <v>1018</v>
      </c>
      <c r="P2163" s="8" t="s">
        <v>405</v>
      </c>
      <c r="Q2163" s="12" t="s">
        <v>11441</v>
      </c>
      <c r="R2163" s="8" t="s">
        <v>559</v>
      </c>
      <c r="S2163" s="7" t="s">
        <v>28</v>
      </c>
      <c r="T2163" s="6"/>
      <c r="U2163" s="8"/>
    </row>
    <row r="2164" spans="1:24" ht="13.5" customHeight="1">
      <c r="A2164" s="8" t="s">
        <v>11459</v>
      </c>
      <c r="B2164" s="16">
        <v>24</v>
      </c>
      <c r="C2164" s="8" t="s">
        <v>115</v>
      </c>
      <c r="D2164" s="8" t="s">
        <v>37</v>
      </c>
      <c r="E2164" s="8" t="s">
        <v>11460</v>
      </c>
      <c r="F2164" s="17">
        <v>41702</v>
      </c>
      <c r="G2164" s="8" t="s">
        <v>11461</v>
      </c>
      <c r="H2164" s="8" t="s">
        <v>11462</v>
      </c>
      <c r="I2164" s="8" t="s">
        <v>32</v>
      </c>
      <c r="J2164" s="16" t="s">
        <v>11463</v>
      </c>
      <c r="K2164" s="2" t="s">
        <v>2893</v>
      </c>
      <c r="L2164" s="8" t="s">
        <v>11464</v>
      </c>
      <c r="M2164" s="8" t="s">
        <v>27</v>
      </c>
      <c r="N2164" s="8" t="s">
        <v>11465</v>
      </c>
      <c r="O2164" s="8" t="s">
        <v>1018</v>
      </c>
      <c r="P2164" s="8" t="s">
        <v>405</v>
      </c>
      <c r="Q2164" s="12" t="s">
        <v>11466</v>
      </c>
      <c r="R2164" s="8" t="s">
        <v>100</v>
      </c>
      <c r="S2164" s="7" t="s">
        <v>383</v>
      </c>
      <c r="T2164" s="6"/>
      <c r="U2164" s="8"/>
    </row>
    <row r="2165" spans="1:24" ht="13.5" customHeight="1">
      <c r="A2165" s="8" t="s">
        <v>11467</v>
      </c>
      <c r="B2165" s="16">
        <v>19</v>
      </c>
      <c r="C2165" s="8" t="s">
        <v>20</v>
      </c>
      <c r="D2165" s="8" t="s">
        <v>141</v>
      </c>
      <c r="F2165" s="17">
        <v>41701</v>
      </c>
      <c r="H2165" s="8" t="s">
        <v>11468</v>
      </c>
      <c r="I2165" s="8" t="s">
        <v>862</v>
      </c>
      <c r="J2165" s="16" t="s">
        <v>11469</v>
      </c>
      <c r="K2165" s="2" t="s">
        <v>11470</v>
      </c>
      <c r="L2165" s="8" t="s">
        <v>11471</v>
      </c>
      <c r="M2165" s="8" t="s">
        <v>27</v>
      </c>
      <c r="N2165" s="8" t="s">
        <v>11472</v>
      </c>
      <c r="O2165" s="8" t="s">
        <v>1018</v>
      </c>
      <c r="P2165" s="8" t="s">
        <v>405</v>
      </c>
      <c r="Q2165" s="12" t="s">
        <v>11473</v>
      </c>
      <c r="R2165" s="8" t="s">
        <v>29</v>
      </c>
      <c r="S2165" s="7" t="s">
        <v>28</v>
      </c>
      <c r="T2165" s="6"/>
      <c r="U2165" s="8"/>
    </row>
    <row r="2166" spans="1:24" ht="13.5" customHeight="1">
      <c r="A2166" s="8" t="s">
        <v>11474</v>
      </c>
      <c r="B2166" s="16">
        <v>28</v>
      </c>
      <c r="C2166" s="8" t="s">
        <v>20</v>
      </c>
      <c r="D2166" s="8" t="s">
        <v>37</v>
      </c>
      <c r="E2166" s="8" t="s">
        <v>11475</v>
      </c>
      <c r="F2166" s="17">
        <v>41701</v>
      </c>
      <c r="G2166" s="8" t="s">
        <v>11476</v>
      </c>
      <c r="H2166" s="8" t="s">
        <v>11477</v>
      </c>
      <c r="I2166" s="8" t="s">
        <v>62</v>
      </c>
      <c r="J2166" s="16" t="s">
        <v>11478</v>
      </c>
      <c r="K2166" s="2" t="s">
        <v>1033</v>
      </c>
      <c r="L2166" s="8" t="s">
        <v>11479</v>
      </c>
      <c r="M2166" s="8" t="s">
        <v>27</v>
      </c>
      <c r="N2166" s="8" t="s">
        <v>11480</v>
      </c>
      <c r="O2166" s="8" t="s">
        <v>1018</v>
      </c>
      <c r="P2166" s="8" t="s">
        <v>405</v>
      </c>
      <c r="Q2166" s="12" t="s">
        <v>11481</v>
      </c>
      <c r="R2166" s="8" t="s">
        <v>29</v>
      </c>
      <c r="S2166" s="7" t="s">
        <v>28</v>
      </c>
      <c r="T2166" s="6"/>
      <c r="U2166" s="8"/>
    </row>
    <row r="2167" spans="1:24" ht="13.5" customHeight="1">
      <c r="A2167" s="8" t="s">
        <v>11482</v>
      </c>
      <c r="B2167" s="16">
        <v>28</v>
      </c>
      <c r="C2167" s="8" t="s">
        <v>20</v>
      </c>
      <c r="D2167" s="8" t="s">
        <v>37</v>
      </c>
      <c r="F2167" s="17">
        <v>41701</v>
      </c>
      <c r="G2167" s="8" t="s">
        <v>11483</v>
      </c>
      <c r="H2167" s="8" t="s">
        <v>638</v>
      </c>
      <c r="I2167" s="8" t="s">
        <v>124</v>
      </c>
      <c r="J2167" s="16" t="s">
        <v>11484</v>
      </c>
      <c r="K2167" s="2" t="s">
        <v>639</v>
      </c>
      <c r="L2167" s="8" t="s">
        <v>640</v>
      </c>
      <c r="M2167" s="8" t="s">
        <v>27</v>
      </c>
      <c r="N2167" s="8" t="s">
        <v>11485</v>
      </c>
      <c r="O2167" s="8" t="s">
        <v>1018</v>
      </c>
      <c r="P2167" s="8" t="s">
        <v>405</v>
      </c>
      <c r="Q2167" s="12" t="s">
        <v>11486</v>
      </c>
      <c r="R2167" s="8" t="s">
        <v>29</v>
      </c>
      <c r="S2167" s="7" t="s">
        <v>28</v>
      </c>
      <c r="T2167" s="6"/>
      <c r="U2167" s="8"/>
      <c r="V2167" s="8"/>
      <c r="W2167" s="8"/>
      <c r="X2167" s="8"/>
    </row>
    <row r="2168" spans="1:24" ht="13.5" customHeight="1">
      <c r="A2168" s="8" t="s">
        <v>11487</v>
      </c>
      <c r="B2168" s="16">
        <v>22</v>
      </c>
      <c r="C2168" s="8" t="s">
        <v>115</v>
      </c>
      <c r="D2168" s="8" t="s">
        <v>48</v>
      </c>
      <c r="F2168" s="17">
        <v>41700</v>
      </c>
      <c r="G2168" s="8" t="s">
        <v>11488</v>
      </c>
      <c r="H2168" s="8" t="s">
        <v>11489</v>
      </c>
      <c r="I2168" s="8" t="s">
        <v>45</v>
      </c>
      <c r="J2168" s="16" t="s">
        <v>11490</v>
      </c>
      <c r="K2168" s="2" t="s">
        <v>1658</v>
      </c>
      <c r="L2168" s="8" t="s">
        <v>1659</v>
      </c>
      <c r="M2168" s="8" t="s">
        <v>27</v>
      </c>
      <c r="N2168" s="8" t="s">
        <v>11491</v>
      </c>
      <c r="O2168" s="8" t="s">
        <v>554</v>
      </c>
      <c r="P2168" s="8" t="s">
        <v>405</v>
      </c>
      <c r="Q2168" s="12" t="s">
        <v>11492</v>
      </c>
      <c r="R2168" s="8" t="s">
        <v>29</v>
      </c>
      <c r="S2168" s="7" t="s">
        <v>383</v>
      </c>
      <c r="T2168" s="6"/>
      <c r="U2168" s="8"/>
    </row>
    <row r="2169" spans="1:24" ht="13.5" customHeight="1">
      <c r="A2169" s="8" t="s">
        <v>11493</v>
      </c>
      <c r="B2169" s="16">
        <v>30</v>
      </c>
      <c r="C2169" s="8" t="s">
        <v>20</v>
      </c>
      <c r="D2169" s="8" t="s">
        <v>37</v>
      </c>
      <c r="E2169" s="8" t="s">
        <v>11494</v>
      </c>
      <c r="F2169" s="17">
        <v>41700</v>
      </c>
      <c r="G2169" s="8" t="s">
        <v>11495</v>
      </c>
      <c r="H2169" s="8" t="s">
        <v>11496</v>
      </c>
      <c r="I2169" s="8" t="s">
        <v>25</v>
      </c>
      <c r="J2169" s="16" t="s">
        <v>11497</v>
      </c>
      <c r="K2169" s="2" t="s">
        <v>11496</v>
      </c>
      <c r="L2169" s="8" t="s">
        <v>11498</v>
      </c>
      <c r="M2169" s="8" t="s">
        <v>8585</v>
      </c>
      <c r="N2169" s="8" t="s">
        <v>11499</v>
      </c>
      <c r="O2169" s="8" t="s">
        <v>1018</v>
      </c>
      <c r="P2169" s="8" t="s">
        <v>405</v>
      </c>
      <c r="Q2169" s="12" t="s">
        <v>11500</v>
      </c>
      <c r="R2169" s="8" t="s">
        <v>972</v>
      </c>
      <c r="S2169" s="7" t="s">
        <v>18</v>
      </c>
      <c r="T2169" s="6"/>
      <c r="U2169" s="8"/>
    </row>
    <row r="2170" spans="1:24" ht="13.5" customHeight="1">
      <c r="A2170" s="8" t="s">
        <v>11501</v>
      </c>
      <c r="B2170" s="16">
        <v>41</v>
      </c>
      <c r="C2170" s="8" t="s">
        <v>20</v>
      </c>
      <c r="D2170" s="8" t="s">
        <v>37</v>
      </c>
      <c r="F2170" s="17">
        <v>41700</v>
      </c>
      <c r="G2170" s="8" t="s">
        <v>11502</v>
      </c>
      <c r="H2170" s="8" t="s">
        <v>11503</v>
      </c>
      <c r="I2170" s="8" t="s">
        <v>45</v>
      </c>
      <c r="J2170" s="16" t="s">
        <v>11504</v>
      </c>
      <c r="K2170" s="2" t="s">
        <v>1658</v>
      </c>
      <c r="L2170" s="8" t="s">
        <v>11505</v>
      </c>
      <c r="M2170" s="8" t="s">
        <v>27</v>
      </c>
      <c r="N2170" s="8" t="s">
        <v>11506</v>
      </c>
      <c r="O2170" s="8" t="s">
        <v>1018</v>
      </c>
      <c r="P2170" s="8" t="s">
        <v>405</v>
      </c>
      <c r="Q2170" s="12" t="s">
        <v>11507</v>
      </c>
      <c r="R2170" s="8" t="s">
        <v>559</v>
      </c>
      <c r="S2170" s="7" t="s">
        <v>28</v>
      </c>
      <c r="T2170" s="6"/>
      <c r="U2170" s="8"/>
    </row>
    <row r="2171" spans="1:24" ht="13.5" customHeight="1">
      <c r="A2171" s="8" t="s">
        <v>11512</v>
      </c>
      <c r="B2171" s="16">
        <v>21</v>
      </c>
      <c r="C2171" s="8" t="s">
        <v>20</v>
      </c>
      <c r="D2171" s="8" t="s">
        <v>37</v>
      </c>
      <c r="F2171" s="17">
        <v>41699</v>
      </c>
      <c r="G2171" s="8" t="s">
        <v>11513</v>
      </c>
      <c r="H2171" s="8" t="s">
        <v>11514</v>
      </c>
      <c r="I2171" s="8" t="s">
        <v>435</v>
      </c>
      <c r="J2171" s="16" t="s">
        <v>11515</v>
      </c>
      <c r="K2171" s="2" t="s">
        <v>10545</v>
      </c>
      <c r="L2171" s="8" t="s">
        <v>11516</v>
      </c>
      <c r="M2171" s="8" t="s">
        <v>27</v>
      </c>
      <c r="N2171" s="8" t="s">
        <v>11517</v>
      </c>
      <c r="O2171" s="8" t="s">
        <v>554</v>
      </c>
      <c r="P2171" s="8" t="s">
        <v>405</v>
      </c>
      <c r="Q2171" s="12" t="s">
        <v>11518</v>
      </c>
      <c r="R2171" s="8" t="s">
        <v>559</v>
      </c>
      <c r="S2171" s="7" t="s">
        <v>28</v>
      </c>
      <c r="T2171" s="6"/>
      <c r="U2171" s="8"/>
    </row>
    <row r="2172" spans="1:24" ht="13.5" customHeight="1">
      <c r="A2172" s="8" t="s">
        <v>11508</v>
      </c>
      <c r="B2172" s="16" t="s">
        <v>29</v>
      </c>
      <c r="C2172" s="8" t="s">
        <v>20</v>
      </c>
      <c r="D2172" s="8" t="s">
        <v>48</v>
      </c>
      <c r="F2172" s="17">
        <v>41699</v>
      </c>
      <c r="G2172" s="8" t="s">
        <v>11509</v>
      </c>
      <c r="H2172" s="8" t="s">
        <v>288</v>
      </c>
      <c r="I2172" s="8" t="s">
        <v>73</v>
      </c>
      <c r="J2172" s="16" t="s">
        <v>10816</v>
      </c>
      <c r="K2172" s="2" t="s">
        <v>288</v>
      </c>
      <c r="L2172" s="8" t="s">
        <v>289</v>
      </c>
      <c r="M2172" s="8" t="s">
        <v>395</v>
      </c>
      <c r="N2172" s="8" t="s">
        <v>11510</v>
      </c>
      <c r="O2172" s="8" t="s">
        <v>1018</v>
      </c>
      <c r="P2172" s="8" t="s">
        <v>405</v>
      </c>
      <c r="Q2172" s="12" t="s">
        <v>11511</v>
      </c>
      <c r="R2172" s="8" t="s">
        <v>972</v>
      </c>
      <c r="S2172" s="7" t="s">
        <v>28</v>
      </c>
      <c r="T2172" s="6"/>
      <c r="U2172" s="8"/>
    </row>
    <row r="2173" spans="1:24" ht="13.5" customHeight="1">
      <c r="A2173" s="8" t="s">
        <v>11519</v>
      </c>
      <c r="B2173" s="16">
        <v>23</v>
      </c>
      <c r="C2173" s="8" t="s">
        <v>20</v>
      </c>
      <c r="D2173" s="8" t="s">
        <v>85</v>
      </c>
      <c r="E2173" s="8" t="s">
        <v>11520</v>
      </c>
      <c r="F2173" s="17">
        <v>41698</v>
      </c>
      <c r="G2173" s="8" t="s">
        <v>11521</v>
      </c>
      <c r="H2173" s="8" t="s">
        <v>579</v>
      </c>
      <c r="I2173" s="8" t="s">
        <v>73</v>
      </c>
      <c r="J2173" s="16" t="s">
        <v>8344</v>
      </c>
      <c r="K2173" s="2" t="s">
        <v>580</v>
      </c>
      <c r="L2173" s="8" t="s">
        <v>581</v>
      </c>
      <c r="M2173" s="8" t="s">
        <v>27</v>
      </c>
      <c r="N2173" s="8" t="s">
        <v>11522</v>
      </c>
      <c r="O2173" s="8" t="s">
        <v>1018</v>
      </c>
      <c r="P2173" s="8" t="s">
        <v>405</v>
      </c>
      <c r="Q2173" s="12" t="s">
        <v>11523</v>
      </c>
      <c r="R2173" s="8" t="s">
        <v>100</v>
      </c>
      <c r="S2173" s="7" t="s">
        <v>35</v>
      </c>
      <c r="T2173" s="6"/>
      <c r="U2173" s="8"/>
    </row>
    <row r="2174" spans="1:24" ht="13.5" customHeight="1">
      <c r="A2174" s="8" t="s">
        <v>11524</v>
      </c>
      <c r="B2174" s="16">
        <v>37</v>
      </c>
      <c r="C2174" s="8" t="s">
        <v>20</v>
      </c>
      <c r="D2174" s="8" t="s">
        <v>48</v>
      </c>
      <c r="E2174" s="8" t="s">
        <v>11525</v>
      </c>
      <c r="F2174" s="17">
        <v>41698</v>
      </c>
      <c r="G2174" s="8" t="s">
        <v>11526</v>
      </c>
      <c r="H2174" s="8" t="s">
        <v>216</v>
      </c>
      <c r="I2174" s="8" t="s">
        <v>62</v>
      </c>
      <c r="J2174" s="16" t="s">
        <v>11527</v>
      </c>
      <c r="K2174" s="2" t="s">
        <v>163</v>
      </c>
      <c r="L2174" s="8" t="s">
        <v>164</v>
      </c>
      <c r="M2174" s="8" t="s">
        <v>395</v>
      </c>
      <c r="N2174" s="8" t="s">
        <v>11528</v>
      </c>
      <c r="O2174" s="8" t="s">
        <v>1018</v>
      </c>
      <c r="P2174" s="8" t="s">
        <v>405</v>
      </c>
      <c r="Q2174" s="12" t="s">
        <v>11529</v>
      </c>
      <c r="R2174" s="8" t="s">
        <v>100</v>
      </c>
      <c r="S2174" s="7" t="s">
        <v>18</v>
      </c>
      <c r="T2174" s="6"/>
      <c r="U2174" s="8"/>
    </row>
    <row r="2175" spans="1:24" ht="13.5" customHeight="1">
      <c r="A2175" s="8" t="s">
        <v>11530</v>
      </c>
      <c r="B2175" s="16">
        <v>51</v>
      </c>
      <c r="C2175" s="8" t="s">
        <v>20</v>
      </c>
      <c r="D2175" s="8" t="s">
        <v>37</v>
      </c>
      <c r="E2175" s="8" t="s">
        <v>11531</v>
      </c>
      <c r="F2175" s="17">
        <v>41698</v>
      </c>
      <c r="G2175" s="8" t="s">
        <v>11532</v>
      </c>
      <c r="H2175" s="8" t="s">
        <v>1891</v>
      </c>
      <c r="I2175" s="8" t="s">
        <v>62</v>
      </c>
      <c r="J2175" s="16" t="s">
        <v>11533</v>
      </c>
      <c r="K2175" s="2" t="s">
        <v>1786</v>
      </c>
      <c r="L2175" s="8" t="s">
        <v>3813</v>
      </c>
      <c r="M2175" s="8" t="s">
        <v>27</v>
      </c>
      <c r="N2175" s="8" t="s">
        <v>11534</v>
      </c>
      <c r="O2175" s="8" t="s">
        <v>1018</v>
      </c>
      <c r="P2175" s="8" t="s">
        <v>405</v>
      </c>
      <c r="Q2175" s="12" t="s">
        <v>11535</v>
      </c>
      <c r="R2175" s="8" t="s">
        <v>559</v>
      </c>
      <c r="S2175" s="7" t="s">
        <v>28</v>
      </c>
      <c r="T2175" s="6"/>
      <c r="U2175" s="8"/>
    </row>
    <row r="2176" spans="1:24" ht="13.5" customHeight="1">
      <c r="A2176" s="8" t="s">
        <v>11543</v>
      </c>
      <c r="B2176" s="16">
        <v>48</v>
      </c>
      <c r="C2176" s="8" t="s">
        <v>20</v>
      </c>
      <c r="D2176" s="8" t="s">
        <v>37</v>
      </c>
      <c r="E2176" s="8" t="s">
        <v>11544</v>
      </c>
      <c r="F2176" s="17">
        <v>41697</v>
      </c>
      <c r="G2176" s="8" t="s">
        <v>11545</v>
      </c>
      <c r="H2176" s="8" t="s">
        <v>8697</v>
      </c>
      <c r="I2176" s="8" t="s">
        <v>228</v>
      </c>
      <c r="J2176" s="16">
        <v>19947</v>
      </c>
      <c r="K2176" s="2" t="s">
        <v>2007</v>
      </c>
      <c r="L2176" s="8" t="s">
        <v>11546</v>
      </c>
      <c r="M2176" s="8" t="s">
        <v>11547</v>
      </c>
      <c r="N2176" s="8" t="s">
        <v>11548</v>
      </c>
      <c r="P2176" s="8" t="s">
        <v>405</v>
      </c>
      <c r="Q2176" s="12" t="s">
        <v>11549</v>
      </c>
      <c r="R2176" s="8" t="s">
        <v>559</v>
      </c>
      <c r="S2176" s="7" t="s">
        <v>18</v>
      </c>
      <c r="T2176" s="6"/>
      <c r="U2176" s="8"/>
    </row>
    <row r="2177" spans="1:39" ht="13.5" customHeight="1">
      <c r="A2177" s="8" t="s">
        <v>11536</v>
      </c>
      <c r="B2177" s="16">
        <v>27</v>
      </c>
      <c r="C2177" s="8" t="s">
        <v>20</v>
      </c>
      <c r="D2177" s="8" t="s">
        <v>85</v>
      </c>
      <c r="E2177" s="8" t="s">
        <v>11537</v>
      </c>
      <c r="F2177" s="17">
        <v>41697</v>
      </c>
      <c r="G2177" s="8" t="s">
        <v>11538</v>
      </c>
      <c r="H2177" s="8" t="s">
        <v>6521</v>
      </c>
      <c r="I2177" s="8" t="s">
        <v>62</v>
      </c>
      <c r="J2177" s="16" t="s">
        <v>11539</v>
      </c>
      <c r="K2177" s="2" t="s">
        <v>163</v>
      </c>
      <c r="L2177" s="8" t="s">
        <v>11540</v>
      </c>
      <c r="M2177" s="8" t="s">
        <v>27</v>
      </c>
      <c r="N2177" s="8" t="s">
        <v>11541</v>
      </c>
      <c r="O2177" s="8" t="s">
        <v>1018</v>
      </c>
      <c r="P2177" s="8" t="s">
        <v>405</v>
      </c>
      <c r="Q2177" s="12" t="s">
        <v>11542</v>
      </c>
      <c r="R2177" s="8" t="s">
        <v>100</v>
      </c>
      <c r="S2177" s="7" t="s">
        <v>18</v>
      </c>
      <c r="T2177" s="6"/>
      <c r="U2177" s="8"/>
    </row>
    <row r="2178" spans="1:39" ht="13.5" customHeight="1">
      <c r="A2178" s="8" t="s">
        <v>11571</v>
      </c>
      <c r="B2178" s="16">
        <v>42</v>
      </c>
      <c r="C2178" s="8" t="s">
        <v>115</v>
      </c>
      <c r="D2178" s="8" t="s">
        <v>37</v>
      </c>
      <c r="E2178" s="8" t="s">
        <v>11572</v>
      </c>
      <c r="F2178" s="17">
        <v>41696</v>
      </c>
      <c r="G2178" s="8" t="s">
        <v>11573</v>
      </c>
      <c r="H2178" s="8" t="s">
        <v>288</v>
      </c>
      <c r="I2178" s="8" t="s">
        <v>73</v>
      </c>
      <c r="J2178" s="16" t="s">
        <v>10816</v>
      </c>
      <c r="K2178" s="2" t="s">
        <v>288</v>
      </c>
      <c r="L2178" s="8" t="s">
        <v>11574</v>
      </c>
      <c r="M2178" s="8" t="s">
        <v>27</v>
      </c>
      <c r="N2178" s="8" t="s">
        <v>11575</v>
      </c>
      <c r="O2178" s="8" t="s">
        <v>619</v>
      </c>
      <c r="P2178" s="8" t="s">
        <v>1171</v>
      </c>
      <c r="Q2178" s="12" t="s">
        <v>11576</v>
      </c>
      <c r="R2178" s="8" t="s">
        <v>100</v>
      </c>
      <c r="S2178" s="7" t="s">
        <v>18</v>
      </c>
      <c r="T2178" s="6"/>
      <c r="U2178" s="8"/>
    </row>
    <row r="2179" spans="1:39" ht="13.5" customHeight="1">
      <c r="A2179" s="8" t="s">
        <v>11559</v>
      </c>
      <c r="B2179" s="16">
        <v>62</v>
      </c>
      <c r="C2179" s="8" t="s">
        <v>20</v>
      </c>
      <c r="D2179" s="8" t="s">
        <v>37</v>
      </c>
      <c r="E2179" s="8" t="s">
        <v>11560</v>
      </c>
      <c r="F2179" s="17">
        <v>41696</v>
      </c>
      <c r="G2179" s="8" t="s">
        <v>11561</v>
      </c>
      <c r="H2179" s="8" t="s">
        <v>158</v>
      </c>
      <c r="I2179" s="8" t="s">
        <v>45</v>
      </c>
      <c r="J2179" s="16" t="s">
        <v>11562</v>
      </c>
      <c r="K2179" s="2" t="s">
        <v>158</v>
      </c>
      <c r="L2179" s="8" t="s">
        <v>159</v>
      </c>
      <c r="M2179" s="8" t="s">
        <v>27</v>
      </c>
      <c r="N2179" s="8" t="s">
        <v>11563</v>
      </c>
      <c r="O2179" s="8" t="s">
        <v>1018</v>
      </c>
      <c r="P2179" s="8" t="s">
        <v>405</v>
      </c>
      <c r="Q2179" s="12" t="str">
        <f>HYPERLINK("http://www.utsandiego.com/news/2014/feb/26/suicidal-man-rifle-downtown-san-diego/","http://www.utsandiego.com/news/2014/feb/26/suicidal-man-rifle-downtown-san-diego/")</f>
        <v>http://www.utsandiego.com/news/2014/feb/26/suicidal-man-rifle-downtown-san-diego/</v>
      </c>
      <c r="R2179" s="8" t="s">
        <v>559</v>
      </c>
      <c r="S2179" s="7" t="s">
        <v>28</v>
      </c>
      <c r="T2179" s="6"/>
      <c r="U2179" s="8"/>
    </row>
    <row r="2180" spans="1:39" ht="13.5" customHeight="1">
      <c r="A2180" s="8" t="s">
        <v>3288</v>
      </c>
      <c r="B2180" s="16" t="s">
        <v>29</v>
      </c>
      <c r="C2180" s="8" t="s">
        <v>20</v>
      </c>
      <c r="D2180" s="8" t="s">
        <v>30</v>
      </c>
      <c r="F2180" s="17">
        <v>41696</v>
      </c>
      <c r="G2180" s="8" t="s">
        <v>11556</v>
      </c>
      <c r="H2180" s="8" t="s">
        <v>292</v>
      </c>
      <c r="I2180" s="8" t="s">
        <v>319</v>
      </c>
      <c r="J2180" s="16">
        <v>40065</v>
      </c>
      <c r="K2180" s="2" t="s">
        <v>1205</v>
      </c>
      <c r="L2180" s="8" t="s">
        <v>3406</v>
      </c>
      <c r="M2180" s="8" t="s">
        <v>27</v>
      </c>
      <c r="N2180" s="8" t="s">
        <v>11557</v>
      </c>
      <c r="P2180" s="8" t="s">
        <v>405</v>
      </c>
      <c r="Q2180" s="12" t="s">
        <v>11558</v>
      </c>
      <c r="S2180" s="7" t="s">
        <v>28</v>
      </c>
      <c r="T2180" s="6"/>
      <c r="U2180" s="8"/>
    </row>
    <row r="2181" spans="1:39" ht="13.5" customHeight="1">
      <c r="A2181" s="8" t="s">
        <v>11564</v>
      </c>
      <c r="B2181" s="16">
        <v>33</v>
      </c>
      <c r="C2181" s="8" t="s">
        <v>20</v>
      </c>
      <c r="D2181" s="8" t="s">
        <v>37</v>
      </c>
      <c r="F2181" s="17">
        <v>41696</v>
      </c>
      <c r="G2181" s="8" t="s">
        <v>11565</v>
      </c>
      <c r="H2181" s="8" t="s">
        <v>11566</v>
      </c>
      <c r="I2181" s="8" t="s">
        <v>44</v>
      </c>
      <c r="J2181" s="16" t="s">
        <v>11567</v>
      </c>
      <c r="K2181" s="2" t="s">
        <v>11568</v>
      </c>
      <c r="L2181" s="8" t="s">
        <v>11569</v>
      </c>
      <c r="M2181" s="8" t="s">
        <v>27</v>
      </c>
      <c r="N2181" s="8" t="s">
        <v>11570</v>
      </c>
      <c r="O2181" s="8" t="s">
        <v>1018</v>
      </c>
      <c r="P2181" s="8" t="s">
        <v>405</v>
      </c>
      <c r="Q2181" s="12"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2181" s="8" t="s">
        <v>100</v>
      </c>
      <c r="S2181" s="7" t="s">
        <v>28</v>
      </c>
      <c r="T2181" s="6"/>
      <c r="U2181" s="8"/>
    </row>
    <row r="2182" spans="1:39" ht="13.5" customHeight="1">
      <c r="A2182" s="8" t="s">
        <v>11550</v>
      </c>
      <c r="B2182" s="16">
        <v>32</v>
      </c>
      <c r="C2182" s="8" t="s">
        <v>20</v>
      </c>
      <c r="D2182" s="8" t="s">
        <v>21</v>
      </c>
      <c r="F2182" s="17">
        <v>41696</v>
      </c>
      <c r="G2182" s="8" t="s">
        <v>11551</v>
      </c>
      <c r="H2182" s="8" t="s">
        <v>11552</v>
      </c>
      <c r="I2182" s="8" t="s">
        <v>41</v>
      </c>
      <c r="J2182" s="16" t="s">
        <v>11553</v>
      </c>
      <c r="K2182" s="2" t="s">
        <v>4944</v>
      </c>
      <c r="L2182" s="8" t="s">
        <v>43</v>
      </c>
      <c r="M2182" s="8" t="s">
        <v>27</v>
      </c>
      <c r="N2182" s="8" t="s">
        <v>11554</v>
      </c>
      <c r="O2182" s="8" t="s">
        <v>1018</v>
      </c>
      <c r="P2182" s="8" t="s">
        <v>405</v>
      </c>
      <c r="Q2182" s="12" t="s">
        <v>11555</v>
      </c>
      <c r="R2182" s="8" t="s">
        <v>29</v>
      </c>
      <c r="S2182" s="7" t="s">
        <v>28</v>
      </c>
      <c r="T2182" s="6"/>
      <c r="U2182" s="8"/>
      <c r="AI2182" s="8"/>
      <c r="AJ2182" s="8"/>
      <c r="AK2182" s="8"/>
      <c r="AL2182" s="8"/>
      <c r="AM2182" s="8"/>
    </row>
    <row r="2183" spans="1:39" ht="13.5" customHeight="1">
      <c r="A2183" s="8" t="s">
        <v>11577</v>
      </c>
      <c r="B2183" s="16">
        <v>48</v>
      </c>
      <c r="C2183" s="8" t="s">
        <v>20</v>
      </c>
      <c r="D2183" s="8" t="s">
        <v>30</v>
      </c>
      <c r="F2183" s="17">
        <v>41695</v>
      </c>
      <c r="G2183" s="8" t="s">
        <v>11578</v>
      </c>
      <c r="H2183" s="8" t="s">
        <v>11579</v>
      </c>
      <c r="I2183" s="8" t="s">
        <v>57</v>
      </c>
      <c r="J2183" s="16" t="s">
        <v>11580</v>
      </c>
      <c r="K2183" s="2" t="s">
        <v>1139</v>
      </c>
      <c r="L2183" s="8" t="s">
        <v>11581</v>
      </c>
      <c r="M2183" s="8" t="s">
        <v>27</v>
      </c>
      <c r="N2183" s="8" t="s">
        <v>11582</v>
      </c>
      <c r="O2183" s="8" t="s">
        <v>1018</v>
      </c>
      <c r="P2183" s="8" t="s">
        <v>405</v>
      </c>
      <c r="Q2183" s="12" t="str">
        <f>HYPERLINK("http://thenewsherald.com/articles/2014/02/28/news/doc5310a54ba9b5b176742526.txt","http://thenewsherald.com/articles/2014/02/28/news/doc5310a54ba9b5b176742526.txt")</f>
        <v>http://thenewsherald.com/articles/2014/02/28/news/doc5310a54ba9b5b176742526.txt</v>
      </c>
      <c r="R2183" s="8" t="s">
        <v>559</v>
      </c>
      <c r="S2183" s="7" t="s">
        <v>28</v>
      </c>
      <c r="T2183" s="6"/>
      <c r="U2183" s="8"/>
    </row>
    <row r="2184" spans="1:39" ht="13.5" customHeight="1">
      <c r="A2184" s="8" t="s">
        <v>11589</v>
      </c>
      <c r="B2184" s="16">
        <v>70</v>
      </c>
      <c r="C2184" s="8" t="s">
        <v>20</v>
      </c>
      <c r="D2184" s="8" t="s">
        <v>37</v>
      </c>
      <c r="E2184" s="8" t="s">
        <v>11590</v>
      </c>
      <c r="F2184" s="17">
        <v>41695</v>
      </c>
      <c r="H2184" s="8" t="s">
        <v>11591</v>
      </c>
      <c r="I2184" s="8" t="s">
        <v>32</v>
      </c>
      <c r="J2184" s="16">
        <v>29710</v>
      </c>
      <c r="K2184" s="2" t="s">
        <v>1620</v>
      </c>
      <c r="L2184" s="8" t="s">
        <v>11592</v>
      </c>
      <c r="M2184" s="8" t="s">
        <v>27</v>
      </c>
      <c r="N2184" s="8" t="s">
        <v>11593</v>
      </c>
      <c r="O2184" s="8" t="s">
        <v>554</v>
      </c>
      <c r="P2184" s="8" t="s">
        <v>405</v>
      </c>
      <c r="Q2184" s="12" t="s">
        <v>11594</v>
      </c>
      <c r="R2184" s="8" t="s">
        <v>100</v>
      </c>
      <c r="S2184" s="7" t="s">
        <v>18</v>
      </c>
      <c r="T2184" s="6"/>
      <c r="U2184" s="8"/>
    </row>
    <row r="2185" spans="1:39" ht="13.5" customHeight="1">
      <c r="A2185" s="8" t="s">
        <v>11583</v>
      </c>
      <c r="B2185" s="16">
        <v>57</v>
      </c>
      <c r="C2185" s="8" t="s">
        <v>20</v>
      </c>
      <c r="D2185" s="8" t="s">
        <v>37</v>
      </c>
      <c r="E2185" s="8" t="s">
        <v>11584</v>
      </c>
      <c r="F2185" s="17">
        <v>41695</v>
      </c>
      <c r="G2185" s="8" t="s">
        <v>11585</v>
      </c>
      <c r="H2185" s="8" t="s">
        <v>1442</v>
      </c>
      <c r="I2185" s="8" t="s">
        <v>124</v>
      </c>
      <c r="J2185" s="16" t="s">
        <v>11586</v>
      </c>
      <c r="K2185" s="2" t="s">
        <v>639</v>
      </c>
      <c r="L2185" s="8" t="s">
        <v>815</v>
      </c>
      <c r="M2185" s="8" t="s">
        <v>27</v>
      </c>
      <c r="N2185" s="8" t="s">
        <v>11587</v>
      </c>
      <c r="O2185" s="8" t="s">
        <v>1018</v>
      </c>
      <c r="P2185" s="8" t="s">
        <v>405</v>
      </c>
      <c r="Q2185" s="12" t="s">
        <v>11588</v>
      </c>
      <c r="R2185" s="8" t="s">
        <v>100</v>
      </c>
      <c r="S2185" s="7" t="s">
        <v>28</v>
      </c>
      <c r="T2185" s="6"/>
      <c r="U2185" s="8"/>
    </row>
    <row r="2186" spans="1:39" ht="13.5" customHeight="1">
      <c r="A2186" s="8" t="s">
        <v>11598</v>
      </c>
      <c r="B2186" s="16">
        <v>37</v>
      </c>
      <c r="C2186" s="8" t="s">
        <v>20</v>
      </c>
      <c r="D2186" s="8" t="s">
        <v>85</v>
      </c>
      <c r="E2186" s="8" t="s">
        <v>11599</v>
      </c>
      <c r="F2186" s="17">
        <v>41694</v>
      </c>
      <c r="G2186" s="8" t="s">
        <v>11600</v>
      </c>
      <c r="H2186" s="8" t="s">
        <v>551</v>
      </c>
      <c r="I2186" s="8" t="s">
        <v>69</v>
      </c>
      <c r="J2186" s="16" t="s">
        <v>11601</v>
      </c>
      <c r="K2186" s="2" t="s">
        <v>552</v>
      </c>
      <c r="L2186" s="8" t="s">
        <v>553</v>
      </c>
      <c r="M2186" s="8" t="s">
        <v>27</v>
      </c>
      <c r="N2186" s="8" t="s">
        <v>11602</v>
      </c>
      <c r="O2186" s="8" t="s">
        <v>1018</v>
      </c>
      <c r="P2186" s="8" t="s">
        <v>405</v>
      </c>
      <c r="Q2186" s="12" t="s">
        <v>11603</v>
      </c>
      <c r="R2186" s="8" t="s">
        <v>100</v>
      </c>
      <c r="S2186" s="7" t="s">
        <v>28</v>
      </c>
      <c r="T2186" s="6"/>
      <c r="U2186" s="8"/>
    </row>
    <row r="2187" spans="1:39" ht="13.5" customHeight="1">
      <c r="A2187" s="8" t="s">
        <v>11595</v>
      </c>
      <c r="B2187" s="16">
        <v>38</v>
      </c>
      <c r="C2187" s="8" t="s">
        <v>20</v>
      </c>
      <c r="D2187" s="8" t="s">
        <v>85</v>
      </c>
      <c r="E2187" s="8" t="str">
        <f>HYPERLINK("http://rollingout.com/wp-content/uploads/2014/02/Kenneth-Lucas-and-Family.jpg?f66a58","http://rollingout.com/wp-content/uploads/2014/02/Kenneth-Lucas-and-Family.jpg?f66a58")</f>
        <v>http://rollingout.com/wp-content/uploads/2014/02/Kenneth-Lucas-and-Family.jpg?f66a58</v>
      </c>
      <c r="F2187" s="17">
        <v>41694</v>
      </c>
      <c r="G2187" s="8" t="s">
        <v>11596</v>
      </c>
      <c r="H2187" s="8" t="s">
        <v>731</v>
      </c>
      <c r="I2187" s="8" t="s">
        <v>73</v>
      </c>
      <c r="J2187" s="16">
        <v>77049</v>
      </c>
      <c r="K2187" s="2" t="s">
        <v>562</v>
      </c>
      <c r="L2187" s="8" t="s">
        <v>563</v>
      </c>
      <c r="M2187" s="8" t="s">
        <v>11547</v>
      </c>
      <c r="N2187" s="8" t="s">
        <v>11597</v>
      </c>
      <c r="O2187" s="8" t="s">
        <v>554</v>
      </c>
      <c r="P2187" s="8" t="s">
        <v>405</v>
      </c>
      <c r="Q2187" s="12" t="str">
        <f>HYPERLINK("http://rollingout.com/news/why-did-kenneth-lucas-jailed-in-texas-die-after-guards-left-cell/","http://rollingout.com/news/why-did-kenneth-lucas-jailed-in-texas-die-after-guards-left-cell/")</f>
        <v>http://rollingout.com/news/why-did-kenneth-lucas-jailed-in-texas-die-after-guards-left-cell/</v>
      </c>
      <c r="R2187" s="8" t="s">
        <v>29</v>
      </c>
      <c r="S2187" s="7" t="s">
        <v>18</v>
      </c>
      <c r="T2187" s="6"/>
      <c r="U2187" s="8"/>
    </row>
    <row r="2188" spans="1:39" ht="13.5" customHeight="1">
      <c r="A2188" s="8" t="s">
        <v>11609</v>
      </c>
      <c r="B2188" s="16">
        <v>33</v>
      </c>
      <c r="C2188" s="8" t="s">
        <v>20</v>
      </c>
      <c r="D2188" s="8" t="s">
        <v>37</v>
      </c>
      <c r="E2188" s="8" t="s">
        <v>11610</v>
      </c>
      <c r="F2188" s="17">
        <v>41693</v>
      </c>
      <c r="G2188" s="8" t="s">
        <v>11611</v>
      </c>
      <c r="H2188" s="8" t="s">
        <v>846</v>
      </c>
      <c r="I2188" s="8" t="s">
        <v>306</v>
      </c>
      <c r="J2188" s="16" t="s">
        <v>11612</v>
      </c>
      <c r="K2188" s="2" t="s">
        <v>846</v>
      </c>
      <c r="L2188" s="8" t="s">
        <v>11613</v>
      </c>
      <c r="M2188" s="8" t="s">
        <v>6129</v>
      </c>
      <c r="N2188" s="8" t="s">
        <v>11614</v>
      </c>
      <c r="O2188" s="8" t="s">
        <v>554</v>
      </c>
      <c r="P2188" s="8" t="s">
        <v>405</v>
      </c>
      <c r="Q2188" s="12" t="s">
        <v>11615</v>
      </c>
      <c r="R2188" s="8" t="s">
        <v>972</v>
      </c>
      <c r="S2188" s="7" t="s">
        <v>18</v>
      </c>
      <c r="T2188" s="6"/>
      <c r="U2188" s="8"/>
    </row>
    <row r="2189" spans="1:39" ht="13.5" customHeight="1">
      <c r="A2189" s="8" t="s">
        <v>11604</v>
      </c>
      <c r="B2189" s="16">
        <v>18</v>
      </c>
      <c r="C2189" s="8" t="s">
        <v>20</v>
      </c>
      <c r="D2189" s="8" t="s">
        <v>21</v>
      </c>
      <c r="E2189" s="8" t="s">
        <v>11605</v>
      </c>
      <c r="F2189" s="17">
        <v>41693</v>
      </c>
      <c r="G2189" s="8" t="s">
        <v>11606</v>
      </c>
      <c r="H2189" s="8" t="s">
        <v>203</v>
      </c>
      <c r="I2189" s="8" t="s">
        <v>45</v>
      </c>
      <c r="J2189" s="16" t="s">
        <v>7172</v>
      </c>
      <c r="K2189" s="2" t="s">
        <v>203</v>
      </c>
      <c r="L2189" s="8" t="s">
        <v>204</v>
      </c>
      <c r="M2189" s="8" t="s">
        <v>27</v>
      </c>
      <c r="N2189" s="8" t="s">
        <v>11607</v>
      </c>
      <c r="O2189" s="8" t="s">
        <v>1018</v>
      </c>
      <c r="P2189" s="8" t="s">
        <v>405</v>
      </c>
      <c r="Q2189" s="12" t="s">
        <v>11608</v>
      </c>
      <c r="R2189" s="8" t="s">
        <v>100</v>
      </c>
      <c r="S2189" s="7" t="s">
        <v>28</v>
      </c>
      <c r="T2189" s="6"/>
      <c r="U2189" s="8"/>
      <c r="AI2189" s="8"/>
      <c r="AJ2189" s="8"/>
      <c r="AK2189" s="8"/>
      <c r="AL2189" s="8"/>
      <c r="AM2189" s="8"/>
    </row>
    <row r="2190" spans="1:39" ht="13.5" customHeight="1">
      <c r="A2190" s="8" t="s">
        <v>11616</v>
      </c>
      <c r="B2190" s="16">
        <v>44</v>
      </c>
      <c r="C2190" s="8" t="s">
        <v>20</v>
      </c>
      <c r="D2190" s="8" t="s">
        <v>48</v>
      </c>
      <c r="F2190" s="17">
        <v>41692</v>
      </c>
      <c r="G2190" s="8" t="s">
        <v>11617</v>
      </c>
      <c r="H2190" s="8" t="s">
        <v>565</v>
      </c>
      <c r="I2190" s="8" t="s">
        <v>124</v>
      </c>
      <c r="J2190" s="16" t="s">
        <v>11618</v>
      </c>
      <c r="K2190" s="2" t="s">
        <v>566</v>
      </c>
      <c r="L2190" s="8" t="s">
        <v>567</v>
      </c>
      <c r="M2190" s="8" t="s">
        <v>27</v>
      </c>
      <c r="N2190" s="8" t="s">
        <v>11619</v>
      </c>
      <c r="O2190" s="8" t="s">
        <v>1018</v>
      </c>
      <c r="P2190" s="8" t="s">
        <v>405</v>
      </c>
      <c r="Q2190" s="12" t="s">
        <v>11620</v>
      </c>
      <c r="R2190" s="8" t="s">
        <v>100</v>
      </c>
      <c r="S2190" s="7" t="s">
        <v>18</v>
      </c>
      <c r="T2190" s="6"/>
      <c r="U2190" s="8"/>
    </row>
    <row r="2191" spans="1:39" ht="13.5" customHeight="1">
      <c r="A2191" s="8" t="s">
        <v>11621</v>
      </c>
      <c r="B2191" s="16">
        <v>38</v>
      </c>
      <c r="C2191" s="8" t="s">
        <v>20</v>
      </c>
      <c r="D2191" s="8" t="s">
        <v>48</v>
      </c>
      <c r="E2191" s="8" t="s">
        <v>11622</v>
      </c>
      <c r="F2191" s="17">
        <v>41691</v>
      </c>
      <c r="G2191" s="8" t="s">
        <v>11623</v>
      </c>
      <c r="H2191" s="8" t="s">
        <v>612</v>
      </c>
      <c r="I2191" s="8" t="s">
        <v>45</v>
      </c>
      <c r="J2191" s="16" t="s">
        <v>11624</v>
      </c>
      <c r="K2191" s="2" t="s">
        <v>613</v>
      </c>
      <c r="L2191" s="8" t="s">
        <v>11625</v>
      </c>
      <c r="M2191" s="8" t="s">
        <v>27</v>
      </c>
      <c r="N2191" s="8" t="s">
        <v>11626</v>
      </c>
      <c r="O2191" s="8" t="s">
        <v>1018</v>
      </c>
      <c r="P2191" s="8" t="s">
        <v>405</v>
      </c>
      <c r="Q2191" s="12" t="s">
        <v>11627</v>
      </c>
      <c r="R2191" s="8" t="s">
        <v>100</v>
      </c>
      <c r="S2191" s="7" t="s">
        <v>28</v>
      </c>
      <c r="T2191" s="6"/>
      <c r="U2191" s="8"/>
    </row>
    <row r="2192" spans="1:39" ht="13.5" customHeight="1">
      <c r="A2192" s="8" t="s">
        <v>11628</v>
      </c>
      <c r="B2192" s="16">
        <v>70</v>
      </c>
      <c r="C2192" s="8" t="s">
        <v>20</v>
      </c>
      <c r="D2192" s="8" t="s">
        <v>30</v>
      </c>
      <c r="F2192" s="17">
        <v>41690</v>
      </c>
      <c r="G2192" s="8" t="s">
        <v>11629</v>
      </c>
      <c r="H2192" s="8" t="s">
        <v>11468</v>
      </c>
      <c r="I2192" s="8" t="s">
        <v>862</v>
      </c>
      <c r="J2192" s="16" t="s">
        <v>11469</v>
      </c>
      <c r="K2192" s="2" t="s">
        <v>11470</v>
      </c>
      <c r="L2192" s="8" t="s">
        <v>11630</v>
      </c>
      <c r="M2192" s="8" t="s">
        <v>27</v>
      </c>
      <c r="N2192" s="8" t="s">
        <v>11631</v>
      </c>
      <c r="O2192" s="8" t="s">
        <v>1018</v>
      </c>
      <c r="P2192" s="8" t="s">
        <v>405</v>
      </c>
      <c r="Q2192" s="12" t="s">
        <v>11632</v>
      </c>
      <c r="R2192" s="8" t="s">
        <v>559</v>
      </c>
      <c r="S2192" s="7" t="s">
        <v>28</v>
      </c>
      <c r="T2192" s="6"/>
      <c r="U2192" s="8"/>
    </row>
    <row r="2193" spans="1:34" ht="13.5" customHeight="1">
      <c r="A2193" s="8" t="s">
        <v>11633</v>
      </c>
      <c r="B2193" s="16">
        <v>60</v>
      </c>
      <c r="C2193" s="8" t="s">
        <v>20</v>
      </c>
      <c r="D2193" s="8" t="s">
        <v>85</v>
      </c>
      <c r="F2193" s="17">
        <v>41688</v>
      </c>
      <c r="G2193" s="8" t="s">
        <v>11634</v>
      </c>
      <c r="H2193" s="8" t="s">
        <v>11635</v>
      </c>
      <c r="I2193" s="8" t="s">
        <v>45</v>
      </c>
      <c r="J2193" s="16" t="s">
        <v>11636</v>
      </c>
      <c r="K2193" s="2" t="s">
        <v>608</v>
      </c>
      <c r="L2193" s="8" t="s">
        <v>252</v>
      </c>
      <c r="M2193" s="8" t="s">
        <v>27</v>
      </c>
      <c r="N2193" s="8" t="s">
        <v>11637</v>
      </c>
      <c r="O2193" s="8" t="s">
        <v>1018</v>
      </c>
      <c r="P2193" s="8" t="s">
        <v>405</v>
      </c>
      <c r="Q2193" s="12" t="s">
        <v>11638</v>
      </c>
      <c r="R2193" s="8" t="s">
        <v>559</v>
      </c>
      <c r="S2193" s="7" t="s">
        <v>28</v>
      </c>
      <c r="T2193" s="6"/>
      <c r="U2193" s="8"/>
      <c r="Y2193" s="8"/>
      <c r="Z2193" s="8"/>
      <c r="AA2193" s="8"/>
      <c r="AB2193" s="8"/>
      <c r="AC2193" s="8"/>
      <c r="AD2193" s="8"/>
      <c r="AE2193" s="8"/>
      <c r="AF2193" s="8"/>
      <c r="AG2193" s="8"/>
      <c r="AH2193" s="8"/>
    </row>
    <row r="2194" spans="1:34" ht="13.5" customHeight="1">
      <c r="A2194" s="8" t="s">
        <v>11639</v>
      </c>
      <c r="B2194" s="16">
        <v>42</v>
      </c>
      <c r="C2194" s="8" t="s">
        <v>20</v>
      </c>
      <c r="D2194" s="8" t="s">
        <v>48</v>
      </c>
      <c r="F2194" s="17">
        <v>41688</v>
      </c>
      <c r="G2194" s="8" t="s">
        <v>11640</v>
      </c>
      <c r="H2194" s="8" t="s">
        <v>158</v>
      </c>
      <c r="I2194" s="8" t="s">
        <v>45</v>
      </c>
      <c r="J2194" s="16" t="s">
        <v>11641</v>
      </c>
      <c r="K2194" s="2" t="s">
        <v>158</v>
      </c>
      <c r="L2194" s="8" t="s">
        <v>4790</v>
      </c>
      <c r="M2194" s="8" t="s">
        <v>27</v>
      </c>
      <c r="N2194" s="8" t="s">
        <v>11642</v>
      </c>
      <c r="O2194" s="8" t="s">
        <v>1018</v>
      </c>
      <c r="P2194" s="8" t="s">
        <v>405</v>
      </c>
      <c r="Q2194" s="12" t="s">
        <v>11643</v>
      </c>
      <c r="R2194" s="8" t="s">
        <v>29</v>
      </c>
      <c r="S2194" s="7" t="s">
        <v>18</v>
      </c>
      <c r="T2194" s="6"/>
      <c r="U2194" s="8"/>
    </row>
    <row r="2195" spans="1:34" ht="13.5" customHeight="1">
      <c r="A2195" s="8" t="s">
        <v>11644</v>
      </c>
      <c r="B2195" s="16">
        <v>37</v>
      </c>
      <c r="C2195" s="8" t="s">
        <v>20</v>
      </c>
      <c r="D2195" s="8" t="s">
        <v>37</v>
      </c>
      <c r="E2195" s="8" t="s">
        <v>11645</v>
      </c>
      <c r="F2195" s="17">
        <v>41688</v>
      </c>
      <c r="G2195" s="8" t="s">
        <v>11646</v>
      </c>
      <c r="H2195" s="8" t="s">
        <v>11647</v>
      </c>
      <c r="I2195" s="8" t="s">
        <v>73</v>
      </c>
      <c r="J2195" s="16" t="s">
        <v>11648</v>
      </c>
      <c r="K2195" s="2" t="s">
        <v>600</v>
      </c>
      <c r="L2195" s="8" t="s">
        <v>11649</v>
      </c>
      <c r="M2195" s="8" t="s">
        <v>27</v>
      </c>
      <c r="N2195" s="8" t="s">
        <v>11650</v>
      </c>
      <c r="O2195" s="8" t="s">
        <v>554</v>
      </c>
      <c r="P2195" s="8" t="s">
        <v>405</v>
      </c>
      <c r="Q2195" s="12" t="s">
        <v>11651</v>
      </c>
      <c r="R2195" s="8" t="s">
        <v>29</v>
      </c>
      <c r="S2195" s="7" t="s">
        <v>28</v>
      </c>
      <c r="T2195" s="6"/>
      <c r="U2195" s="8"/>
    </row>
    <row r="2196" spans="1:34" ht="13.5" customHeight="1">
      <c r="A2196" s="8" t="s">
        <v>11658</v>
      </c>
      <c r="B2196" s="16">
        <v>62</v>
      </c>
      <c r="C2196" s="8" t="s">
        <v>115</v>
      </c>
      <c r="D2196" s="8" t="s">
        <v>48</v>
      </c>
      <c r="E2196" s="8" t="s">
        <v>11659</v>
      </c>
      <c r="F2196" s="17">
        <v>41687</v>
      </c>
      <c r="G2196" s="8" t="s">
        <v>11660</v>
      </c>
      <c r="H2196" s="8" t="s">
        <v>434</v>
      </c>
      <c r="I2196" s="8" t="s">
        <v>367</v>
      </c>
      <c r="J2196" s="16" t="s">
        <v>11661</v>
      </c>
      <c r="K2196" s="2" t="s">
        <v>604</v>
      </c>
      <c r="L2196" s="8" t="s">
        <v>2140</v>
      </c>
      <c r="M2196" s="8" t="s">
        <v>383</v>
      </c>
      <c r="N2196" s="8" t="s">
        <v>11662</v>
      </c>
      <c r="O2196" s="8" t="s">
        <v>1018</v>
      </c>
      <c r="P2196" s="8" t="s">
        <v>405</v>
      </c>
      <c r="Q2196" s="12" t="s">
        <v>11663</v>
      </c>
      <c r="R2196" s="8" t="s">
        <v>100</v>
      </c>
      <c r="S2196" s="7" t="s">
        <v>18</v>
      </c>
      <c r="T2196" s="6"/>
      <c r="U2196" s="8"/>
    </row>
    <row r="2197" spans="1:34" ht="13.5" customHeight="1">
      <c r="A2197" s="8" t="s">
        <v>11664</v>
      </c>
      <c r="B2197" s="16">
        <v>44</v>
      </c>
      <c r="C2197" s="8" t="s">
        <v>20</v>
      </c>
      <c r="D2197" s="8" t="s">
        <v>37</v>
      </c>
      <c r="F2197" s="17">
        <v>41687</v>
      </c>
      <c r="G2197" s="8" t="s">
        <v>11665</v>
      </c>
      <c r="H2197" s="8" t="s">
        <v>7670</v>
      </c>
      <c r="I2197" s="8" t="s">
        <v>220</v>
      </c>
      <c r="J2197" s="16" t="s">
        <v>11666</v>
      </c>
      <c r="K2197" s="2" t="s">
        <v>1269</v>
      </c>
      <c r="L2197" s="8" t="s">
        <v>11667</v>
      </c>
      <c r="M2197" s="8" t="s">
        <v>27</v>
      </c>
      <c r="N2197" s="8" t="s">
        <v>11668</v>
      </c>
      <c r="O2197" s="8" t="s">
        <v>1018</v>
      </c>
      <c r="P2197" s="8" t="s">
        <v>405</v>
      </c>
      <c r="Q2197" s="12" t="s">
        <v>11669</v>
      </c>
      <c r="R2197" s="8" t="s">
        <v>100</v>
      </c>
      <c r="S2197" s="7" t="s">
        <v>28</v>
      </c>
      <c r="T2197" s="6"/>
      <c r="U2197" s="8"/>
    </row>
    <row r="2198" spans="1:34" ht="13.5" customHeight="1">
      <c r="A2198" s="8" t="s">
        <v>11652</v>
      </c>
      <c r="B2198" s="16">
        <v>17</v>
      </c>
      <c r="C2198" s="8" t="s">
        <v>20</v>
      </c>
      <c r="D2198" s="8" t="s">
        <v>85</v>
      </c>
      <c r="E2198" s="8" t="s">
        <v>11653</v>
      </c>
      <c r="F2198" s="17">
        <v>41687</v>
      </c>
      <c r="G2198" s="8" t="s">
        <v>11654</v>
      </c>
      <c r="H2198" s="8" t="s">
        <v>731</v>
      </c>
      <c r="I2198" s="8" t="s">
        <v>73</v>
      </c>
      <c r="J2198" s="16" t="s">
        <v>11655</v>
      </c>
      <c r="K2198" s="2" t="s">
        <v>562</v>
      </c>
      <c r="L2198" s="8" t="s">
        <v>732</v>
      </c>
      <c r="M2198" s="8" t="s">
        <v>27</v>
      </c>
      <c r="N2198" s="8" t="s">
        <v>11656</v>
      </c>
      <c r="O2198" s="8" t="s">
        <v>1018</v>
      </c>
      <c r="P2198" s="8" t="s">
        <v>405</v>
      </c>
      <c r="Q2198" s="12" t="s">
        <v>11657</v>
      </c>
      <c r="R2198" s="8" t="s">
        <v>100</v>
      </c>
      <c r="S2198" s="7" t="s">
        <v>28</v>
      </c>
      <c r="T2198" s="6"/>
      <c r="U2198" s="8"/>
    </row>
    <row r="2199" spans="1:34" ht="13.5" customHeight="1">
      <c r="A2199" s="8" t="s">
        <v>11670</v>
      </c>
      <c r="B2199" s="16">
        <v>47</v>
      </c>
      <c r="C2199" s="8" t="s">
        <v>115</v>
      </c>
      <c r="D2199" s="8" t="s">
        <v>85</v>
      </c>
      <c r="E2199" s="8" t="s">
        <v>11671</v>
      </c>
      <c r="F2199" s="17">
        <v>41686</v>
      </c>
      <c r="G2199" s="8" t="s">
        <v>11672</v>
      </c>
      <c r="H2199" s="8" t="s">
        <v>11673</v>
      </c>
      <c r="I2199" s="8" t="s">
        <v>73</v>
      </c>
      <c r="J2199" s="16" t="s">
        <v>11674</v>
      </c>
      <c r="K2199" s="2" t="s">
        <v>11673</v>
      </c>
      <c r="L2199" s="8" t="s">
        <v>11675</v>
      </c>
      <c r="M2199" s="8" t="s">
        <v>27</v>
      </c>
      <c r="N2199" s="8" t="s">
        <v>11676</v>
      </c>
      <c r="O2199" s="8" t="s">
        <v>1804</v>
      </c>
      <c r="P2199" s="8" t="s">
        <v>1171</v>
      </c>
      <c r="Q2199" s="12" t="s">
        <v>11677</v>
      </c>
      <c r="R2199" s="8" t="s">
        <v>100</v>
      </c>
      <c r="S2199" s="7" t="s">
        <v>18</v>
      </c>
      <c r="T2199" s="6"/>
      <c r="U2199" s="8"/>
    </row>
    <row r="2200" spans="1:34" ht="13.5" customHeight="1">
      <c r="A2200" s="8" t="s">
        <v>11695</v>
      </c>
      <c r="B2200" s="16">
        <v>28</v>
      </c>
      <c r="C2200" s="8" t="s">
        <v>20</v>
      </c>
      <c r="D2200" s="8" t="s">
        <v>30</v>
      </c>
      <c r="F2200" s="17">
        <v>41686</v>
      </c>
      <c r="G2200" s="8" t="s">
        <v>11685</v>
      </c>
      <c r="H2200" s="8" t="s">
        <v>11686</v>
      </c>
      <c r="I2200" s="8" t="s">
        <v>370</v>
      </c>
      <c r="J2200" s="16" t="s">
        <v>11687</v>
      </c>
      <c r="K2200" s="2" t="s">
        <v>1070</v>
      </c>
      <c r="L2200" s="8" t="s">
        <v>11688</v>
      </c>
      <c r="M2200" s="8" t="s">
        <v>383</v>
      </c>
      <c r="N2200" s="8" t="s">
        <v>11689</v>
      </c>
      <c r="O2200" s="8" t="s">
        <v>1018</v>
      </c>
      <c r="P2200" s="8" t="s">
        <v>405</v>
      </c>
      <c r="Q2200" s="12" t="s">
        <v>11690</v>
      </c>
      <c r="R2200" s="8" t="s">
        <v>100</v>
      </c>
      <c r="S2200" s="7" t="s">
        <v>18</v>
      </c>
      <c r="T2200" s="6"/>
      <c r="U2200" s="8"/>
    </row>
    <row r="2201" spans="1:34" ht="13.5" customHeight="1">
      <c r="A2201" s="8" t="s">
        <v>11678</v>
      </c>
      <c r="B2201" s="16">
        <v>31</v>
      </c>
      <c r="C2201" s="8" t="s">
        <v>20</v>
      </c>
      <c r="D2201" s="8" t="s">
        <v>85</v>
      </c>
      <c r="E2201" s="8" t="s">
        <v>11679</v>
      </c>
      <c r="F2201" s="17">
        <v>41686</v>
      </c>
      <c r="G2201" s="8" t="s">
        <v>11680</v>
      </c>
      <c r="H2201" s="8" t="s">
        <v>1048</v>
      </c>
      <c r="I2201" s="8" t="s">
        <v>25</v>
      </c>
      <c r="J2201" s="16" t="s">
        <v>11681</v>
      </c>
      <c r="K2201" s="2" t="s">
        <v>2605</v>
      </c>
      <c r="L2201" s="8" t="s">
        <v>1050</v>
      </c>
      <c r="M2201" s="8" t="s">
        <v>27</v>
      </c>
      <c r="N2201" s="8" t="s">
        <v>11682</v>
      </c>
      <c r="O2201" s="8" t="s">
        <v>1018</v>
      </c>
      <c r="P2201" s="8" t="s">
        <v>405</v>
      </c>
      <c r="Q2201" s="12" t="s">
        <v>11683</v>
      </c>
      <c r="R2201" s="8" t="s">
        <v>100</v>
      </c>
      <c r="S2201" s="7" t="s">
        <v>28</v>
      </c>
      <c r="T2201" s="6"/>
      <c r="U2201" s="8"/>
    </row>
    <row r="2202" spans="1:34" ht="13.5" customHeight="1">
      <c r="A2202" s="8" t="s">
        <v>11684</v>
      </c>
      <c r="B2202" s="16">
        <v>20</v>
      </c>
      <c r="C2202" s="8" t="s">
        <v>20</v>
      </c>
      <c r="D2202" s="8" t="s">
        <v>30</v>
      </c>
      <c r="F2202" s="17">
        <v>41686</v>
      </c>
      <c r="G2202" s="8" t="s">
        <v>11685</v>
      </c>
      <c r="H2202" s="8" t="s">
        <v>11686</v>
      </c>
      <c r="I2202" s="8" t="s">
        <v>370</v>
      </c>
      <c r="J2202" s="16" t="s">
        <v>11687</v>
      </c>
      <c r="K2202" s="2" t="s">
        <v>1070</v>
      </c>
      <c r="L2202" s="8" t="s">
        <v>11688</v>
      </c>
      <c r="M2202" s="8" t="s">
        <v>383</v>
      </c>
      <c r="N2202" s="8" t="s">
        <v>11689</v>
      </c>
      <c r="O2202" s="8" t="s">
        <v>1018</v>
      </c>
      <c r="P2202" s="8" t="s">
        <v>405</v>
      </c>
      <c r="Q2202" s="12" t="s">
        <v>11690</v>
      </c>
      <c r="R2202" s="8" t="s">
        <v>100</v>
      </c>
      <c r="S2202" s="7" t="s">
        <v>383</v>
      </c>
      <c r="T2202" s="6"/>
      <c r="U2202" s="8"/>
    </row>
    <row r="2203" spans="1:34" ht="13.5" customHeight="1">
      <c r="A2203" s="8" t="s">
        <v>3288</v>
      </c>
      <c r="B2203" s="16">
        <v>47</v>
      </c>
      <c r="C2203" s="8" t="s">
        <v>20</v>
      </c>
      <c r="D2203" s="8" t="s">
        <v>30</v>
      </c>
      <c r="F2203" s="17">
        <v>41686</v>
      </c>
      <c r="G2203" s="8" t="s">
        <v>11691</v>
      </c>
      <c r="H2203" s="8" t="s">
        <v>1069</v>
      </c>
      <c r="I2203" s="8" t="s">
        <v>62</v>
      </c>
      <c r="J2203" s="16" t="s">
        <v>11692</v>
      </c>
      <c r="K2203" s="2" t="s">
        <v>1070</v>
      </c>
      <c r="L2203" s="8" t="s">
        <v>4480</v>
      </c>
      <c r="M2203" s="8" t="s">
        <v>27</v>
      </c>
      <c r="N2203" s="8" t="s">
        <v>11693</v>
      </c>
      <c r="O2203" s="8" t="s">
        <v>1018</v>
      </c>
      <c r="P2203" s="8" t="s">
        <v>405</v>
      </c>
      <c r="Q2203" s="12" t="s">
        <v>11694</v>
      </c>
      <c r="R2203" s="8" t="s">
        <v>559</v>
      </c>
      <c r="S2203" s="7" t="s">
        <v>28</v>
      </c>
      <c r="T2203" s="6"/>
      <c r="U2203" s="8"/>
    </row>
    <row r="2204" spans="1:34" ht="13.5" customHeight="1">
      <c r="A2204" s="8" t="s">
        <v>11696</v>
      </c>
      <c r="B2204" s="16">
        <v>34</v>
      </c>
      <c r="C2204" s="8" t="s">
        <v>20</v>
      </c>
      <c r="D2204" s="8" t="s">
        <v>37</v>
      </c>
      <c r="E2204" s="8" t="s">
        <v>11697</v>
      </c>
      <c r="F2204" s="17">
        <v>41686</v>
      </c>
      <c r="G2204" s="8" t="s">
        <v>11698</v>
      </c>
      <c r="H2204" s="8" t="s">
        <v>11699</v>
      </c>
      <c r="I2204" s="8" t="s">
        <v>306</v>
      </c>
      <c r="J2204" s="16" t="s">
        <v>11700</v>
      </c>
      <c r="K2204" s="2" t="s">
        <v>2169</v>
      </c>
      <c r="L2204" s="8" t="s">
        <v>11701</v>
      </c>
      <c r="M2204" s="8" t="s">
        <v>27</v>
      </c>
      <c r="N2204" s="8" t="s">
        <v>11702</v>
      </c>
      <c r="O2204" s="8" t="s">
        <v>1018</v>
      </c>
      <c r="P2204" s="8" t="s">
        <v>405</v>
      </c>
      <c r="Q2204" s="12" t="s">
        <v>11703</v>
      </c>
      <c r="R2204" s="8" t="s">
        <v>100</v>
      </c>
      <c r="S2204" s="7" t="s">
        <v>28</v>
      </c>
      <c r="T2204" s="6"/>
      <c r="U2204" s="8"/>
    </row>
    <row r="2205" spans="1:34" ht="13.5" customHeight="1">
      <c r="A2205" s="8" t="s">
        <v>11704</v>
      </c>
      <c r="B2205" s="16">
        <v>22</v>
      </c>
      <c r="C2205" s="8" t="s">
        <v>20</v>
      </c>
      <c r="D2205" s="8" t="s">
        <v>85</v>
      </c>
      <c r="F2205" s="17">
        <v>41685</v>
      </c>
      <c r="G2205" s="8" t="s">
        <v>11705</v>
      </c>
      <c r="H2205" s="8" t="s">
        <v>1608</v>
      </c>
      <c r="I2205" s="8" t="s">
        <v>52</v>
      </c>
      <c r="J2205" s="16" t="s">
        <v>11706</v>
      </c>
      <c r="K2205" s="2" t="s">
        <v>4755</v>
      </c>
      <c r="L2205" s="8" t="s">
        <v>2799</v>
      </c>
      <c r="M2205" s="8" t="s">
        <v>27</v>
      </c>
      <c r="N2205" s="8" t="s">
        <v>11707</v>
      </c>
      <c r="O2205" s="8" t="s">
        <v>554</v>
      </c>
      <c r="P2205" s="8" t="s">
        <v>405</v>
      </c>
      <c r="Q2205" s="12" t="s">
        <v>11708</v>
      </c>
      <c r="R2205" s="8" t="s">
        <v>100</v>
      </c>
      <c r="S2205" s="7" t="s">
        <v>28</v>
      </c>
      <c r="T2205" s="6"/>
      <c r="U2205" s="8"/>
    </row>
    <row r="2206" spans="1:34" ht="13.5" customHeight="1">
      <c r="A2206" s="8" t="s">
        <v>11724</v>
      </c>
      <c r="B2206" s="16">
        <v>18</v>
      </c>
      <c r="C2206" s="8" t="s">
        <v>20</v>
      </c>
      <c r="D2206" s="8" t="s">
        <v>37</v>
      </c>
      <c r="F2206" s="17">
        <v>41685</v>
      </c>
      <c r="G2206" s="8" t="s">
        <v>11725</v>
      </c>
      <c r="H2206" s="8" t="s">
        <v>552</v>
      </c>
      <c r="I2206" s="8" t="s">
        <v>69</v>
      </c>
      <c r="J2206" s="16" t="s">
        <v>11726</v>
      </c>
      <c r="K2206" s="2" t="s">
        <v>5585</v>
      </c>
      <c r="L2206" s="8" t="s">
        <v>2934</v>
      </c>
      <c r="M2206" s="8" t="s">
        <v>27</v>
      </c>
      <c r="N2206" s="8" t="s">
        <v>11727</v>
      </c>
      <c r="O2206" s="8" t="s">
        <v>1018</v>
      </c>
      <c r="P2206" s="8" t="s">
        <v>405</v>
      </c>
      <c r="Q2206" s="12" t="s">
        <v>11728</v>
      </c>
      <c r="R2206" s="8" t="s">
        <v>559</v>
      </c>
      <c r="S2206" s="7" t="s">
        <v>28</v>
      </c>
      <c r="T2206" s="6"/>
      <c r="U2206" s="8"/>
    </row>
    <row r="2207" spans="1:34" ht="13.5" customHeight="1">
      <c r="A2207" s="8" t="s">
        <v>11716</v>
      </c>
      <c r="B2207" s="16">
        <v>45</v>
      </c>
      <c r="C2207" s="8" t="s">
        <v>20</v>
      </c>
      <c r="D2207" s="8" t="s">
        <v>37</v>
      </c>
      <c r="E2207" s="8" t="s">
        <v>11717</v>
      </c>
      <c r="F2207" s="17">
        <v>41685</v>
      </c>
      <c r="G2207" s="8" t="s">
        <v>11718</v>
      </c>
      <c r="H2207" s="8" t="s">
        <v>5441</v>
      </c>
      <c r="I2207" s="8" t="s">
        <v>427</v>
      </c>
      <c r="J2207" s="16" t="s">
        <v>11719</v>
      </c>
      <c r="K2207" s="2" t="s">
        <v>11720</v>
      </c>
      <c r="L2207" s="8" t="s">
        <v>11721</v>
      </c>
      <c r="M2207" s="8" t="s">
        <v>27</v>
      </c>
      <c r="N2207" s="8" t="s">
        <v>11722</v>
      </c>
      <c r="O2207" s="8" t="s">
        <v>554</v>
      </c>
      <c r="P2207" s="8" t="s">
        <v>405</v>
      </c>
      <c r="Q2207" s="12" t="s">
        <v>11723</v>
      </c>
      <c r="R2207" s="8" t="s">
        <v>29</v>
      </c>
      <c r="S2207" s="7" t="s">
        <v>28</v>
      </c>
      <c r="T2207" s="6"/>
      <c r="U2207" s="8"/>
      <c r="Y2207" s="8"/>
      <c r="Z2207" s="8"/>
      <c r="AA2207" s="8"/>
      <c r="AB2207" s="8"/>
      <c r="AC2207" s="8"/>
      <c r="AD2207" s="8"/>
      <c r="AE2207" s="8"/>
      <c r="AF2207" s="8"/>
      <c r="AG2207" s="8"/>
      <c r="AH2207" s="8"/>
    </row>
    <row r="2208" spans="1:34" ht="13.5" customHeight="1">
      <c r="A2208" s="8" t="s">
        <v>11709</v>
      </c>
      <c r="B2208" s="16">
        <v>44</v>
      </c>
      <c r="C2208" s="8" t="s">
        <v>20</v>
      </c>
      <c r="D2208" s="8" t="s">
        <v>48</v>
      </c>
      <c r="E2208" s="8" t="s">
        <v>11710</v>
      </c>
      <c r="F2208" s="17">
        <v>41685</v>
      </c>
      <c r="G2208" s="8" t="s">
        <v>11711</v>
      </c>
      <c r="H2208" s="8" t="s">
        <v>2667</v>
      </c>
      <c r="I2208" s="8" t="s">
        <v>399</v>
      </c>
      <c r="J2208" s="16" t="s">
        <v>11712</v>
      </c>
      <c r="K2208" s="2" t="s">
        <v>992</v>
      </c>
      <c r="L2208" s="8" t="s">
        <v>11713</v>
      </c>
      <c r="M2208" s="8" t="s">
        <v>5698</v>
      </c>
      <c r="N2208" s="8" t="s">
        <v>11714</v>
      </c>
      <c r="O2208" s="8" t="s">
        <v>554</v>
      </c>
      <c r="P2208" s="8" t="s">
        <v>405</v>
      </c>
      <c r="Q2208" s="12" t="s">
        <v>11715</v>
      </c>
      <c r="R2208" s="8" t="s">
        <v>100</v>
      </c>
      <c r="S2208" s="7" t="s">
        <v>18</v>
      </c>
      <c r="T2208" s="6"/>
      <c r="U2208" s="8"/>
    </row>
    <row r="2209" spans="1:24" ht="13.5" customHeight="1">
      <c r="A2209" s="8" t="s">
        <v>11736</v>
      </c>
      <c r="B2209" s="16">
        <v>17</v>
      </c>
      <c r="C2209" s="8" t="s">
        <v>20</v>
      </c>
      <c r="D2209" s="8" t="s">
        <v>37</v>
      </c>
      <c r="E2209" s="8" t="s">
        <v>11737</v>
      </c>
      <c r="F2209" s="17">
        <v>41684</v>
      </c>
      <c r="G2209" s="8" t="s">
        <v>11738</v>
      </c>
      <c r="H2209" s="8" t="s">
        <v>11739</v>
      </c>
      <c r="I2209" s="8" t="s">
        <v>175</v>
      </c>
      <c r="J2209" s="16">
        <v>30120</v>
      </c>
      <c r="K2209" s="2" t="s">
        <v>1128</v>
      </c>
      <c r="L2209" s="8" t="s">
        <v>11740</v>
      </c>
      <c r="M2209" s="8" t="s">
        <v>27</v>
      </c>
      <c r="N2209" s="8" t="s">
        <v>11741</v>
      </c>
      <c r="O2209" s="8" t="s">
        <v>1804</v>
      </c>
      <c r="P2209" s="8" t="s">
        <v>1171</v>
      </c>
      <c r="Q2209" s="12" t="s">
        <v>11742</v>
      </c>
      <c r="R2209" s="8" t="s">
        <v>100</v>
      </c>
      <c r="S2209" s="7" t="s">
        <v>18</v>
      </c>
      <c r="T2209" s="6"/>
      <c r="U2209" s="8"/>
    </row>
    <row r="2210" spans="1:24" ht="13.5" customHeight="1">
      <c r="A2210" s="8" t="s">
        <v>11729</v>
      </c>
      <c r="B2210" s="16">
        <v>20</v>
      </c>
      <c r="C2210" s="8" t="s">
        <v>20</v>
      </c>
      <c r="D2210" s="8" t="s">
        <v>85</v>
      </c>
      <c r="E2210" s="8" t="s">
        <v>11730</v>
      </c>
      <c r="F2210" s="17">
        <v>41684</v>
      </c>
      <c r="G2210" s="8" t="s">
        <v>11731</v>
      </c>
      <c r="H2210" s="8" t="s">
        <v>661</v>
      </c>
      <c r="I2210" s="8" t="s">
        <v>272</v>
      </c>
      <c r="J2210" s="16" t="s">
        <v>11732</v>
      </c>
      <c r="K2210" s="2" t="s">
        <v>574</v>
      </c>
      <c r="L2210" s="8" t="s">
        <v>11733</v>
      </c>
      <c r="M2210" s="8" t="s">
        <v>27</v>
      </c>
      <c r="N2210" s="8" t="s">
        <v>11734</v>
      </c>
      <c r="O2210" s="8" t="s">
        <v>29</v>
      </c>
      <c r="P2210" s="8" t="s">
        <v>405</v>
      </c>
      <c r="Q2210" s="12" t="s">
        <v>11735</v>
      </c>
      <c r="R2210" s="8" t="s">
        <v>559</v>
      </c>
      <c r="S2210" s="7" t="s">
        <v>18</v>
      </c>
      <c r="T2210" s="6"/>
      <c r="U2210" s="8"/>
    </row>
    <row r="2211" spans="1:24" ht="13.5" customHeight="1">
      <c r="A2211" s="8" t="s">
        <v>11746</v>
      </c>
      <c r="B2211" s="16">
        <v>35</v>
      </c>
      <c r="C2211" s="8" t="s">
        <v>20</v>
      </c>
      <c r="D2211" s="8" t="s">
        <v>48</v>
      </c>
      <c r="F2211" s="17">
        <v>41683</v>
      </c>
      <c r="G2211" s="8" t="s">
        <v>11747</v>
      </c>
      <c r="H2211" s="8" t="s">
        <v>5893</v>
      </c>
      <c r="I2211" s="8" t="s">
        <v>45</v>
      </c>
      <c r="J2211" s="16" t="s">
        <v>11748</v>
      </c>
      <c r="K2211" s="2" t="s">
        <v>98</v>
      </c>
      <c r="L2211" s="8" t="s">
        <v>418</v>
      </c>
      <c r="M2211" s="8" t="s">
        <v>27</v>
      </c>
      <c r="N2211" s="8" t="s">
        <v>11749</v>
      </c>
      <c r="O2211" s="8" t="s">
        <v>1018</v>
      </c>
      <c r="P2211" s="8" t="s">
        <v>405</v>
      </c>
      <c r="Q2211" s="12" t="s">
        <v>11750</v>
      </c>
      <c r="R2211" s="8" t="s">
        <v>100</v>
      </c>
      <c r="S2211" s="7" t="s">
        <v>28</v>
      </c>
      <c r="T2211" s="6"/>
      <c r="U2211" s="8"/>
    </row>
    <row r="2212" spans="1:24" ht="13.5" customHeight="1">
      <c r="A2212" s="8" t="s">
        <v>11743</v>
      </c>
      <c r="B2212" s="16">
        <v>21</v>
      </c>
      <c r="C2212" s="8" t="s">
        <v>20</v>
      </c>
      <c r="D2212" s="8" t="s">
        <v>48</v>
      </c>
      <c r="F2212" s="17">
        <v>41683</v>
      </c>
      <c r="G2212" s="8" t="s">
        <v>11744</v>
      </c>
      <c r="H2212" s="8" t="s">
        <v>638</v>
      </c>
      <c r="I2212" s="8" t="s">
        <v>124</v>
      </c>
      <c r="J2212" s="16" t="s">
        <v>2833</v>
      </c>
      <c r="K2212" s="2" t="s">
        <v>639</v>
      </c>
      <c r="L2212" s="8" t="s">
        <v>640</v>
      </c>
      <c r="M2212" s="8" t="s">
        <v>27</v>
      </c>
      <c r="N2212" s="8" t="s">
        <v>11745</v>
      </c>
      <c r="O2212" s="8" t="s">
        <v>1018</v>
      </c>
      <c r="P2212" s="8" t="s">
        <v>405</v>
      </c>
      <c r="Q2212" s="12"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2212" s="8" t="s">
        <v>100</v>
      </c>
      <c r="S2212" s="7" t="s">
        <v>28</v>
      </c>
      <c r="T2212" s="6"/>
      <c r="U2212" s="8"/>
      <c r="V2212" s="8"/>
      <c r="W2212" s="8"/>
      <c r="X2212" s="8"/>
    </row>
    <row r="2213" spans="1:24" ht="13.5" customHeight="1">
      <c r="A2213" s="8" t="s">
        <v>11751</v>
      </c>
      <c r="B2213" s="16">
        <v>48</v>
      </c>
      <c r="C2213" s="8" t="s">
        <v>20</v>
      </c>
      <c r="D2213" s="8" t="s">
        <v>37</v>
      </c>
      <c r="E2213" s="8" t="s">
        <v>11752</v>
      </c>
      <c r="F2213" s="17">
        <v>41683</v>
      </c>
      <c r="G2213" s="8" t="s">
        <v>11753</v>
      </c>
      <c r="H2213" s="8" t="s">
        <v>8976</v>
      </c>
      <c r="I2213" s="8" t="s">
        <v>306</v>
      </c>
      <c r="J2213" s="16" t="s">
        <v>8977</v>
      </c>
      <c r="K2213" s="2" t="s">
        <v>1559</v>
      </c>
      <c r="L2213" s="8" t="s">
        <v>8978</v>
      </c>
      <c r="M2213" s="8" t="s">
        <v>27</v>
      </c>
      <c r="N2213" s="8" t="s">
        <v>11754</v>
      </c>
      <c r="O2213" s="8" t="s">
        <v>554</v>
      </c>
      <c r="P2213" s="8" t="s">
        <v>405</v>
      </c>
      <c r="Q2213" s="12" t="str">
        <f>HYPERLINK("http://www.chronline.com/article_b54aecd0-94b9-11e3-8b34-001a4bcf887a.html","http://www.chronline.com/article_b54aecd0-94b9-11e3-8b34-001a4bcf887a.html")</f>
        <v>http://www.chronline.com/article_b54aecd0-94b9-11e3-8b34-001a4bcf887a.html</v>
      </c>
      <c r="R2213" s="8" t="s">
        <v>100</v>
      </c>
      <c r="S2213" s="7" t="s">
        <v>28</v>
      </c>
      <c r="T2213" s="6"/>
      <c r="U2213" s="8"/>
    </row>
    <row r="2214" spans="1:24" ht="13.5" customHeight="1">
      <c r="A2214" s="8" t="s">
        <v>11761</v>
      </c>
      <c r="B2214" s="16">
        <v>32</v>
      </c>
      <c r="C2214" s="8" t="s">
        <v>20</v>
      </c>
      <c r="D2214" s="8" t="s">
        <v>37</v>
      </c>
      <c r="E2214" s="8" t="s">
        <v>11762</v>
      </c>
      <c r="F2214" s="17">
        <v>41682</v>
      </c>
      <c r="G2214" s="8" t="s">
        <v>11763</v>
      </c>
      <c r="H2214" s="8" t="s">
        <v>11764</v>
      </c>
      <c r="I2214" s="8" t="s">
        <v>442</v>
      </c>
      <c r="J2214" s="16" t="s">
        <v>11765</v>
      </c>
      <c r="K2214" s="2" t="s">
        <v>6122</v>
      </c>
      <c r="L2214" s="8" t="s">
        <v>11766</v>
      </c>
      <c r="M2214" s="8" t="s">
        <v>27</v>
      </c>
      <c r="N2214" s="8" t="s">
        <v>11767</v>
      </c>
      <c r="O2214" s="8" t="s">
        <v>554</v>
      </c>
      <c r="P2214" s="8" t="s">
        <v>405</v>
      </c>
      <c r="Q2214" s="12"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2214" s="8" t="s">
        <v>100</v>
      </c>
      <c r="S2214" s="7" t="s">
        <v>28</v>
      </c>
      <c r="T2214" s="6"/>
      <c r="U2214" s="8"/>
    </row>
    <row r="2215" spans="1:24" ht="13.5" customHeight="1">
      <c r="A2215" s="8" t="s">
        <v>11755</v>
      </c>
      <c r="B2215" s="16">
        <v>27</v>
      </c>
      <c r="C2215" s="8" t="s">
        <v>20</v>
      </c>
      <c r="D2215" s="8" t="s">
        <v>85</v>
      </c>
      <c r="E2215" s="8" t="s">
        <v>11756</v>
      </c>
      <c r="F2215" s="17">
        <v>41682</v>
      </c>
      <c r="G2215" s="8" t="s">
        <v>11757</v>
      </c>
      <c r="H2215" s="8" t="s">
        <v>717</v>
      </c>
      <c r="I2215" s="8" t="s">
        <v>435</v>
      </c>
      <c r="J2215" s="16" t="s">
        <v>11758</v>
      </c>
      <c r="K2215" s="2" t="s">
        <v>717</v>
      </c>
      <c r="L2215" s="8" t="s">
        <v>4572</v>
      </c>
      <c r="M2215" s="8" t="s">
        <v>27</v>
      </c>
      <c r="N2215" s="8" t="s">
        <v>11759</v>
      </c>
      <c r="O2215" s="8" t="s">
        <v>1018</v>
      </c>
      <c r="P2215" s="8" t="s">
        <v>405</v>
      </c>
      <c r="Q2215" s="12" t="s">
        <v>11760</v>
      </c>
      <c r="R2215" s="8" t="s">
        <v>100</v>
      </c>
      <c r="S2215" s="7" t="s">
        <v>28</v>
      </c>
      <c r="T2215" s="6"/>
      <c r="U2215" s="8"/>
    </row>
    <row r="2216" spans="1:24" ht="13.5" customHeight="1">
      <c r="A2216" s="8" t="s">
        <v>11773</v>
      </c>
      <c r="B2216" s="16">
        <v>23</v>
      </c>
      <c r="C2216" s="8" t="s">
        <v>20</v>
      </c>
      <c r="D2216" s="8" t="s">
        <v>37</v>
      </c>
      <c r="E2216" s="8" t="s">
        <v>11774</v>
      </c>
      <c r="F2216" s="17">
        <v>41681</v>
      </c>
      <c r="G2216" s="8" t="s">
        <v>11775</v>
      </c>
      <c r="H2216" s="8" t="s">
        <v>11776</v>
      </c>
      <c r="I2216" s="8" t="s">
        <v>306</v>
      </c>
      <c r="J2216" s="16" t="s">
        <v>11777</v>
      </c>
      <c r="K2216" s="2" t="s">
        <v>846</v>
      </c>
      <c r="L2216" s="8" t="s">
        <v>11613</v>
      </c>
      <c r="M2216" s="8" t="s">
        <v>27</v>
      </c>
      <c r="N2216" s="8" t="s">
        <v>11778</v>
      </c>
      <c r="O2216" s="8" t="s">
        <v>1018</v>
      </c>
      <c r="P2216" s="8" t="s">
        <v>405</v>
      </c>
      <c r="Q2216" s="12" t="str">
        <f>HYPERLINK("http://www.spokesman.com/stories/2014/feb/11/possible-officer-involved-shooting-spokane-valley/","http://www.spokesman.com/stories/2014/feb/11/possible-officer-involved-shooting-spokane-valley/")</f>
        <v>http://www.spokesman.com/stories/2014/feb/11/possible-officer-involved-shooting-spokane-valley/</v>
      </c>
      <c r="R2216" s="8" t="s">
        <v>559</v>
      </c>
      <c r="S2216" s="7" t="s">
        <v>28</v>
      </c>
      <c r="T2216" s="6"/>
      <c r="U2216" s="8"/>
    </row>
    <row r="2217" spans="1:24" ht="13.5" customHeight="1">
      <c r="A2217" s="8" t="s">
        <v>11768</v>
      </c>
      <c r="B2217" s="16">
        <v>52</v>
      </c>
      <c r="C2217" s="8" t="s">
        <v>115</v>
      </c>
      <c r="D2217" s="8" t="s">
        <v>30</v>
      </c>
      <c r="F2217" s="17">
        <v>41681</v>
      </c>
      <c r="G2217" s="8" t="s">
        <v>11769</v>
      </c>
      <c r="H2217" s="8" t="s">
        <v>2045</v>
      </c>
      <c r="I2217" s="8" t="s">
        <v>323</v>
      </c>
      <c r="J2217" s="16" t="s">
        <v>11770</v>
      </c>
      <c r="K2217" s="2" t="s">
        <v>887</v>
      </c>
      <c r="L2217" s="8" t="s">
        <v>888</v>
      </c>
      <c r="M2217" s="8" t="s">
        <v>27</v>
      </c>
      <c r="N2217" s="8" t="s">
        <v>11771</v>
      </c>
      <c r="O2217" s="8" t="s">
        <v>1018</v>
      </c>
      <c r="P2217" s="8" t="s">
        <v>405</v>
      </c>
      <c r="Q2217" s="12" t="s">
        <v>11772</v>
      </c>
      <c r="R2217" s="8" t="s">
        <v>559</v>
      </c>
      <c r="S2217" s="7" t="s">
        <v>28</v>
      </c>
      <c r="T2217" s="6"/>
      <c r="U2217" s="8"/>
    </row>
    <row r="2218" spans="1:24" ht="13.5" customHeight="1">
      <c r="A2218" s="8" t="s">
        <v>11785</v>
      </c>
      <c r="B2218" s="16">
        <v>68</v>
      </c>
      <c r="C2218" s="8" t="s">
        <v>20</v>
      </c>
      <c r="D2218" s="8" t="s">
        <v>85</v>
      </c>
      <c r="E2218" s="8" t="s">
        <v>11786</v>
      </c>
      <c r="F2218" s="17">
        <v>41680</v>
      </c>
      <c r="G2218" s="8" t="s">
        <v>11787</v>
      </c>
      <c r="H2218" s="8" t="s">
        <v>1799</v>
      </c>
      <c r="I2218" s="8" t="s">
        <v>32</v>
      </c>
      <c r="J2218" s="16" t="s">
        <v>11788</v>
      </c>
      <c r="K2218" s="2" t="s">
        <v>11789</v>
      </c>
      <c r="L2218" s="8" t="s">
        <v>11790</v>
      </c>
      <c r="M2218" s="8" t="s">
        <v>27</v>
      </c>
      <c r="N2218" s="8" t="s">
        <v>11791</v>
      </c>
      <c r="O2218" s="8" t="s">
        <v>1804</v>
      </c>
      <c r="P2218" s="8" t="s">
        <v>1171</v>
      </c>
      <c r="Q2218" s="12"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2218" s="8" t="s">
        <v>100</v>
      </c>
      <c r="S2218" s="7" t="s">
        <v>18</v>
      </c>
      <c r="T2218" s="6"/>
      <c r="U2218" s="8"/>
    </row>
    <row r="2219" spans="1:24" ht="13.5" customHeight="1">
      <c r="A2219" s="8" t="s">
        <v>11779</v>
      </c>
      <c r="B2219" s="16">
        <v>21</v>
      </c>
      <c r="C2219" s="8" t="s">
        <v>20</v>
      </c>
      <c r="D2219" s="8" t="s">
        <v>85</v>
      </c>
      <c r="E2219" s="8" t="s">
        <v>11780</v>
      </c>
      <c r="F2219" s="17">
        <v>41680</v>
      </c>
      <c r="G2219" s="8" t="s">
        <v>11781</v>
      </c>
      <c r="H2219" s="8" t="s">
        <v>5655</v>
      </c>
      <c r="I2219" s="8" t="s">
        <v>62</v>
      </c>
      <c r="J2219" s="16" t="s">
        <v>11782</v>
      </c>
      <c r="K2219" s="2" t="s">
        <v>5657</v>
      </c>
      <c r="L2219" s="8" t="s">
        <v>5658</v>
      </c>
      <c r="M2219" s="8" t="s">
        <v>27</v>
      </c>
      <c r="N2219" s="8" t="s">
        <v>11783</v>
      </c>
      <c r="O2219" s="8" t="s">
        <v>554</v>
      </c>
      <c r="P2219" s="8" t="s">
        <v>405</v>
      </c>
      <c r="Q2219" s="12" t="s">
        <v>11784</v>
      </c>
      <c r="R2219" s="8" t="s">
        <v>972</v>
      </c>
      <c r="S2219" s="7" t="s">
        <v>18</v>
      </c>
      <c r="T2219" s="6"/>
      <c r="U2219" s="8"/>
      <c r="V2219" s="8"/>
      <c r="W2219" s="8"/>
      <c r="X2219" s="8"/>
    </row>
    <row r="2220" spans="1:24" ht="13.5" customHeight="1">
      <c r="A2220" s="8" t="s">
        <v>11792</v>
      </c>
      <c r="B2220" s="16">
        <v>16</v>
      </c>
      <c r="C2220" s="8" t="s">
        <v>20</v>
      </c>
      <c r="D2220" s="8" t="s">
        <v>85</v>
      </c>
      <c r="E2220" s="8" t="str">
        <f>HYPERLINK("http://kollegekidd.com/news/friends-family-remember-slain-robbery-suspect-deonta-mackey/","http://kollegekidd.com/news/friends-family-remember-slain-robbery-suspect-deonta-mackey/")</f>
        <v>http://kollegekidd.com/news/friends-family-remember-slain-robbery-suspect-deonta-mackey/</v>
      </c>
      <c r="F2220" s="17">
        <v>41680</v>
      </c>
      <c r="G2220" s="8" t="s">
        <v>11793</v>
      </c>
      <c r="H2220" s="8" t="s">
        <v>87</v>
      </c>
      <c r="I2220" s="8" t="s">
        <v>44</v>
      </c>
      <c r="J2220" s="16" t="s">
        <v>11794</v>
      </c>
      <c r="K2220" s="2" t="s">
        <v>88</v>
      </c>
      <c r="L2220" s="8" t="s">
        <v>11795</v>
      </c>
      <c r="M2220" s="8" t="s">
        <v>27</v>
      </c>
      <c r="N2220" s="8" t="s">
        <v>11796</v>
      </c>
      <c r="O2220" s="8" t="s">
        <v>1018</v>
      </c>
      <c r="P2220" s="8" t="s">
        <v>405</v>
      </c>
      <c r="Q2220" s="12" t="s">
        <v>11797</v>
      </c>
      <c r="R2220" s="8" t="s">
        <v>100</v>
      </c>
      <c r="S2220" s="7" t="s">
        <v>28</v>
      </c>
      <c r="T2220" s="6"/>
      <c r="U2220" s="8"/>
    </row>
    <row r="2221" spans="1:24" ht="13.5" customHeight="1">
      <c r="A2221" s="8" t="s">
        <v>11798</v>
      </c>
      <c r="B2221" s="16" t="s">
        <v>11799</v>
      </c>
      <c r="C2221" s="8" t="s">
        <v>20</v>
      </c>
      <c r="D2221" s="8" t="s">
        <v>85</v>
      </c>
      <c r="E2221" s="8" t="s">
        <v>11800</v>
      </c>
      <c r="F2221" s="17">
        <v>41680</v>
      </c>
      <c r="G2221" s="8" t="s">
        <v>11801</v>
      </c>
      <c r="H2221" s="8" t="s">
        <v>731</v>
      </c>
      <c r="I2221" s="8" t="s">
        <v>73</v>
      </c>
      <c r="J2221" s="16" t="s">
        <v>11802</v>
      </c>
      <c r="K2221" s="2" t="s">
        <v>562</v>
      </c>
      <c r="L2221" s="8" t="s">
        <v>11803</v>
      </c>
      <c r="M2221" s="8" t="s">
        <v>27</v>
      </c>
      <c r="N2221" s="8" t="s">
        <v>11804</v>
      </c>
      <c r="O2221" s="8" t="s">
        <v>1018</v>
      </c>
      <c r="P2221" s="8" t="s">
        <v>405</v>
      </c>
      <c r="Q2221" s="12" t="s">
        <v>11805</v>
      </c>
      <c r="R2221" s="8" t="s">
        <v>100</v>
      </c>
      <c r="S2221" s="7" t="s">
        <v>35</v>
      </c>
      <c r="T2221" s="6"/>
      <c r="U2221" s="8"/>
    </row>
    <row r="2222" spans="1:24" ht="13.5" customHeight="1">
      <c r="A2222" s="8" t="s">
        <v>3288</v>
      </c>
      <c r="B2222" s="16" t="s">
        <v>29</v>
      </c>
      <c r="C2222" s="8" t="s">
        <v>20</v>
      </c>
      <c r="D2222" s="8" t="s">
        <v>30</v>
      </c>
      <c r="F2222" s="17">
        <v>41680</v>
      </c>
      <c r="G2222" s="8" t="s">
        <v>11781</v>
      </c>
      <c r="H2222" s="8" t="s">
        <v>11814</v>
      </c>
      <c r="I2222" s="8" t="s">
        <v>62</v>
      </c>
      <c r="J2222" s="16" t="s">
        <v>11782</v>
      </c>
      <c r="K2222" s="2" t="s">
        <v>5657</v>
      </c>
      <c r="L2222" s="8" t="s">
        <v>5658</v>
      </c>
      <c r="M2222" s="8" t="s">
        <v>27</v>
      </c>
      <c r="N2222" s="8" t="s">
        <v>11815</v>
      </c>
      <c r="O2222" s="8" t="s">
        <v>1018</v>
      </c>
      <c r="P2222" s="8" t="s">
        <v>405</v>
      </c>
      <c r="Q2222" s="12" t="s">
        <v>11816</v>
      </c>
      <c r="R2222" s="8" t="s">
        <v>100</v>
      </c>
      <c r="S2222" s="7" t="s">
        <v>18</v>
      </c>
      <c r="T2222" s="6"/>
      <c r="U2222" s="8"/>
    </row>
    <row r="2223" spans="1:24" ht="13.5" customHeight="1">
      <c r="A2223" s="8" t="s">
        <v>11806</v>
      </c>
      <c r="B2223" s="16">
        <v>23</v>
      </c>
      <c r="C2223" s="8" t="s">
        <v>20</v>
      </c>
      <c r="D2223" s="8" t="s">
        <v>48</v>
      </c>
      <c r="E2223" s="8" t="s">
        <v>11807</v>
      </c>
      <c r="F2223" s="17">
        <v>41680</v>
      </c>
      <c r="G2223" s="8" t="s">
        <v>11808</v>
      </c>
      <c r="H2223" s="8" t="s">
        <v>11809</v>
      </c>
      <c r="I2223" s="8" t="s">
        <v>45</v>
      </c>
      <c r="J2223" s="16" t="s">
        <v>11810</v>
      </c>
      <c r="K2223" s="2" t="s">
        <v>1070</v>
      </c>
      <c r="L2223" s="8" t="s">
        <v>11811</v>
      </c>
      <c r="M2223" s="8" t="s">
        <v>27</v>
      </c>
      <c r="N2223" s="8" t="s">
        <v>11812</v>
      </c>
      <c r="O2223" s="8" t="s">
        <v>1018</v>
      </c>
      <c r="P2223" s="8" t="s">
        <v>405</v>
      </c>
      <c r="Q2223" s="12" t="s">
        <v>11813</v>
      </c>
      <c r="R2223" s="8" t="s">
        <v>29</v>
      </c>
      <c r="S2223" s="7" t="s">
        <v>28</v>
      </c>
      <c r="T2223" s="6"/>
      <c r="U2223" s="8"/>
    </row>
    <row r="2224" spans="1:24" ht="13.5" customHeight="1">
      <c r="A2224" s="8" t="s">
        <v>11817</v>
      </c>
      <c r="B2224" s="16">
        <v>45</v>
      </c>
      <c r="C2224" s="8" t="s">
        <v>20</v>
      </c>
      <c r="D2224" s="8" t="s">
        <v>85</v>
      </c>
      <c r="E2224" s="8" t="s">
        <v>11818</v>
      </c>
      <c r="F2224" s="17">
        <v>41679</v>
      </c>
      <c r="G2224" s="8" t="s">
        <v>11819</v>
      </c>
      <c r="H2224" s="8" t="s">
        <v>1777</v>
      </c>
      <c r="I2224" s="8" t="s">
        <v>45</v>
      </c>
      <c r="J2224" s="16" t="s">
        <v>5143</v>
      </c>
      <c r="K2224" s="2" t="s">
        <v>1779</v>
      </c>
      <c r="L2224" s="8" t="s">
        <v>1780</v>
      </c>
      <c r="M2224" s="8" t="s">
        <v>27</v>
      </c>
      <c r="N2224" s="8" t="s">
        <v>11820</v>
      </c>
      <c r="O2224" s="8" t="s">
        <v>1018</v>
      </c>
      <c r="P2224" s="8" t="s">
        <v>405</v>
      </c>
      <c r="Q2224" s="12" t="s">
        <v>11821</v>
      </c>
      <c r="R2224" s="8" t="s">
        <v>100</v>
      </c>
      <c r="S2224" s="7" t="s">
        <v>35</v>
      </c>
      <c r="T2224" s="6"/>
      <c r="U2224" s="8"/>
    </row>
    <row r="2225" spans="1:34" ht="13.5" customHeight="1">
      <c r="A2225" s="8" t="s">
        <v>11842</v>
      </c>
      <c r="B2225" s="16">
        <v>42</v>
      </c>
      <c r="C2225" s="8" t="s">
        <v>20</v>
      </c>
      <c r="D2225" s="8" t="s">
        <v>37</v>
      </c>
      <c r="E2225" s="8" t="s">
        <v>11843</v>
      </c>
      <c r="F2225" s="17">
        <v>41677</v>
      </c>
      <c r="G2225" s="8" t="s">
        <v>11844</v>
      </c>
      <c r="H2225" s="8" t="s">
        <v>2366</v>
      </c>
      <c r="I2225" s="8" t="s">
        <v>57</v>
      </c>
      <c r="J2225" s="16" t="s">
        <v>11845</v>
      </c>
      <c r="K2225" s="2" t="s">
        <v>2366</v>
      </c>
      <c r="L2225" s="8" t="s">
        <v>11846</v>
      </c>
      <c r="M2225" s="8" t="s">
        <v>27</v>
      </c>
      <c r="N2225" s="8" t="s">
        <v>11847</v>
      </c>
      <c r="O2225" s="8" t="s">
        <v>554</v>
      </c>
      <c r="P2225" s="8" t="s">
        <v>405</v>
      </c>
      <c r="Q2225" s="12" t="s">
        <v>11848</v>
      </c>
      <c r="R2225" s="8" t="s">
        <v>100</v>
      </c>
      <c r="S2225" s="7" t="s">
        <v>28</v>
      </c>
      <c r="T2225" s="6"/>
      <c r="U2225" s="8"/>
    </row>
    <row r="2226" spans="1:34" ht="13.5" customHeight="1">
      <c r="A2226" s="8" t="s">
        <v>11849</v>
      </c>
      <c r="B2226" s="16" t="s">
        <v>11829</v>
      </c>
      <c r="C2226" s="8" t="s">
        <v>115</v>
      </c>
      <c r="D2226" s="8" t="s">
        <v>37</v>
      </c>
      <c r="F2226" s="17">
        <v>41677</v>
      </c>
      <c r="G2226" s="8" t="s">
        <v>11830</v>
      </c>
      <c r="H2226" s="8" t="s">
        <v>11831</v>
      </c>
      <c r="I2226" s="8" t="s">
        <v>135</v>
      </c>
      <c r="J2226" s="16" t="s">
        <v>11832</v>
      </c>
      <c r="K2226" s="2" t="s">
        <v>1081</v>
      </c>
      <c r="L2226" s="8" t="s">
        <v>11833</v>
      </c>
      <c r="M2226" s="8" t="s">
        <v>27</v>
      </c>
      <c r="N2226" s="8" t="s">
        <v>11850</v>
      </c>
      <c r="O2226" s="8" t="s">
        <v>29</v>
      </c>
      <c r="P2226" s="8" t="s">
        <v>405</v>
      </c>
      <c r="Q2226" s="12" t="s">
        <v>11835</v>
      </c>
      <c r="R2226" s="8" t="s">
        <v>100</v>
      </c>
      <c r="S2226" s="7" t="s">
        <v>18</v>
      </c>
      <c r="T2226" s="6"/>
      <c r="U2226" s="8"/>
    </row>
    <row r="2227" spans="1:34" ht="13.5" customHeight="1">
      <c r="A2227" s="8" t="s">
        <v>11822</v>
      </c>
      <c r="B2227" s="16">
        <v>27</v>
      </c>
      <c r="C2227" s="8" t="s">
        <v>20</v>
      </c>
      <c r="D2227" s="8" t="s">
        <v>85</v>
      </c>
      <c r="F2227" s="17">
        <v>41677</v>
      </c>
      <c r="G2227" s="8" t="s">
        <v>11823</v>
      </c>
      <c r="H2227" s="8" t="s">
        <v>11824</v>
      </c>
      <c r="I2227" s="8" t="s">
        <v>25</v>
      </c>
      <c r="J2227" s="16" t="s">
        <v>11825</v>
      </c>
      <c r="K2227" s="2" t="s">
        <v>2339</v>
      </c>
      <c r="L2227" s="8" t="s">
        <v>11826</v>
      </c>
      <c r="M2227" s="8" t="s">
        <v>27</v>
      </c>
      <c r="N2227" s="8" t="s">
        <v>11827</v>
      </c>
      <c r="O2227" s="8" t="s">
        <v>1018</v>
      </c>
      <c r="P2227" s="8" t="s">
        <v>405</v>
      </c>
      <c r="Q2227" s="12" t="str">
        <f>HYPERLINK("http://www.ktbs.com/story/24667057/officer-involved-shooting-in-ruston-leaves-one-dead","http://www.ktbs.com/story/24667057/officer-involved-shooting-in-ruston-leaves-one-dead")</f>
        <v>http://www.ktbs.com/story/24667057/officer-involved-shooting-in-ruston-leaves-one-dead</v>
      </c>
      <c r="R2227" s="8" t="s">
        <v>100</v>
      </c>
      <c r="S2227" s="7" t="s">
        <v>28</v>
      </c>
      <c r="T2227" s="6"/>
      <c r="U2227" s="8"/>
    </row>
    <row r="2228" spans="1:34" ht="13.5" customHeight="1">
      <c r="A2228" s="8" t="s">
        <v>11836</v>
      </c>
      <c r="B2228" s="16">
        <v>49</v>
      </c>
      <c r="C2228" s="8" t="s">
        <v>20</v>
      </c>
      <c r="D2228" s="8" t="s">
        <v>37</v>
      </c>
      <c r="E2228" s="8" t="s">
        <v>11837</v>
      </c>
      <c r="F2228" s="17">
        <v>41677</v>
      </c>
      <c r="G2228" s="8" t="s">
        <v>11838</v>
      </c>
      <c r="H2228" s="8" t="s">
        <v>838</v>
      </c>
      <c r="I2228" s="8" t="s">
        <v>73</v>
      </c>
      <c r="J2228" s="16" t="s">
        <v>11839</v>
      </c>
      <c r="K2228" s="2" t="s">
        <v>839</v>
      </c>
      <c r="L2228" s="8" t="s">
        <v>840</v>
      </c>
      <c r="M2228" s="8" t="s">
        <v>27</v>
      </c>
      <c r="N2228" s="8" t="s">
        <v>11840</v>
      </c>
      <c r="O2228" s="8" t="s">
        <v>1018</v>
      </c>
      <c r="P2228" s="8" t="s">
        <v>405</v>
      </c>
      <c r="Q2228" s="12" t="s">
        <v>11841</v>
      </c>
      <c r="R2228" s="8" t="s">
        <v>100</v>
      </c>
      <c r="S2228" s="7" t="s">
        <v>28</v>
      </c>
      <c r="T2228" s="6"/>
      <c r="U2228" s="8"/>
    </row>
    <row r="2229" spans="1:34" ht="13.5" customHeight="1">
      <c r="A2229" s="8" t="s">
        <v>11828</v>
      </c>
      <c r="B2229" s="16" t="s">
        <v>11829</v>
      </c>
      <c r="C2229" s="8" t="s">
        <v>20</v>
      </c>
      <c r="D2229" s="8" t="s">
        <v>37</v>
      </c>
      <c r="F2229" s="17">
        <v>41677</v>
      </c>
      <c r="G2229" s="8" t="s">
        <v>11830</v>
      </c>
      <c r="H2229" s="8" t="s">
        <v>11831</v>
      </c>
      <c r="I2229" s="8" t="s">
        <v>135</v>
      </c>
      <c r="J2229" s="16" t="s">
        <v>11832</v>
      </c>
      <c r="K2229" s="2" t="s">
        <v>1081</v>
      </c>
      <c r="L2229" s="8" t="s">
        <v>11833</v>
      </c>
      <c r="M2229" s="8" t="s">
        <v>27</v>
      </c>
      <c r="N2229" s="8" t="s">
        <v>11834</v>
      </c>
      <c r="O2229" s="8" t="s">
        <v>29</v>
      </c>
      <c r="P2229" s="8" t="s">
        <v>405</v>
      </c>
      <c r="Q2229" s="12" t="s">
        <v>11835</v>
      </c>
      <c r="R2229" s="8" t="s">
        <v>100</v>
      </c>
      <c r="S2229" s="7" t="s">
        <v>28</v>
      </c>
      <c r="T2229" s="6"/>
      <c r="U2229" s="8"/>
    </row>
    <row r="2230" spans="1:34" ht="13.5" customHeight="1">
      <c r="A2230" s="8" t="s">
        <v>11851</v>
      </c>
      <c r="B2230" s="16">
        <v>43</v>
      </c>
      <c r="C2230" s="8" t="s">
        <v>20</v>
      </c>
      <c r="D2230" s="8" t="s">
        <v>37</v>
      </c>
      <c r="F2230" s="17">
        <v>41676</v>
      </c>
      <c r="G2230" s="8" t="s">
        <v>11852</v>
      </c>
      <c r="H2230" s="8" t="s">
        <v>3360</v>
      </c>
      <c r="I2230" s="8" t="s">
        <v>124</v>
      </c>
      <c r="J2230" s="16" t="s">
        <v>11853</v>
      </c>
      <c r="K2230" s="2" t="s">
        <v>639</v>
      </c>
      <c r="L2230" s="8" t="s">
        <v>3363</v>
      </c>
      <c r="M2230" s="8" t="s">
        <v>27</v>
      </c>
      <c r="N2230" s="8" t="s">
        <v>11854</v>
      </c>
      <c r="O2230" s="8" t="s">
        <v>1018</v>
      </c>
      <c r="P2230" s="8" t="s">
        <v>405</v>
      </c>
      <c r="Q2230" s="12" t="s">
        <v>11855</v>
      </c>
      <c r="R2230" s="8" t="s">
        <v>100</v>
      </c>
      <c r="S2230" s="7" t="s">
        <v>28</v>
      </c>
      <c r="T2230" s="6"/>
      <c r="U2230" s="8"/>
    </row>
    <row r="2231" spans="1:34" ht="13.5" customHeight="1">
      <c r="A2231" s="8" t="s">
        <v>11865</v>
      </c>
      <c r="B2231" s="16">
        <v>51</v>
      </c>
      <c r="C2231" s="8" t="s">
        <v>20</v>
      </c>
      <c r="D2231" s="8" t="s">
        <v>30</v>
      </c>
      <c r="F2231" s="17">
        <v>41675</v>
      </c>
      <c r="G2231" s="8" t="s">
        <v>11866</v>
      </c>
      <c r="H2231" s="8" t="s">
        <v>2528</v>
      </c>
      <c r="I2231" s="8" t="s">
        <v>62</v>
      </c>
      <c r="J2231" s="16" t="s">
        <v>11867</v>
      </c>
      <c r="K2231" s="2" t="s">
        <v>7379</v>
      </c>
      <c r="L2231" s="8" t="s">
        <v>11868</v>
      </c>
      <c r="M2231" s="8" t="s">
        <v>27</v>
      </c>
      <c r="N2231" s="8" t="s">
        <v>11869</v>
      </c>
      <c r="O2231" s="8" t="s">
        <v>554</v>
      </c>
      <c r="P2231" s="8" t="s">
        <v>405</v>
      </c>
      <c r="Q2231" s="12"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2231" s="8" t="s">
        <v>29</v>
      </c>
      <c r="S2231" s="7" t="s">
        <v>28</v>
      </c>
      <c r="T2231" s="6"/>
      <c r="U2231" s="8"/>
    </row>
    <row r="2232" spans="1:34" ht="13.5" customHeight="1">
      <c r="A2232" s="8" t="s">
        <v>11861</v>
      </c>
      <c r="B2232" s="16">
        <v>25</v>
      </c>
      <c r="C2232" s="8" t="s">
        <v>20</v>
      </c>
      <c r="D2232" s="8" t="s">
        <v>85</v>
      </c>
      <c r="E2232" s="8" t="s">
        <v>11862</v>
      </c>
      <c r="F2232" s="17">
        <v>41675</v>
      </c>
      <c r="G2232" s="8" t="s">
        <v>11863</v>
      </c>
      <c r="H2232" s="8" t="s">
        <v>3946</v>
      </c>
      <c r="I2232" s="8" t="s">
        <v>52</v>
      </c>
      <c r="J2232" s="16" t="s">
        <v>3947</v>
      </c>
      <c r="K2232" s="2" t="s">
        <v>3948</v>
      </c>
      <c r="L2232" s="8" t="s">
        <v>703</v>
      </c>
      <c r="M2232" s="8" t="s">
        <v>27</v>
      </c>
      <c r="N2232" s="8" t="s">
        <v>11864</v>
      </c>
      <c r="O2232" s="8" t="s">
        <v>554</v>
      </c>
      <c r="P2232" s="8" t="s">
        <v>405</v>
      </c>
      <c r="Q2232" s="12" t="str">
        <f>HYPERLINK("http://www.delmarvanow.com/article/20140205/NEWS/302050037","http://www.delmarvanow.com/article/20140205/NEWS/302050037")</f>
        <v>http://www.delmarvanow.com/article/20140205/NEWS/302050037</v>
      </c>
      <c r="R2232" s="8" t="s">
        <v>100</v>
      </c>
      <c r="S2232" s="7" t="s">
        <v>28</v>
      </c>
      <c r="T2232" s="6"/>
      <c r="U2232" s="8"/>
    </row>
    <row r="2233" spans="1:34" ht="13.5" customHeight="1">
      <c r="A2233" s="8" t="s">
        <v>11856</v>
      </c>
      <c r="B2233" s="16">
        <v>21</v>
      </c>
      <c r="C2233" s="8" t="s">
        <v>20</v>
      </c>
      <c r="D2233" s="8" t="s">
        <v>85</v>
      </c>
      <c r="E2233" s="8" t="s">
        <v>11857</v>
      </c>
      <c r="F2233" s="17">
        <v>41675</v>
      </c>
      <c r="G2233" s="8" t="s">
        <v>11858</v>
      </c>
      <c r="H2233" s="8" t="s">
        <v>11859</v>
      </c>
      <c r="I2233" s="8" t="s">
        <v>62</v>
      </c>
      <c r="J2233" s="16" t="s">
        <v>9180</v>
      </c>
      <c r="K2233" s="2" t="s">
        <v>163</v>
      </c>
      <c r="L2233" s="8" t="s">
        <v>164</v>
      </c>
      <c r="M2233" s="8" t="s">
        <v>395</v>
      </c>
      <c r="N2233" s="8" t="s">
        <v>11860</v>
      </c>
      <c r="O2233" s="8" t="s">
        <v>1018</v>
      </c>
      <c r="P2233" s="8" t="s">
        <v>405</v>
      </c>
      <c r="Q2233" s="12" t="s">
        <v>11529</v>
      </c>
      <c r="R2233" s="8" t="s">
        <v>100</v>
      </c>
      <c r="S2233" s="7" t="s">
        <v>18</v>
      </c>
      <c r="T2233" s="6"/>
      <c r="U2233" s="8"/>
    </row>
    <row r="2234" spans="1:34" ht="13.5" customHeight="1">
      <c r="A2234" s="8" t="s">
        <v>11870</v>
      </c>
      <c r="B2234" s="16">
        <v>28</v>
      </c>
      <c r="C2234" s="8" t="s">
        <v>20</v>
      </c>
      <c r="D2234" s="8" t="s">
        <v>85</v>
      </c>
      <c r="E2234" s="8" t="s">
        <v>11871</v>
      </c>
      <c r="F2234" s="17">
        <v>41674</v>
      </c>
      <c r="G2234" s="8" t="s">
        <v>11872</v>
      </c>
      <c r="H2234" s="8" t="s">
        <v>5386</v>
      </c>
      <c r="I2234" s="8" t="s">
        <v>62</v>
      </c>
      <c r="J2234" s="16" t="s">
        <v>11873</v>
      </c>
      <c r="K2234" s="2" t="s">
        <v>5387</v>
      </c>
      <c r="L2234" s="8" t="s">
        <v>63</v>
      </c>
      <c r="M2234" s="8" t="s">
        <v>27</v>
      </c>
      <c r="N2234" s="8" t="s">
        <v>11874</v>
      </c>
      <c r="O2234" s="8" t="s">
        <v>554</v>
      </c>
      <c r="P2234" s="8" t="s">
        <v>405</v>
      </c>
      <c r="Q2234" s="12" t="s">
        <v>11875</v>
      </c>
      <c r="R2234" s="8" t="s">
        <v>972</v>
      </c>
      <c r="S2234" s="7" t="s">
        <v>18</v>
      </c>
      <c r="T2234" s="6"/>
      <c r="U2234" s="8"/>
    </row>
    <row r="2235" spans="1:34" ht="13.5" customHeight="1">
      <c r="A2235" s="8" t="s">
        <v>11896</v>
      </c>
      <c r="B2235" s="16">
        <v>62</v>
      </c>
      <c r="C2235" s="8" t="s">
        <v>115</v>
      </c>
      <c r="D2235" s="8" t="s">
        <v>30</v>
      </c>
      <c r="F2235" s="17">
        <v>41674</v>
      </c>
      <c r="G2235" s="8" t="s">
        <v>11897</v>
      </c>
      <c r="H2235" s="8" t="s">
        <v>8816</v>
      </c>
      <c r="I2235" s="8" t="s">
        <v>45</v>
      </c>
      <c r="J2235" s="16" t="s">
        <v>8817</v>
      </c>
      <c r="K2235" s="2" t="s">
        <v>608</v>
      </c>
      <c r="L2235" s="8" t="s">
        <v>8818</v>
      </c>
      <c r="M2235" s="8" t="s">
        <v>27</v>
      </c>
      <c r="N2235" s="8" t="s">
        <v>11898</v>
      </c>
      <c r="O2235" s="8" t="s">
        <v>404</v>
      </c>
      <c r="P2235" s="8" t="s">
        <v>405</v>
      </c>
      <c r="Q2235" s="12" t="str">
        <f>HYPERLINK("http://www.sfgate.com/crime/article/Hayward-police-shoot-and-kill-armed-woman-5205798.php","http://www.sfgate.com/crime/article/Hayward-police-shoot-and-kill-armed-woman-5205798.php")</f>
        <v>http://www.sfgate.com/crime/article/Hayward-police-shoot-and-kill-armed-woman-5205798.php</v>
      </c>
      <c r="R2235" s="8" t="s">
        <v>559</v>
      </c>
      <c r="S2235" s="7" t="s">
        <v>18</v>
      </c>
      <c r="T2235" s="6"/>
      <c r="U2235" s="8"/>
    </row>
    <row r="2236" spans="1:34" ht="13.5" customHeight="1">
      <c r="A2236" s="8" t="s">
        <v>11876</v>
      </c>
      <c r="B2236" s="16">
        <v>34</v>
      </c>
      <c r="C2236" s="8" t="s">
        <v>20</v>
      </c>
      <c r="D2236" s="8" t="s">
        <v>85</v>
      </c>
      <c r="E2236" s="8" t="s">
        <v>11877</v>
      </c>
      <c r="F2236" s="17">
        <v>41674</v>
      </c>
      <c r="G2236" s="8" t="s">
        <v>11878</v>
      </c>
      <c r="H2236" s="8" t="s">
        <v>11879</v>
      </c>
      <c r="I2236" s="8" t="s">
        <v>212</v>
      </c>
      <c r="J2236" s="16" t="s">
        <v>11880</v>
      </c>
      <c r="K2236" s="2" t="s">
        <v>1795</v>
      </c>
      <c r="L2236" s="8" t="s">
        <v>11881</v>
      </c>
      <c r="M2236" s="8" t="s">
        <v>27</v>
      </c>
      <c r="N2236" s="8" t="s">
        <v>11882</v>
      </c>
      <c r="O2236" s="8" t="s">
        <v>1018</v>
      </c>
      <c r="P2236" s="8" t="s">
        <v>405</v>
      </c>
      <c r="Q2236" s="12" t="s">
        <v>11883</v>
      </c>
      <c r="R2236" s="8" t="s">
        <v>100</v>
      </c>
      <c r="S2236" s="7" t="s">
        <v>28</v>
      </c>
      <c r="T2236" s="6"/>
      <c r="U2236" s="8"/>
      <c r="Y2236" s="13"/>
      <c r="Z2236" s="13"/>
      <c r="AA2236" s="13"/>
      <c r="AB2236" s="13"/>
      <c r="AC2236" s="13"/>
      <c r="AD2236" s="13"/>
      <c r="AE2236" s="13"/>
      <c r="AF2236" s="13"/>
      <c r="AG2236" s="13"/>
      <c r="AH2236" s="13"/>
    </row>
    <row r="2237" spans="1:34" ht="13.5" customHeight="1">
      <c r="A2237" s="8" t="s">
        <v>3288</v>
      </c>
      <c r="B2237" s="16">
        <v>45</v>
      </c>
      <c r="C2237" s="8" t="s">
        <v>20</v>
      </c>
      <c r="D2237" s="8" t="s">
        <v>30</v>
      </c>
      <c r="F2237" s="17">
        <v>41674</v>
      </c>
      <c r="G2237" s="8" t="s">
        <v>11892</v>
      </c>
      <c r="H2237" s="8" t="s">
        <v>1110</v>
      </c>
      <c r="I2237" s="8" t="s">
        <v>408</v>
      </c>
      <c r="J2237" s="16" t="s">
        <v>11893</v>
      </c>
      <c r="K2237" s="2" t="s">
        <v>1110</v>
      </c>
      <c r="L2237" s="8" t="s">
        <v>1111</v>
      </c>
      <c r="M2237" s="8" t="s">
        <v>27</v>
      </c>
      <c r="N2237" s="8" t="s">
        <v>11894</v>
      </c>
      <c r="O2237" s="8" t="s">
        <v>1018</v>
      </c>
      <c r="P2237" s="8" t="s">
        <v>405</v>
      </c>
      <c r="Q2237" s="12" t="s">
        <v>11895</v>
      </c>
      <c r="R2237" s="8" t="s">
        <v>29</v>
      </c>
      <c r="S2237" s="7" t="s">
        <v>18</v>
      </c>
      <c r="T2237" s="6"/>
      <c r="U2237" s="8"/>
    </row>
    <row r="2238" spans="1:34" ht="13.5" customHeight="1">
      <c r="A2238" s="8" t="s">
        <v>11884</v>
      </c>
      <c r="B2238" s="16">
        <v>39</v>
      </c>
      <c r="C2238" s="8" t="s">
        <v>20</v>
      </c>
      <c r="D2238" s="8" t="s">
        <v>950</v>
      </c>
      <c r="E2238" s="8" t="s">
        <v>11885</v>
      </c>
      <c r="F2238" s="17">
        <v>41674</v>
      </c>
      <c r="G2238" s="8" t="s">
        <v>11886</v>
      </c>
      <c r="H2238" s="8" t="s">
        <v>11887</v>
      </c>
      <c r="I2238" s="8" t="s">
        <v>878</v>
      </c>
      <c r="J2238" s="16" t="s">
        <v>11888</v>
      </c>
      <c r="K2238" s="2" t="s">
        <v>3992</v>
      </c>
      <c r="L2238" s="8" t="s">
        <v>11889</v>
      </c>
      <c r="M2238" s="8" t="s">
        <v>2312</v>
      </c>
      <c r="N2238" s="8" t="s">
        <v>11890</v>
      </c>
      <c r="O2238" s="8" t="s">
        <v>1018</v>
      </c>
      <c r="P2238" s="8" t="s">
        <v>405</v>
      </c>
      <c r="Q2238" s="12" t="s">
        <v>11891</v>
      </c>
      <c r="R2238" s="8" t="s">
        <v>100</v>
      </c>
      <c r="S2238" s="7" t="s">
        <v>18</v>
      </c>
      <c r="T2238" s="6"/>
      <c r="U2238" s="8"/>
    </row>
    <row r="2239" spans="1:34" ht="13.5" customHeight="1">
      <c r="A2239" s="8" t="s">
        <v>11899</v>
      </c>
      <c r="B2239" s="16">
        <v>56</v>
      </c>
      <c r="C2239" s="8" t="s">
        <v>20</v>
      </c>
      <c r="D2239" s="8" t="s">
        <v>48</v>
      </c>
      <c r="F2239" s="17">
        <v>41673</v>
      </c>
      <c r="G2239" s="8" t="s">
        <v>11900</v>
      </c>
      <c r="H2239" s="8" t="s">
        <v>87</v>
      </c>
      <c r="I2239" s="8" t="s">
        <v>44</v>
      </c>
      <c r="J2239" s="16" t="s">
        <v>11901</v>
      </c>
      <c r="K2239" s="2" t="s">
        <v>88</v>
      </c>
      <c r="L2239" s="8" t="s">
        <v>89</v>
      </c>
      <c r="M2239" s="8" t="s">
        <v>27</v>
      </c>
      <c r="N2239" s="8" t="s">
        <v>11902</v>
      </c>
      <c r="O2239" s="8" t="s">
        <v>1018</v>
      </c>
      <c r="P2239" s="8" t="s">
        <v>405</v>
      </c>
      <c r="Q2239" s="12" t="s">
        <v>11903</v>
      </c>
      <c r="R2239" s="8" t="s">
        <v>100</v>
      </c>
      <c r="S2239" s="7" t="s">
        <v>28</v>
      </c>
      <c r="T2239" s="6"/>
      <c r="U2239" s="8"/>
    </row>
    <row r="2240" spans="1:34" ht="13.5" customHeight="1">
      <c r="A2240" s="8" t="s">
        <v>11904</v>
      </c>
      <c r="B2240" s="16">
        <v>25</v>
      </c>
      <c r="C2240" s="8" t="s">
        <v>20</v>
      </c>
      <c r="D2240" s="8" t="s">
        <v>85</v>
      </c>
      <c r="E2240" s="8" t="str">
        <f>HYPERLINK("http://thumbs.mugshots.com/gallery/images/8d/63/Kevin-Dejon-Grissett-mugshot-24130338.400x800.jpg","http://thumbs.mugshots.com/gallery/images/8d/63/Kevin-Dejon-Grissett-mugshot-24130338.400x800.jpg")</f>
        <v>http://thumbs.mugshots.com/gallery/images/8d/63/Kevin-Dejon-Grissett-mugshot-24130338.400x800.jpg</v>
      </c>
      <c r="F2240" s="17">
        <v>41671</v>
      </c>
      <c r="G2240" s="8" t="s">
        <v>11905</v>
      </c>
      <c r="H2240" s="8" t="s">
        <v>9172</v>
      </c>
      <c r="I2240" s="8" t="s">
        <v>370</v>
      </c>
      <c r="J2240" s="16" t="s">
        <v>8365</v>
      </c>
      <c r="K2240" s="2" t="s">
        <v>3187</v>
      </c>
      <c r="L2240" s="8" t="s">
        <v>9174</v>
      </c>
      <c r="M2240" s="8" t="s">
        <v>27</v>
      </c>
      <c r="N2240" s="8" t="s">
        <v>11906</v>
      </c>
      <c r="O2240" s="8" t="s">
        <v>1018</v>
      </c>
      <c r="P2240" s="8" t="s">
        <v>405</v>
      </c>
      <c r="Q2240" s="12" t="s">
        <v>11907</v>
      </c>
      <c r="R2240" s="8" t="s">
        <v>972</v>
      </c>
      <c r="S2240" s="7" t="s">
        <v>28</v>
      </c>
      <c r="T2240" s="6"/>
      <c r="U2240" s="8"/>
    </row>
    <row r="2241" spans="1:24" ht="13.5" customHeight="1">
      <c r="A2241" s="8" t="s">
        <v>11908</v>
      </c>
      <c r="B2241" s="16">
        <v>21</v>
      </c>
      <c r="C2241" s="8" t="s">
        <v>20</v>
      </c>
      <c r="D2241" s="8" t="s">
        <v>37</v>
      </c>
      <c r="F2241" s="17">
        <v>41671</v>
      </c>
      <c r="G2241" s="8" t="s">
        <v>11909</v>
      </c>
      <c r="H2241" s="8" t="s">
        <v>11910</v>
      </c>
      <c r="I2241" s="8" t="s">
        <v>306</v>
      </c>
      <c r="J2241" s="16" t="s">
        <v>11911</v>
      </c>
      <c r="K2241" s="2" t="s">
        <v>891</v>
      </c>
      <c r="L2241" s="8" t="s">
        <v>11912</v>
      </c>
      <c r="M2241" s="8" t="s">
        <v>27</v>
      </c>
      <c r="N2241" s="8" t="s">
        <v>11913</v>
      </c>
      <c r="O2241" s="8" t="s">
        <v>1018</v>
      </c>
      <c r="P2241" s="8" t="s">
        <v>405</v>
      </c>
      <c r="Q2241" s="12" t="s">
        <v>11914</v>
      </c>
      <c r="R2241" s="8" t="s">
        <v>100</v>
      </c>
      <c r="S2241" s="7" t="s">
        <v>28</v>
      </c>
      <c r="T2241" s="6"/>
      <c r="U2241" s="8"/>
    </row>
    <row r="2242" spans="1:24" ht="13.5" customHeight="1">
      <c r="A2242" s="8" t="s">
        <v>11915</v>
      </c>
      <c r="B2242" s="16">
        <v>28</v>
      </c>
      <c r="C2242" s="8" t="s">
        <v>20</v>
      </c>
      <c r="D2242" s="8" t="s">
        <v>37</v>
      </c>
      <c r="F2242" s="17">
        <v>41671</v>
      </c>
      <c r="G2242" s="8" t="s">
        <v>11916</v>
      </c>
      <c r="H2242" s="8" t="s">
        <v>11917</v>
      </c>
      <c r="I2242" s="8" t="s">
        <v>272</v>
      </c>
      <c r="J2242" s="16" t="s">
        <v>11918</v>
      </c>
      <c r="K2242" s="2" t="s">
        <v>574</v>
      </c>
      <c r="L2242" s="8" t="s">
        <v>575</v>
      </c>
      <c r="M2242" s="8" t="s">
        <v>27</v>
      </c>
      <c r="N2242" s="8" t="s">
        <v>11919</v>
      </c>
      <c r="O2242" s="8" t="s">
        <v>1018</v>
      </c>
      <c r="P2242" s="8" t="s">
        <v>405</v>
      </c>
      <c r="Q2242" s="12" t="s">
        <v>11920</v>
      </c>
      <c r="R2242" s="8" t="s">
        <v>559</v>
      </c>
      <c r="S2242" s="7" t="s">
        <v>28</v>
      </c>
      <c r="T2242" s="6"/>
      <c r="U2242" s="8"/>
    </row>
    <row r="2243" spans="1:24" ht="13.5" customHeight="1">
      <c r="A2243" s="8" t="s">
        <v>11921</v>
      </c>
      <c r="B2243" s="16">
        <v>31</v>
      </c>
      <c r="C2243" s="8" t="s">
        <v>20</v>
      </c>
      <c r="D2243" s="8" t="s">
        <v>85</v>
      </c>
      <c r="E2243" s="8"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2243" s="17">
        <v>41670</v>
      </c>
      <c r="G2243" s="8" t="s">
        <v>11922</v>
      </c>
      <c r="H2243" s="8" t="s">
        <v>11923</v>
      </c>
      <c r="I2243" s="8" t="s">
        <v>32</v>
      </c>
      <c r="J2243" s="16" t="s">
        <v>11924</v>
      </c>
      <c r="K2243" s="2" t="s">
        <v>3403</v>
      </c>
      <c r="L2243" s="8" t="s">
        <v>11925</v>
      </c>
      <c r="M2243" s="8" t="s">
        <v>27</v>
      </c>
      <c r="N2243" s="8" t="s">
        <v>11926</v>
      </c>
      <c r="O2243" s="8" t="s">
        <v>554</v>
      </c>
      <c r="P2243" s="8" t="s">
        <v>405</v>
      </c>
      <c r="Q2243" s="12" t="s">
        <v>11927</v>
      </c>
      <c r="R2243" s="8" t="s">
        <v>29</v>
      </c>
      <c r="S2243" s="7" t="s">
        <v>28</v>
      </c>
      <c r="T2243" s="6"/>
      <c r="U2243" s="8"/>
    </row>
    <row r="2244" spans="1:24" ht="13.5" customHeight="1">
      <c r="A2244" s="8" t="s">
        <v>11935</v>
      </c>
      <c r="B2244" s="16">
        <v>27</v>
      </c>
      <c r="C2244" s="8" t="s">
        <v>20</v>
      </c>
      <c r="D2244" s="8" t="s">
        <v>48</v>
      </c>
      <c r="E2244" s="8" t="s">
        <v>11936</v>
      </c>
      <c r="F2244" s="17">
        <v>41670</v>
      </c>
      <c r="G2244" s="8" t="s">
        <v>11937</v>
      </c>
      <c r="H2244" s="8" t="s">
        <v>11938</v>
      </c>
      <c r="I2244" s="8" t="s">
        <v>243</v>
      </c>
      <c r="J2244" s="16" t="s">
        <v>11939</v>
      </c>
      <c r="K2244" s="2" t="s">
        <v>11940</v>
      </c>
      <c r="L2244" s="8" t="s">
        <v>11941</v>
      </c>
      <c r="M2244" s="8" t="s">
        <v>27</v>
      </c>
      <c r="N2244" s="8" t="s">
        <v>11942</v>
      </c>
      <c r="O2244" s="8" t="s">
        <v>554</v>
      </c>
      <c r="P2244" s="8" t="s">
        <v>405</v>
      </c>
      <c r="Q2244" s="12" t="s">
        <v>11943</v>
      </c>
      <c r="R2244" s="8" t="s">
        <v>100</v>
      </c>
      <c r="S2244" s="7" t="s">
        <v>28</v>
      </c>
      <c r="T2244" s="6"/>
      <c r="U2244" s="8"/>
    </row>
    <row r="2245" spans="1:24" ht="13.5" customHeight="1">
      <c r="A2245" s="8" t="s">
        <v>11928</v>
      </c>
      <c r="B2245" s="16">
        <v>33</v>
      </c>
      <c r="C2245" s="8" t="s">
        <v>20</v>
      </c>
      <c r="D2245" s="8" t="s">
        <v>48</v>
      </c>
      <c r="E2245" s="8" t="s">
        <v>11929</v>
      </c>
      <c r="F2245" s="17">
        <v>41670</v>
      </c>
      <c r="G2245" s="8" t="s">
        <v>11930</v>
      </c>
      <c r="H2245" s="8" t="s">
        <v>11931</v>
      </c>
      <c r="I2245" s="8" t="s">
        <v>45</v>
      </c>
      <c r="J2245" s="16" t="s">
        <v>11932</v>
      </c>
      <c r="K2245" s="2" t="s">
        <v>158</v>
      </c>
      <c r="L2245" s="8" t="s">
        <v>2134</v>
      </c>
      <c r="M2245" s="8" t="s">
        <v>27</v>
      </c>
      <c r="N2245" s="8" t="s">
        <v>11933</v>
      </c>
      <c r="O2245" s="8" t="s">
        <v>1018</v>
      </c>
      <c r="P2245" s="8" t="s">
        <v>405</v>
      </c>
      <c r="Q2245" s="12" t="s">
        <v>11934</v>
      </c>
      <c r="R2245" s="8" t="s">
        <v>559</v>
      </c>
      <c r="S2245" s="7" t="s">
        <v>18</v>
      </c>
      <c r="T2245" s="6"/>
      <c r="U2245" s="8"/>
    </row>
    <row r="2246" spans="1:24" ht="13.5" customHeight="1">
      <c r="A2246" s="8" t="s">
        <v>11944</v>
      </c>
      <c r="B2246" s="16">
        <v>36</v>
      </c>
      <c r="C2246" s="8" t="s">
        <v>20</v>
      </c>
      <c r="D2246" s="8" t="s">
        <v>48</v>
      </c>
      <c r="E2246" s="8" t="s">
        <v>11945</v>
      </c>
      <c r="F2246" s="17">
        <v>41669</v>
      </c>
      <c r="G2246" s="8" t="s">
        <v>11946</v>
      </c>
      <c r="H2246" s="8" t="s">
        <v>11947</v>
      </c>
      <c r="I2246" s="8" t="s">
        <v>45</v>
      </c>
      <c r="J2246" s="16" t="s">
        <v>11948</v>
      </c>
      <c r="K2246" s="2" t="s">
        <v>10015</v>
      </c>
      <c r="L2246" s="8" t="s">
        <v>19951</v>
      </c>
      <c r="M2246" s="8" t="s">
        <v>27</v>
      </c>
      <c r="N2246" s="8" t="s">
        <v>11949</v>
      </c>
      <c r="O2246" s="8" t="s">
        <v>1018</v>
      </c>
      <c r="P2246" s="8" t="s">
        <v>405</v>
      </c>
      <c r="Q2246" s="12"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2246" s="8" t="s">
        <v>100</v>
      </c>
      <c r="S2246" s="7" t="s">
        <v>28</v>
      </c>
      <c r="T2246" s="6"/>
      <c r="U2246" s="8"/>
    </row>
    <row r="2247" spans="1:24" ht="13.5" customHeight="1">
      <c r="A2247" s="8" t="s">
        <v>11950</v>
      </c>
      <c r="B2247" s="16">
        <v>47</v>
      </c>
      <c r="C2247" s="8" t="s">
        <v>20</v>
      </c>
      <c r="D2247" s="8" t="s">
        <v>37</v>
      </c>
      <c r="E2247" s="8" t="s">
        <v>11951</v>
      </c>
      <c r="F2247" s="17">
        <v>41669</v>
      </c>
      <c r="G2247" s="8" t="s">
        <v>11952</v>
      </c>
      <c r="H2247" s="8" t="s">
        <v>11953</v>
      </c>
      <c r="I2247" s="8" t="s">
        <v>45</v>
      </c>
      <c r="J2247" s="16" t="s">
        <v>11954</v>
      </c>
      <c r="K2247" s="2" t="s">
        <v>98</v>
      </c>
      <c r="L2247" s="8" t="s">
        <v>418</v>
      </c>
      <c r="M2247" s="8" t="s">
        <v>27</v>
      </c>
      <c r="N2247" s="8" t="s">
        <v>11955</v>
      </c>
      <c r="O2247" s="8" t="s">
        <v>404</v>
      </c>
      <c r="P2247" s="8" t="s">
        <v>405</v>
      </c>
      <c r="Q2247" s="12" t="s">
        <v>11956</v>
      </c>
      <c r="R2247" s="8" t="s">
        <v>559</v>
      </c>
      <c r="S2247" s="7" t="s">
        <v>28</v>
      </c>
      <c r="T2247" s="6"/>
      <c r="U2247" s="8"/>
    </row>
    <row r="2248" spans="1:24" ht="13.5" customHeight="1">
      <c r="A2248" s="8" t="s">
        <v>11957</v>
      </c>
      <c r="B2248" s="16">
        <v>25</v>
      </c>
      <c r="C2248" s="8" t="s">
        <v>20</v>
      </c>
      <c r="D2248" s="8" t="s">
        <v>85</v>
      </c>
      <c r="E2248" s="8" t="s">
        <v>11958</v>
      </c>
      <c r="F2248" s="17">
        <v>41668</v>
      </c>
      <c r="G2248" s="8" t="s">
        <v>11959</v>
      </c>
      <c r="H2248" s="8" t="s">
        <v>11960</v>
      </c>
      <c r="I2248" s="8" t="s">
        <v>52</v>
      </c>
      <c r="J2248" s="16" t="s">
        <v>11961</v>
      </c>
      <c r="K2248" s="2" t="s">
        <v>1065</v>
      </c>
      <c r="L2248" s="8" t="s">
        <v>2383</v>
      </c>
      <c r="M2248" s="8" t="s">
        <v>27</v>
      </c>
      <c r="N2248" s="8" t="s">
        <v>11962</v>
      </c>
      <c r="O2248" s="8" t="s">
        <v>1018</v>
      </c>
      <c r="P2248" s="8" t="s">
        <v>405</v>
      </c>
      <c r="Q2248" s="12" t="s">
        <v>11963</v>
      </c>
      <c r="R2248" s="8" t="s">
        <v>29</v>
      </c>
      <c r="S2248" s="7" t="s">
        <v>28</v>
      </c>
      <c r="T2248" s="6"/>
      <c r="U2248" s="8"/>
    </row>
    <row r="2249" spans="1:24" ht="13.5" customHeight="1">
      <c r="A2249" s="8" t="s">
        <v>11964</v>
      </c>
      <c r="B2249" s="16">
        <v>19</v>
      </c>
      <c r="C2249" s="8" t="s">
        <v>20</v>
      </c>
      <c r="D2249" s="8" t="s">
        <v>85</v>
      </c>
      <c r="E2249" s="8" t="s">
        <v>11965</v>
      </c>
      <c r="F2249" s="17">
        <v>41668</v>
      </c>
      <c r="G2249" s="8" t="s">
        <v>11966</v>
      </c>
      <c r="H2249" s="8" t="s">
        <v>895</v>
      </c>
      <c r="I2249" s="8" t="s">
        <v>442</v>
      </c>
      <c r="J2249" s="16" t="s">
        <v>11967</v>
      </c>
      <c r="K2249" s="2" t="s">
        <v>895</v>
      </c>
      <c r="L2249" s="8" t="s">
        <v>3913</v>
      </c>
      <c r="M2249" s="8" t="s">
        <v>27</v>
      </c>
      <c r="N2249" s="8" t="s">
        <v>11968</v>
      </c>
      <c r="O2249" s="8" t="s">
        <v>1018</v>
      </c>
      <c r="P2249" s="8" t="s">
        <v>405</v>
      </c>
      <c r="Q2249" s="12" t="s">
        <v>11969</v>
      </c>
      <c r="R2249" s="8" t="s">
        <v>100</v>
      </c>
      <c r="S2249" s="7" t="s">
        <v>28</v>
      </c>
      <c r="T2249" s="6"/>
      <c r="U2249" s="8"/>
    </row>
    <row r="2250" spans="1:24" ht="13.5" customHeight="1">
      <c r="A2250" s="8" t="s">
        <v>11975</v>
      </c>
      <c r="B2250" s="16">
        <v>42</v>
      </c>
      <c r="C2250" s="8" t="s">
        <v>20</v>
      </c>
      <c r="D2250" s="8" t="s">
        <v>37</v>
      </c>
      <c r="E2250" s="8" t="s">
        <v>11976</v>
      </c>
      <c r="F2250" s="17">
        <v>41668</v>
      </c>
      <c r="G2250" s="8" t="s">
        <v>11977</v>
      </c>
      <c r="H2250" s="8" t="s">
        <v>11978</v>
      </c>
      <c r="I2250" s="8" t="s">
        <v>152</v>
      </c>
      <c r="J2250" s="16" t="s">
        <v>11979</v>
      </c>
      <c r="K2250" s="2" t="s">
        <v>998</v>
      </c>
      <c r="L2250" s="8" t="s">
        <v>17722</v>
      </c>
      <c r="M2250" s="8" t="s">
        <v>27</v>
      </c>
      <c r="N2250" s="8" t="s">
        <v>11980</v>
      </c>
      <c r="O2250" s="8" t="s">
        <v>1018</v>
      </c>
      <c r="P2250" s="8" t="s">
        <v>405</v>
      </c>
      <c r="Q2250" s="12" t="s">
        <v>11981</v>
      </c>
      <c r="R2250" s="8" t="s">
        <v>559</v>
      </c>
      <c r="S2250" s="7" t="s">
        <v>28</v>
      </c>
      <c r="T2250" s="6"/>
      <c r="U2250" s="8"/>
    </row>
    <row r="2251" spans="1:24" ht="13.5" customHeight="1">
      <c r="A2251" s="8" t="s">
        <v>11970</v>
      </c>
      <c r="B2251" s="16">
        <v>29</v>
      </c>
      <c r="C2251" s="8" t="s">
        <v>20</v>
      </c>
      <c r="D2251" s="8" t="s">
        <v>48</v>
      </c>
      <c r="F2251" s="17">
        <v>41668</v>
      </c>
      <c r="G2251" s="8" t="s">
        <v>11971</v>
      </c>
      <c r="H2251" s="8" t="s">
        <v>7825</v>
      </c>
      <c r="I2251" s="8" t="s">
        <v>25</v>
      </c>
      <c r="J2251" s="16" t="s">
        <v>7826</v>
      </c>
      <c r="K2251" s="2" t="s">
        <v>7827</v>
      </c>
      <c r="L2251" s="8" t="s">
        <v>11972</v>
      </c>
      <c r="M2251" s="8" t="s">
        <v>27</v>
      </c>
      <c r="N2251" s="8" t="s">
        <v>11973</v>
      </c>
      <c r="O2251" s="8" t="s">
        <v>404</v>
      </c>
      <c r="P2251" s="8" t="s">
        <v>405</v>
      </c>
      <c r="Q2251" s="12" t="s">
        <v>11974</v>
      </c>
      <c r="R2251" s="8" t="s">
        <v>29</v>
      </c>
      <c r="S2251" s="7" t="s">
        <v>28</v>
      </c>
      <c r="T2251" s="6"/>
      <c r="U2251" s="8"/>
    </row>
    <row r="2252" spans="1:24" ht="13.5" customHeight="1">
      <c r="A2252" s="8" t="s">
        <v>12003</v>
      </c>
      <c r="B2252" s="16">
        <v>28</v>
      </c>
      <c r="C2252" s="8" t="s">
        <v>20</v>
      </c>
      <c r="D2252" s="8" t="s">
        <v>37</v>
      </c>
      <c r="E2252" s="8" t="s">
        <v>12004</v>
      </c>
      <c r="F2252" s="17">
        <v>41667</v>
      </c>
      <c r="G2252" s="8" t="s">
        <v>12005</v>
      </c>
      <c r="H2252" s="8" t="s">
        <v>869</v>
      </c>
      <c r="I2252" s="8" t="s">
        <v>44</v>
      </c>
      <c r="J2252" s="16" t="s">
        <v>12006</v>
      </c>
      <c r="K2252" s="2" t="s">
        <v>869</v>
      </c>
      <c r="L2252" s="8" t="s">
        <v>870</v>
      </c>
      <c r="M2252" s="8" t="s">
        <v>27</v>
      </c>
      <c r="N2252" s="8" t="s">
        <v>12007</v>
      </c>
      <c r="O2252" s="8" t="s">
        <v>554</v>
      </c>
      <c r="P2252" s="8" t="s">
        <v>405</v>
      </c>
      <c r="Q2252" s="12" t="s">
        <v>12008</v>
      </c>
      <c r="R2252" s="8" t="s">
        <v>559</v>
      </c>
      <c r="S2252" s="7" t="s">
        <v>28</v>
      </c>
      <c r="T2252" s="6"/>
      <c r="U2252" s="8"/>
    </row>
    <row r="2253" spans="1:24" ht="13.5" customHeight="1">
      <c r="A2253" s="8" t="s">
        <v>11982</v>
      </c>
      <c r="B2253" s="16">
        <v>29</v>
      </c>
      <c r="C2253" s="8" t="s">
        <v>20</v>
      </c>
      <c r="D2253" s="8" t="s">
        <v>48</v>
      </c>
      <c r="E2253" s="8" t="s">
        <v>11983</v>
      </c>
      <c r="F2253" s="17">
        <v>41667</v>
      </c>
      <c r="G2253" s="8" t="s">
        <v>11984</v>
      </c>
      <c r="H2253" s="8" t="s">
        <v>11985</v>
      </c>
      <c r="I2253" s="8" t="s">
        <v>374</v>
      </c>
      <c r="J2253" s="16" t="s">
        <v>11986</v>
      </c>
      <c r="K2253" s="2" t="s">
        <v>11987</v>
      </c>
      <c r="L2253" s="8" t="s">
        <v>11988</v>
      </c>
      <c r="M2253" s="8" t="s">
        <v>27</v>
      </c>
      <c r="N2253" s="8" t="s">
        <v>11989</v>
      </c>
      <c r="O2253" s="8" t="s">
        <v>554</v>
      </c>
      <c r="P2253" s="8" t="s">
        <v>405</v>
      </c>
      <c r="Q2253" s="12" t="s">
        <v>11990</v>
      </c>
      <c r="R2253" s="8" t="s">
        <v>100</v>
      </c>
      <c r="S2253" s="7" t="s">
        <v>28</v>
      </c>
      <c r="T2253" s="6"/>
      <c r="U2253" s="8"/>
    </row>
    <row r="2254" spans="1:24" ht="13.5" customHeight="1">
      <c r="A2254" s="8" t="s">
        <v>11997</v>
      </c>
      <c r="B2254" s="16">
        <v>21</v>
      </c>
      <c r="C2254" s="8" t="s">
        <v>115</v>
      </c>
      <c r="D2254" s="8" t="s">
        <v>37</v>
      </c>
      <c r="E2254" s="8" t="s">
        <v>11998</v>
      </c>
      <c r="F2254" s="17">
        <v>41667</v>
      </c>
      <c r="G2254" s="8" t="s">
        <v>11999</v>
      </c>
      <c r="H2254" s="8" t="s">
        <v>227</v>
      </c>
      <c r="I2254" s="8" t="s">
        <v>370</v>
      </c>
      <c r="J2254" s="16" t="s">
        <v>12000</v>
      </c>
      <c r="K2254" s="2" t="s">
        <v>8681</v>
      </c>
      <c r="L2254" s="8" t="s">
        <v>229</v>
      </c>
      <c r="M2254" s="8" t="s">
        <v>27</v>
      </c>
      <c r="N2254" s="8" t="s">
        <v>12001</v>
      </c>
      <c r="O2254" s="8" t="s">
        <v>554</v>
      </c>
      <c r="P2254" s="8" t="s">
        <v>405</v>
      </c>
      <c r="Q2254" s="12" t="s">
        <v>12002</v>
      </c>
      <c r="R2254" s="8" t="s">
        <v>559</v>
      </c>
      <c r="S2254" s="7" t="s">
        <v>28</v>
      </c>
      <c r="T2254" s="6"/>
      <c r="U2254" s="8"/>
      <c r="V2254" s="8"/>
      <c r="W2254" s="8"/>
      <c r="X2254" s="8"/>
    </row>
    <row r="2255" spans="1:24" ht="13.5" customHeight="1">
      <c r="A2255" s="8" t="s">
        <v>11991</v>
      </c>
      <c r="B2255" s="16">
        <v>46</v>
      </c>
      <c r="C2255" s="8" t="s">
        <v>20</v>
      </c>
      <c r="D2255" s="8" t="s">
        <v>30</v>
      </c>
      <c r="F2255" s="17">
        <v>41667</v>
      </c>
      <c r="G2255" s="8" t="s">
        <v>11992</v>
      </c>
      <c r="H2255" s="8" t="s">
        <v>9582</v>
      </c>
      <c r="I2255" s="8" t="s">
        <v>81</v>
      </c>
      <c r="J2255" s="16" t="s">
        <v>11993</v>
      </c>
      <c r="K2255" s="2" t="s">
        <v>9582</v>
      </c>
      <c r="L2255" s="8" t="s">
        <v>11994</v>
      </c>
      <c r="M2255" s="8" t="s">
        <v>27</v>
      </c>
      <c r="N2255" s="8" t="s">
        <v>11995</v>
      </c>
      <c r="O2255" s="8" t="s">
        <v>1018</v>
      </c>
      <c r="P2255" s="8" t="s">
        <v>405</v>
      </c>
      <c r="Q2255" s="12" t="s">
        <v>11996</v>
      </c>
      <c r="R2255" s="8" t="s">
        <v>29</v>
      </c>
      <c r="S2255" s="7" t="s">
        <v>28</v>
      </c>
      <c r="T2255" s="6"/>
      <c r="U2255" s="8"/>
    </row>
    <row r="2256" spans="1:24" ht="13.5" customHeight="1">
      <c r="A2256" s="8" t="s">
        <v>12009</v>
      </c>
      <c r="B2256" s="16">
        <v>56</v>
      </c>
      <c r="C2256" s="8" t="s">
        <v>20</v>
      </c>
      <c r="D2256" s="8" t="s">
        <v>85</v>
      </c>
      <c r="E2256" s="8" t="s">
        <v>12010</v>
      </c>
      <c r="F2256" s="17">
        <v>41666</v>
      </c>
      <c r="G2256" s="8" t="s">
        <v>12011</v>
      </c>
      <c r="H2256" s="8" t="s">
        <v>12012</v>
      </c>
      <c r="I2256" s="8" t="s">
        <v>408</v>
      </c>
      <c r="J2256" s="16" t="s">
        <v>12013</v>
      </c>
      <c r="K2256" s="2" t="s">
        <v>1651</v>
      </c>
      <c r="L2256" s="8" t="s">
        <v>12014</v>
      </c>
      <c r="M2256" s="8" t="s">
        <v>27</v>
      </c>
      <c r="N2256" s="8" t="s">
        <v>12015</v>
      </c>
      <c r="O2256" s="8" t="s">
        <v>1018</v>
      </c>
      <c r="P2256" s="8" t="s">
        <v>405</v>
      </c>
      <c r="Q2256" s="12" t="s">
        <v>12016</v>
      </c>
      <c r="R2256" s="8" t="s">
        <v>29</v>
      </c>
      <c r="S2256" s="7" t="s">
        <v>28</v>
      </c>
      <c r="T2256" s="6"/>
      <c r="U2256" s="8"/>
    </row>
    <row r="2257" spans="1:39" ht="13.5" customHeight="1">
      <c r="A2257" s="8" t="s">
        <v>12022</v>
      </c>
      <c r="B2257" s="16">
        <v>45</v>
      </c>
      <c r="C2257" s="8" t="s">
        <v>20</v>
      </c>
      <c r="D2257" s="8" t="s">
        <v>30</v>
      </c>
      <c r="E2257" s="8" t="s">
        <v>12023</v>
      </c>
      <c r="F2257" s="17">
        <v>41666</v>
      </c>
      <c r="G2257" s="8" t="s">
        <v>12024</v>
      </c>
      <c r="H2257" s="8" t="s">
        <v>12025</v>
      </c>
      <c r="I2257" s="8" t="s">
        <v>32</v>
      </c>
      <c r="J2257" s="16" t="s">
        <v>12026</v>
      </c>
      <c r="K2257" s="2" t="s">
        <v>12025</v>
      </c>
      <c r="L2257" s="8" t="s">
        <v>12027</v>
      </c>
      <c r="M2257" s="8" t="s">
        <v>27</v>
      </c>
      <c r="N2257" s="8" t="s">
        <v>12028</v>
      </c>
      <c r="O2257" s="8" t="s">
        <v>29</v>
      </c>
      <c r="P2257" s="8" t="s">
        <v>405</v>
      </c>
      <c r="Q2257" s="12" t="s">
        <v>12029</v>
      </c>
      <c r="R2257" s="8" t="s">
        <v>559</v>
      </c>
      <c r="S2257" s="7" t="s">
        <v>18</v>
      </c>
      <c r="T2257" s="6"/>
      <c r="U2257" s="8"/>
    </row>
    <row r="2258" spans="1:39" ht="13.5" customHeight="1">
      <c r="A2258" s="8" t="s">
        <v>12017</v>
      </c>
      <c r="B2258" s="16">
        <v>39</v>
      </c>
      <c r="C2258" s="8" t="s">
        <v>20</v>
      </c>
      <c r="D2258" s="8" t="s">
        <v>48</v>
      </c>
      <c r="F2258" s="17">
        <v>41666</v>
      </c>
      <c r="G2258" s="8" t="s">
        <v>12018</v>
      </c>
      <c r="H2258" s="8" t="s">
        <v>5368</v>
      </c>
      <c r="I2258" s="8" t="s">
        <v>45</v>
      </c>
      <c r="J2258" s="16" t="s">
        <v>12019</v>
      </c>
      <c r="K2258" s="2" t="s">
        <v>791</v>
      </c>
      <c r="L2258" s="8" t="s">
        <v>792</v>
      </c>
      <c r="M2258" s="8" t="s">
        <v>27</v>
      </c>
      <c r="N2258" s="8" t="s">
        <v>12020</v>
      </c>
      <c r="O2258" s="8" t="s">
        <v>1018</v>
      </c>
      <c r="P2258" s="8" t="s">
        <v>405</v>
      </c>
      <c r="Q2258" s="12" t="s">
        <v>12021</v>
      </c>
      <c r="R2258" s="8" t="s">
        <v>100</v>
      </c>
      <c r="S2258" s="7" t="s">
        <v>18</v>
      </c>
      <c r="T2258" s="6"/>
      <c r="U2258" s="8"/>
    </row>
    <row r="2259" spans="1:39" ht="13.5" customHeight="1">
      <c r="A2259" s="8" t="s">
        <v>12037</v>
      </c>
      <c r="B2259" s="16">
        <v>27</v>
      </c>
      <c r="C2259" s="8" t="s">
        <v>20</v>
      </c>
      <c r="D2259" s="8" t="s">
        <v>37</v>
      </c>
      <c r="E2259" s="8" t="s">
        <v>12038</v>
      </c>
      <c r="F2259" s="17">
        <v>41665</v>
      </c>
      <c r="G2259" s="8" t="s">
        <v>12039</v>
      </c>
      <c r="H2259" s="8" t="s">
        <v>12040</v>
      </c>
      <c r="I2259" s="8" t="s">
        <v>45</v>
      </c>
      <c r="J2259" s="16" t="s">
        <v>12041</v>
      </c>
      <c r="K2259" s="2" t="s">
        <v>158</v>
      </c>
      <c r="L2259" s="8" t="s">
        <v>159</v>
      </c>
      <c r="M2259" s="8" t="s">
        <v>27</v>
      </c>
      <c r="N2259" s="8" t="s">
        <v>12042</v>
      </c>
      <c r="O2259" s="8" t="s">
        <v>1018</v>
      </c>
      <c r="P2259" s="8" t="s">
        <v>405</v>
      </c>
      <c r="Q2259" s="12" t="s">
        <v>12043</v>
      </c>
      <c r="R2259" s="8" t="s">
        <v>100</v>
      </c>
      <c r="S2259" s="7" t="s">
        <v>28</v>
      </c>
      <c r="T2259" s="6"/>
      <c r="U2259" s="8"/>
    </row>
    <row r="2260" spans="1:39" ht="13.5" customHeight="1">
      <c r="A2260" s="8" t="s">
        <v>12030</v>
      </c>
      <c r="B2260" s="16">
        <v>21</v>
      </c>
      <c r="C2260" s="8" t="s">
        <v>20</v>
      </c>
      <c r="D2260" s="8" t="s">
        <v>85</v>
      </c>
      <c r="F2260" s="17">
        <v>41665</v>
      </c>
      <c r="G2260" s="8" t="s">
        <v>12031</v>
      </c>
      <c r="H2260" s="8" t="s">
        <v>12032</v>
      </c>
      <c r="I2260" s="8" t="s">
        <v>212</v>
      </c>
      <c r="J2260" s="16" t="s">
        <v>12033</v>
      </c>
      <c r="K2260" s="2" t="s">
        <v>1941</v>
      </c>
      <c r="L2260" s="8" t="s">
        <v>12034</v>
      </c>
      <c r="M2260" s="8" t="s">
        <v>27</v>
      </c>
      <c r="N2260" s="8" t="s">
        <v>12035</v>
      </c>
      <c r="O2260" s="8" t="s">
        <v>554</v>
      </c>
      <c r="P2260" s="8" t="s">
        <v>405</v>
      </c>
      <c r="Q2260" s="12" t="s">
        <v>12036</v>
      </c>
      <c r="R2260" s="8" t="s">
        <v>100</v>
      </c>
      <c r="S2260" s="7" t="s">
        <v>28</v>
      </c>
      <c r="T2260" s="6"/>
      <c r="U2260" s="8"/>
    </row>
    <row r="2261" spans="1:39" ht="13.5" customHeight="1">
      <c r="A2261" s="8" t="s">
        <v>12044</v>
      </c>
      <c r="B2261" s="16">
        <v>43</v>
      </c>
      <c r="C2261" s="8" t="s">
        <v>20</v>
      </c>
      <c r="D2261" s="8" t="s">
        <v>21</v>
      </c>
      <c r="E2261" s="8" t="s">
        <v>12045</v>
      </c>
      <c r="F2261" s="17">
        <v>41664</v>
      </c>
      <c r="G2261" s="8" t="s">
        <v>12046</v>
      </c>
      <c r="H2261" s="8" t="s">
        <v>412</v>
      </c>
      <c r="I2261" s="8" t="s">
        <v>45</v>
      </c>
      <c r="J2261" s="16" t="s">
        <v>12047</v>
      </c>
      <c r="K2261" s="2" t="s">
        <v>1779</v>
      </c>
      <c r="L2261" s="8" t="s">
        <v>413</v>
      </c>
      <c r="M2261" s="8" t="s">
        <v>27</v>
      </c>
      <c r="N2261" s="8" t="s">
        <v>12048</v>
      </c>
      <c r="O2261" s="8" t="s">
        <v>1018</v>
      </c>
      <c r="P2261" s="8" t="s">
        <v>405</v>
      </c>
      <c r="Q2261" s="12" t="s">
        <v>12049</v>
      </c>
      <c r="R2261" s="8" t="s">
        <v>559</v>
      </c>
      <c r="S2261" s="7" t="s">
        <v>28</v>
      </c>
      <c r="T2261" s="6"/>
      <c r="U2261" s="8"/>
      <c r="AI2261" s="8"/>
      <c r="AJ2261" s="8"/>
      <c r="AK2261" s="8"/>
      <c r="AL2261" s="8"/>
      <c r="AM2261" s="8"/>
    </row>
    <row r="2262" spans="1:39" ht="13.5" customHeight="1">
      <c r="A2262" s="8" t="s">
        <v>12050</v>
      </c>
      <c r="B2262" s="16">
        <v>35</v>
      </c>
      <c r="C2262" s="8" t="s">
        <v>20</v>
      </c>
      <c r="D2262" s="8" t="s">
        <v>37</v>
      </c>
      <c r="E2262" s="8" t="s">
        <v>12051</v>
      </c>
      <c r="F2262" s="17">
        <v>41664</v>
      </c>
      <c r="G2262" s="8" t="s">
        <v>12052</v>
      </c>
      <c r="H2262" s="8" t="s">
        <v>12053</v>
      </c>
      <c r="I2262" s="8" t="s">
        <v>399</v>
      </c>
      <c r="J2262" s="16" t="s">
        <v>12054</v>
      </c>
      <c r="K2262" s="2" t="s">
        <v>1105</v>
      </c>
      <c r="L2262" s="8" t="s">
        <v>2062</v>
      </c>
      <c r="M2262" s="8" t="s">
        <v>27</v>
      </c>
      <c r="N2262" s="8" t="s">
        <v>12055</v>
      </c>
      <c r="O2262" s="8" t="s">
        <v>554</v>
      </c>
      <c r="P2262" s="8" t="s">
        <v>405</v>
      </c>
      <c r="Q2262" s="12" t="s">
        <v>12056</v>
      </c>
      <c r="R2262" s="8" t="s">
        <v>100</v>
      </c>
      <c r="S2262" s="7" t="s">
        <v>28</v>
      </c>
      <c r="T2262" s="6"/>
      <c r="U2262" s="8"/>
    </row>
    <row r="2263" spans="1:39" ht="13.5" customHeight="1">
      <c r="A2263" s="8" t="s">
        <v>12063</v>
      </c>
      <c r="B2263" s="16">
        <v>53</v>
      </c>
      <c r="C2263" s="8" t="s">
        <v>20</v>
      </c>
      <c r="D2263" s="8" t="s">
        <v>37</v>
      </c>
      <c r="E2263" s="8" t="s">
        <v>12064</v>
      </c>
      <c r="F2263" s="17">
        <v>41663</v>
      </c>
      <c r="G2263" s="8" t="s">
        <v>12065</v>
      </c>
      <c r="H2263" s="8" t="s">
        <v>12066</v>
      </c>
      <c r="I2263" s="8" t="s">
        <v>32</v>
      </c>
      <c r="J2263" s="16" t="s">
        <v>12067</v>
      </c>
      <c r="K2263" s="2" t="s">
        <v>1591</v>
      </c>
      <c r="L2263" s="8" t="s">
        <v>12068</v>
      </c>
      <c r="M2263" s="8" t="s">
        <v>27</v>
      </c>
      <c r="N2263" s="8" t="s">
        <v>12069</v>
      </c>
      <c r="O2263" s="8" t="s">
        <v>1018</v>
      </c>
      <c r="P2263" s="8" t="s">
        <v>405</v>
      </c>
      <c r="Q2263" s="12" t="str">
        <f>HYPERLINK("http://www.goupstate.com/article/20140124/ARTICLES/140129757?p=1&amp;tc=pg","http://www.goupstate.com/article/20140124/ARTICLES/140129757?p=1&amp;tc=pg")</f>
        <v>http://www.goupstate.com/article/20140124/ARTICLES/140129757?p=1&amp;tc=pg</v>
      </c>
      <c r="R2263" s="8" t="s">
        <v>29</v>
      </c>
      <c r="S2263" s="7" t="s">
        <v>28</v>
      </c>
      <c r="T2263" s="6"/>
      <c r="U2263" s="8"/>
    </row>
    <row r="2264" spans="1:39" ht="13.5" customHeight="1">
      <c r="A2264" s="8" t="s">
        <v>12057</v>
      </c>
      <c r="B2264" s="16">
        <v>44</v>
      </c>
      <c r="C2264" s="8" t="s">
        <v>20</v>
      </c>
      <c r="D2264" s="8" t="s">
        <v>30</v>
      </c>
      <c r="F2264" s="17">
        <v>41663</v>
      </c>
      <c r="G2264" s="8" t="s">
        <v>12058</v>
      </c>
      <c r="H2264" s="8" t="s">
        <v>12059</v>
      </c>
      <c r="I2264" s="8" t="s">
        <v>118</v>
      </c>
      <c r="J2264" s="16" t="s">
        <v>12060</v>
      </c>
      <c r="K2264" s="2" t="s">
        <v>1269</v>
      </c>
      <c r="L2264" s="8" t="s">
        <v>2069</v>
      </c>
      <c r="M2264" s="8" t="s">
        <v>8430</v>
      </c>
      <c r="N2264" s="8" t="s">
        <v>12061</v>
      </c>
      <c r="O2264" s="8" t="s">
        <v>1018</v>
      </c>
      <c r="P2264" s="8" t="s">
        <v>405</v>
      </c>
      <c r="Q2264" s="12" t="s">
        <v>12062</v>
      </c>
      <c r="R2264" s="8" t="s">
        <v>972</v>
      </c>
      <c r="S2264" s="7" t="s">
        <v>28</v>
      </c>
      <c r="T2264" s="6"/>
      <c r="U2264" s="8"/>
    </row>
    <row r="2265" spans="1:39" ht="13.5" customHeight="1">
      <c r="A2265" s="8" t="s">
        <v>12070</v>
      </c>
      <c r="B2265" s="16">
        <v>29</v>
      </c>
      <c r="C2265" s="8" t="s">
        <v>20</v>
      </c>
      <c r="D2265" s="8" t="s">
        <v>37</v>
      </c>
      <c r="E2265" s="8" t="s">
        <v>12071</v>
      </c>
      <c r="F2265" s="17">
        <v>41663</v>
      </c>
      <c r="G2265" s="8" t="s">
        <v>12072</v>
      </c>
      <c r="H2265" s="8" t="s">
        <v>11224</v>
      </c>
      <c r="I2265" s="8" t="s">
        <v>45</v>
      </c>
      <c r="J2265" s="16" t="s">
        <v>12073</v>
      </c>
      <c r="K2265" s="2" t="s">
        <v>7663</v>
      </c>
      <c r="L2265" s="8" t="s">
        <v>12074</v>
      </c>
      <c r="M2265" s="8" t="s">
        <v>27</v>
      </c>
      <c r="N2265" s="8" t="s">
        <v>12075</v>
      </c>
      <c r="O2265" s="8" t="s">
        <v>1018</v>
      </c>
      <c r="P2265" s="8" t="s">
        <v>405</v>
      </c>
      <c r="Q2265" s="12" t="s">
        <v>12076</v>
      </c>
      <c r="R2265" s="8" t="s">
        <v>100</v>
      </c>
      <c r="S2265" s="7" t="s">
        <v>28</v>
      </c>
      <c r="T2265" s="6"/>
      <c r="U2265" s="8"/>
      <c r="V2265" s="8"/>
      <c r="W2265" s="8"/>
      <c r="X2265" s="8"/>
    </row>
    <row r="2266" spans="1:39" ht="13.5" customHeight="1">
      <c r="A2266" s="8" t="s">
        <v>3288</v>
      </c>
      <c r="B2266" s="16" t="s">
        <v>29</v>
      </c>
      <c r="C2266" s="8" t="s">
        <v>20</v>
      </c>
      <c r="D2266" s="8" t="s">
        <v>85</v>
      </c>
      <c r="F2266" s="17">
        <v>41662</v>
      </c>
      <c r="G2266" s="8" t="s">
        <v>12077</v>
      </c>
      <c r="H2266" s="8" t="s">
        <v>731</v>
      </c>
      <c r="I2266" s="8" t="s">
        <v>73</v>
      </c>
      <c r="J2266" s="16" t="s">
        <v>2956</v>
      </c>
      <c r="K2266" s="2" t="s">
        <v>562</v>
      </c>
      <c r="L2266" s="8" t="s">
        <v>732</v>
      </c>
      <c r="M2266" s="8" t="s">
        <v>27</v>
      </c>
      <c r="N2266" s="8" t="s">
        <v>12078</v>
      </c>
      <c r="O2266" s="8" t="s">
        <v>1018</v>
      </c>
      <c r="P2266" s="8" t="s">
        <v>405</v>
      </c>
      <c r="Q2266" s="12" t="s">
        <v>12079</v>
      </c>
      <c r="R2266" s="8" t="s">
        <v>100</v>
      </c>
      <c r="S2266" s="7" t="s">
        <v>28</v>
      </c>
      <c r="T2266" s="6"/>
      <c r="U2266" s="8"/>
    </row>
    <row r="2267" spans="1:39" ht="13.5" customHeight="1">
      <c r="A2267" s="8" t="s">
        <v>12080</v>
      </c>
      <c r="B2267" s="16">
        <v>43</v>
      </c>
      <c r="C2267" s="8" t="s">
        <v>20</v>
      </c>
      <c r="D2267" s="8" t="s">
        <v>37</v>
      </c>
      <c r="E2267" s="8" t="s">
        <v>12081</v>
      </c>
      <c r="F2267" s="17">
        <v>41661</v>
      </c>
      <c r="G2267" s="8" t="s">
        <v>12082</v>
      </c>
      <c r="H2267" s="8" t="s">
        <v>12083</v>
      </c>
      <c r="I2267" s="8" t="s">
        <v>319</v>
      </c>
      <c r="J2267" s="16" t="s">
        <v>12084</v>
      </c>
      <c r="K2267" s="2" t="s">
        <v>1887</v>
      </c>
      <c r="L2267" s="8" t="s">
        <v>3406</v>
      </c>
      <c r="M2267" s="8" t="s">
        <v>27</v>
      </c>
      <c r="N2267" s="8" t="s">
        <v>12085</v>
      </c>
      <c r="O2267" s="8" t="s">
        <v>1018</v>
      </c>
      <c r="P2267" s="8" t="s">
        <v>405</v>
      </c>
      <c r="Q2267" s="12" t="s">
        <v>12086</v>
      </c>
      <c r="R2267" s="8" t="s">
        <v>100</v>
      </c>
      <c r="S2267" s="7" t="s">
        <v>28</v>
      </c>
      <c r="T2267" s="6"/>
      <c r="U2267" s="8"/>
    </row>
    <row r="2268" spans="1:39" ht="13.5" customHeight="1">
      <c r="A2268" s="8" t="s">
        <v>12093</v>
      </c>
      <c r="B2268" s="16">
        <v>19</v>
      </c>
      <c r="C2268" s="8" t="s">
        <v>20</v>
      </c>
      <c r="D2268" s="8" t="s">
        <v>48</v>
      </c>
      <c r="F2268" s="17">
        <v>41660</v>
      </c>
      <c r="G2268" s="8" t="s">
        <v>12094</v>
      </c>
      <c r="H2268" s="8" t="s">
        <v>607</v>
      </c>
      <c r="I2268" s="8" t="s">
        <v>45</v>
      </c>
      <c r="J2268" s="16" t="s">
        <v>12095</v>
      </c>
      <c r="K2268" s="2" t="s">
        <v>608</v>
      </c>
      <c r="L2268" s="8" t="s">
        <v>965</v>
      </c>
      <c r="M2268" s="8" t="s">
        <v>27</v>
      </c>
      <c r="N2268" s="8" t="s">
        <v>12096</v>
      </c>
      <c r="O2268" s="8" t="s">
        <v>1018</v>
      </c>
      <c r="P2268" s="8" t="s">
        <v>405</v>
      </c>
      <c r="Q2268" s="12" t="s">
        <v>12097</v>
      </c>
      <c r="R2268" s="8" t="s">
        <v>100</v>
      </c>
      <c r="S2268" s="7" t="s">
        <v>28</v>
      </c>
      <c r="T2268" s="6"/>
      <c r="U2268" s="8"/>
    </row>
    <row r="2269" spans="1:39" ht="13.5" customHeight="1">
      <c r="A2269" s="8" t="s">
        <v>12087</v>
      </c>
      <c r="B2269" s="16">
        <v>31</v>
      </c>
      <c r="C2269" s="8" t="s">
        <v>20</v>
      </c>
      <c r="D2269" s="8" t="s">
        <v>85</v>
      </c>
      <c r="E2269" s="8" t="s">
        <v>12088</v>
      </c>
      <c r="F2269" s="17">
        <v>41660</v>
      </c>
      <c r="G2269" s="8" t="s">
        <v>12089</v>
      </c>
      <c r="H2269" s="8" t="s">
        <v>3478</v>
      </c>
      <c r="I2269" s="8" t="s">
        <v>25</v>
      </c>
      <c r="J2269" s="16" t="s">
        <v>3479</v>
      </c>
      <c r="K2269" s="2" t="s">
        <v>1795</v>
      </c>
      <c r="L2269" s="8" t="s">
        <v>12090</v>
      </c>
      <c r="M2269" s="8" t="s">
        <v>27</v>
      </c>
      <c r="N2269" s="8" t="s">
        <v>12091</v>
      </c>
      <c r="O2269" s="8" t="s">
        <v>1018</v>
      </c>
      <c r="P2269" s="8" t="s">
        <v>405</v>
      </c>
      <c r="Q2269" s="12" t="s">
        <v>12092</v>
      </c>
      <c r="R2269" s="8" t="s">
        <v>100</v>
      </c>
      <c r="S2269" s="7" t="s">
        <v>18</v>
      </c>
      <c r="T2269" s="6"/>
      <c r="U2269" s="8"/>
    </row>
    <row r="2270" spans="1:39" ht="13.5" customHeight="1">
      <c r="A2270" s="8" t="s">
        <v>12098</v>
      </c>
      <c r="B2270" s="16">
        <v>21</v>
      </c>
      <c r="C2270" s="8" t="s">
        <v>20</v>
      </c>
      <c r="D2270" s="8" t="s">
        <v>48</v>
      </c>
      <c r="F2270" s="17">
        <v>41660</v>
      </c>
      <c r="G2270" s="8" t="s">
        <v>12099</v>
      </c>
      <c r="H2270" s="8" t="s">
        <v>607</v>
      </c>
      <c r="I2270" s="8" t="s">
        <v>45</v>
      </c>
      <c r="J2270" s="16" t="s">
        <v>12095</v>
      </c>
      <c r="K2270" s="2" t="s">
        <v>608</v>
      </c>
      <c r="L2270" s="8" t="s">
        <v>965</v>
      </c>
      <c r="M2270" s="8" t="s">
        <v>27</v>
      </c>
      <c r="N2270" s="8" t="s">
        <v>12100</v>
      </c>
      <c r="O2270" s="8" t="s">
        <v>1018</v>
      </c>
      <c r="P2270" s="8" t="s">
        <v>405</v>
      </c>
      <c r="Q2270" s="12" t="s">
        <v>12097</v>
      </c>
      <c r="R2270" s="8" t="s">
        <v>100</v>
      </c>
      <c r="S2270" s="7" t="s">
        <v>28</v>
      </c>
      <c r="T2270" s="6"/>
      <c r="U2270" s="8"/>
    </row>
    <row r="2271" spans="1:39" ht="13.5" customHeight="1">
      <c r="A2271" s="8" t="s">
        <v>12101</v>
      </c>
      <c r="B2271" s="16">
        <v>35</v>
      </c>
      <c r="C2271" s="8" t="s">
        <v>20</v>
      </c>
      <c r="D2271" s="8" t="s">
        <v>37</v>
      </c>
      <c r="E2271" s="8" t="s">
        <v>12102</v>
      </c>
      <c r="F2271" s="17">
        <v>41660</v>
      </c>
      <c r="G2271" s="8" t="s">
        <v>12103</v>
      </c>
      <c r="H2271" s="8" t="s">
        <v>12104</v>
      </c>
      <c r="I2271" s="8" t="s">
        <v>323</v>
      </c>
      <c r="J2271" s="16" t="s">
        <v>12105</v>
      </c>
      <c r="K2271" s="2" t="s">
        <v>12106</v>
      </c>
      <c r="L2271" s="8" t="s">
        <v>12107</v>
      </c>
      <c r="M2271" s="8" t="s">
        <v>27</v>
      </c>
      <c r="N2271" s="8" t="s">
        <v>12108</v>
      </c>
      <c r="O2271" s="8" t="s">
        <v>1018</v>
      </c>
      <c r="P2271" s="8" t="s">
        <v>405</v>
      </c>
      <c r="Q2271" s="12"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2271" s="8" t="s">
        <v>100</v>
      </c>
      <c r="S2271" s="7" t="s">
        <v>28</v>
      </c>
      <c r="T2271" s="6"/>
      <c r="U2271" s="8"/>
    </row>
    <row r="2272" spans="1:39" ht="13.5" customHeight="1">
      <c r="A2272" s="8" t="s">
        <v>12109</v>
      </c>
      <c r="B2272" s="16">
        <v>42</v>
      </c>
      <c r="C2272" s="8" t="s">
        <v>20</v>
      </c>
      <c r="D2272" s="8" t="s">
        <v>37</v>
      </c>
      <c r="E2272" s="8" t="s">
        <v>12110</v>
      </c>
      <c r="F2272" s="17">
        <v>41660</v>
      </c>
      <c r="G2272" s="8" t="s">
        <v>12111</v>
      </c>
      <c r="H2272" s="8" t="s">
        <v>3589</v>
      </c>
      <c r="I2272" s="8" t="s">
        <v>45</v>
      </c>
      <c r="J2272" s="16" t="s">
        <v>10201</v>
      </c>
      <c r="K2272" s="2" t="s">
        <v>608</v>
      </c>
      <c r="L2272" s="8" t="s">
        <v>12112</v>
      </c>
      <c r="M2272" s="8" t="s">
        <v>27</v>
      </c>
      <c r="N2272" s="8" t="s">
        <v>12113</v>
      </c>
      <c r="O2272" s="8" t="s">
        <v>3421</v>
      </c>
      <c r="P2272" s="8" t="s">
        <v>405</v>
      </c>
      <c r="Q2272" s="12" t="s">
        <v>12114</v>
      </c>
      <c r="R2272" s="8" t="s">
        <v>100</v>
      </c>
      <c r="S2272" s="7" t="s">
        <v>18</v>
      </c>
      <c r="T2272" s="6"/>
      <c r="U2272" s="8"/>
    </row>
    <row r="2273" spans="1:34" ht="13.5" customHeight="1">
      <c r="A2273" s="8" t="s">
        <v>12122</v>
      </c>
      <c r="B2273" s="16">
        <v>36</v>
      </c>
      <c r="C2273" s="8" t="s">
        <v>20</v>
      </c>
      <c r="D2273" s="8" t="s">
        <v>37</v>
      </c>
      <c r="E2273" s="8" t="s">
        <v>12123</v>
      </c>
      <c r="F2273" s="17">
        <v>41659</v>
      </c>
      <c r="G2273" s="8" t="s">
        <v>12124</v>
      </c>
      <c r="H2273" s="8" t="s">
        <v>1220</v>
      </c>
      <c r="I2273" s="8" t="s">
        <v>306</v>
      </c>
      <c r="J2273" s="16" t="s">
        <v>8958</v>
      </c>
      <c r="K2273" s="2" t="s">
        <v>1221</v>
      </c>
      <c r="L2273" s="8" t="s">
        <v>1222</v>
      </c>
      <c r="M2273" s="8" t="s">
        <v>27</v>
      </c>
      <c r="N2273" s="8" t="s">
        <v>12125</v>
      </c>
      <c r="O2273" s="8" t="s">
        <v>1018</v>
      </c>
      <c r="P2273" s="8" t="s">
        <v>405</v>
      </c>
      <c r="Q2273" s="12" t="s">
        <v>12126</v>
      </c>
      <c r="R2273" s="8" t="s">
        <v>972</v>
      </c>
      <c r="S2273" s="7" t="s">
        <v>18</v>
      </c>
      <c r="T2273" s="6"/>
      <c r="U2273" s="8"/>
    </row>
    <row r="2274" spans="1:34" ht="13.5" customHeight="1">
      <c r="A2274" s="8" t="s">
        <v>12115</v>
      </c>
      <c r="B2274" s="16" t="s">
        <v>29</v>
      </c>
      <c r="C2274" s="8" t="s">
        <v>20</v>
      </c>
      <c r="D2274" s="8" t="s">
        <v>30</v>
      </c>
      <c r="F2274" s="17">
        <v>41659</v>
      </c>
      <c r="G2274" s="8" t="s">
        <v>12116</v>
      </c>
      <c r="H2274" s="8" t="s">
        <v>12117</v>
      </c>
      <c r="I2274" s="8" t="s">
        <v>94</v>
      </c>
      <c r="J2274" s="16" t="s">
        <v>12118</v>
      </c>
      <c r="K2274" s="2" t="s">
        <v>3753</v>
      </c>
      <c r="L2274" s="8" t="s">
        <v>12119</v>
      </c>
      <c r="M2274" s="8" t="s">
        <v>27</v>
      </c>
      <c r="N2274" s="8" t="s">
        <v>12120</v>
      </c>
      <c r="O2274" s="8" t="s">
        <v>1018</v>
      </c>
      <c r="P2274" s="8" t="s">
        <v>405</v>
      </c>
      <c r="Q2274" s="12" t="s">
        <v>12121</v>
      </c>
      <c r="R2274" s="8" t="s">
        <v>100</v>
      </c>
      <c r="S2274" s="7" t="s">
        <v>28</v>
      </c>
      <c r="T2274" s="6"/>
      <c r="U2274" s="8"/>
    </row>
    <row r="2275" spans="1:34" ht="13.5" customHeight="1">
      <c r="A2275" s="8" t="s">
        <v>12127</v>
      </c>
      <c r="B2275" s="16">
        <v>54</v>
      </c>
      <c r="C2275" s="8" t="s">
        <v>20</v>
      </c>
      <c r="D2275" s="8" t="s">
        <v>37</v>
      </c>
      <c r="E2275" s="8" t="s">
        <v>12128</v>
      </c>
      <c r="F2275" s="17">
        <v>41659</v>
      </c>
      <c r="G2275" s="8" t="s">
        <v>12129</v>
      </c>
      <c r="H2275" s="8" t="s">
        <v>219</v>
      </c>
      <c r="I2275" s="8" t="s">
        <v>220</v>
      </c>
      <c r="J2275" s="16" t="s">
        <v>12130</v>
      </c>
      <c r="K2275" s="2" t="s">
        <v>424</v>
      </c>
      <c r="L2275" s="8" t="s">
        <v>221</v>
      </c>
      <c r="M2275" s="8" t="s">
        <v>27</v>
      </c>
      <c r="N2275" s="8" t="s">
        <v>12131</v>
      </c>
      <c r="O2275" s="8" t="s">
        <v>1018</v>
      </c>
      <c r="P2275" s="8" t="s">
        <v>405</v>
      </c>
      <c r="Q2275" s="12" t="s">
        <v>12132</v>
      </c>
      <c r="R2275" s="8" t="s">
        <v>29</v>
      </c>
      <c r="S2275" s="7" t="s">
        <v>28</v>
      </c>
      <c r="T2275" s="6"/>
      <c r="U2275" s="8"/>
    </row>
    <row r="2276" spans="1:34" ht="13.5" customHeight="1">
      <c r="A2276" s="8" t="s">
        <v>12133</v>
      </c>
      <c r="B2276" s="16">
        <v>41</v>
      </c>
      <c r="C2276" s="8" t="s">
        <v>20</v>
      </c>
      <c r="D2276" s="8" t="s">
        <v>37</v>
      </c>
      <c r="E2276" s="8" t="s">
        <v>12134</v>
      </c>
      <c r="F2276" s="17">
        <v>41658</v>
      </c>
      <c r="G2276" s="8" t="s">
        <v>12135</v>
      </c>
      <c r="H2276" s="8" t="s">
        <v>12136</v>
      </c>
      <c r="I2276" s="8" t="s">
        <v>408</v>
      </c>
      <c r="J2276" s="16" t="s">
        <v>12137</v>
      </c>
      <c r="K2276" s="2" t="s">
        <v>12138</v>
      </c>
      <c r="L2276" s="8" t="s">
        <v>9453</v>
      </c>
      <c r="M2276" s="8" t="s">
        <v>27</v>
      </c>
      <c r="N2276" s="8" t="s">
        <v>12139</v>
      </c>
      <c r="O2276" s="8" t="s">
        <v>1018</v>
      </c>
      <c r="P2276" s="8" t="s">
        <v>405</v>
      </c>
      <c r="Q2276" s="12" t="s">
        <v>12140</v>
      </c>
      <c r="R2276" s="8" t="s">
        <v>29</v>
      </c>
      <c r="S2276" s="7" t="s">
        <v>28</v>
      </c>
      <c r="T2276" s="6"/>
      <c r="U2276" s="8"/>
    </row>
    <row r="2277" spans="1:34" ht="13.5" customHeight="1">
      <c r="A2277" s="8" t="s">
        <v>12141</v>
      </c>
      <c r="B2277" s="16">
        <v>23</v>
      </c>
      <c r="C2277" s="8" t="s">
        <v>20</v>
      </c>
      <c r="D2277" s="8" t="s">
        <v>37</v>
      </c>
      <c r="E2277" s="8" t="s">
        <v>12142</v>
      </c>
      <c r="F2277" s="17">
        <v>41657</v>
      </c>
      <c r="G2277" s="8" t="s">
        <v>12143</v>
      </c>
      <c r="H2277" s="8" t="s">
        <v>4944</v>
      </c>
      <c r="I2277" s="8" t="s">
        <v>69</v>
      </c>
      <c r="J2277" s="16" t="s">
        <v>12144</v>
      </c>
      <c r="K2277" s="2" t="s">
        <v>5585</v>
      </c>
      <c r="L2277" s="8" t="s">
        <v>12145</v>
      </c>
      <c r="M2277" s="8" t="s">
        <v>27</v>
      </c>
      <c r="N2277" s="8" t="s">
        <v>12146</v>
      </c>
      <c r="O2277" s="8" t="s">
        <v>554</v>
      </c>
      <c r="P2277" s="8" t="s">
        <v>405</v>
      </c>
      <c r="Q2277" s="12" t="s">
        <v>12147</v>
      </c>
      <c r="R2277" s="8" t="s">
        <v>559</v>
      </c>
      <c r="S2277" s="7" t="s">
        <v>18</v>
      </c>
      <c r="T2277" s="6"/>
      <c r="U2277" s="8"/>
    </row>
    <row r="2278" spans="1:34" ht="13.5" customHeight="1">
      <c r="A2278" s="8" t="s">
        <v>12148</v>
      </c>
      <c r="B2278" s="16">
        <v>31</v>
      </c>
      <c r="C2278" s="8" t="s">
        <v>20</v>
      </c>
      <c r="D2278" s="8" t="s">
        <v>48</v>
      </c>
      <c r="F2278" s="17">
        <v>41656</v>
      </c>
      <c r="I2278" s="8" t="s">
        <v>124</v>
      </c>
      <c r="J2278" s="16">
        <v>85607</v>
      </c>
      <c r="K2278" s="2" t="s">
        <v>125</v>
      </c>
      <c r="L2278" s="8" t="s">
        <v>4790</v>
      </c>
      <c r="M2278" s="8" t="s">
        <v>27</v>
      </c>
      <c r="N2278" s="8" t="s">
        <v>12149</v>
      </c>
      <c r="P2278" s="8" t="s">
        <v>405</v>
      </c>
      <c r="Q2278" s="12" t="s">
        <v>12150</v>
      </c>
      <c r="S2278" s="7" t="s">
        <v>18</v>
      </c>
      <c r="T2278" s="6"/>
      <c r="U2278" s="8"/>
    </row>
    <row r="2279" spans="1:34" ht="13.5" customHeight="1">
      <c r="A2279" s="8" t="s">
        <v>12169</v>
      </c>
      <c r="B2279" s="16">
        <v>5</v>
      </c>
      <c r="C2279" s="8" t="s">
        <v>115</v>
      </c>
      <c r="D2279" s="8" t="s">
        <v>37</v>
      </c>
      <c r="E2279" s="8" t="s">
        <v>12170</v>
      </c>
      <c r="F2279" s="17">
        <v>41655</v>
      </c>
      <c r="G2279" s="8" t="s">
        <v>12171</v>
      </c>
      <c r="H2279" s="8" t="s">
        <v>593</v>
      </c>
      <c r="I2279" s="8" t="s">
        <v>243</v>
      </c>
      <c r="J2279" s="16" t="s">
        <v>12172</v>
      </c>
      <c r="K2279" s="2" t="s">
        <v>594</v>
      </c>
      <c r="L2279" s="8" t="s">
        <v>12173</v>
      </c>
      <c r="M2279" s="8" t="s">
        <v>27</v>
      </c>
      <c r="N2279" s="8" t="s">
        <v>12174</v>
      </c>
      <c r="O2279" s="8" t="s">
        <v>1170</v>
      </c>
      <c r="P2279" s="8" t="s">
        <v>1171</v>
      </c>
      <c r="Q2279" s="12" t="s">
        <v>12175</v>
      </c>
      <c r="R2279" s="8" t="s">
        <v>100</v>
      </c>
      <c r="S2279" s="7" t="s">
        <v>18</v>
      </c>
      <c r="T2279" s="6"/>
      <c r="U2279" s="8"/>
    </row>
    <row r="2280" spans="1:34" ht="13.5" customHeight="1">
      <c r="A2280" s="8" t="s">
        <v>12176</v>
      </c>
      <c r="B2280" s="16">
        <v>7</v>
      </c>
      <c r="C2280" s="8" t="s">
        <v>20</v>
      </c>
      <c r="D2280" s="8" t="s">
        <v>37</v>
      </c>
      <c r="E2280" s="8" t="s">
        <v>12177</v>
      </c>
      <c r="F2280" s="17">
        <v>41655</v>
      </c>
      <c r="G2280" s="8" t="s">
        <v>12171</v>
      </c>
      <c r="H2280" s="8" t="s">
        <v>593</v>
      </c>
      <c r="I2280" s="8" t="s">
        <v>243</v>
      </c>
      <c r="J2280" s="16" t="s">
        <v>12172</v>
      </c>
      <c r="K2280" s="2" t="s">
        <v>594</v>
      </c>
      <c r="L2280" s="8" t="s">
        <v>12173</v>
      </c>
      <c r="M2280" s="8" t="s">
        <v>27</v>
      </c>
      <c r="N2280" s="8" t="s">
        <v>12174</v>
      </c>
      <c r="O2280" s="8" t="s">
        <v>1170</v>
      </c>
      <c r="P2280" s="8" t="s">
        <v>1171</v>
      </c>
      <c r="Q2280" s="12" t="s">
        <v>12175</v>
      </c>
      <c r="R2280" s="8" t="s">
        <v>100</v>
      </c>
      <c r="S2280" s="7" t="s">
        <v>18</v>
      </c>
      <c r="T2280" s="6"/>
      <c r="U2280" s="8"/>
    </row>
    <row r="2281" spans="1:34" ht="13.5" customHeight="1">
      <c r="A2281" s="8" t="s">
        <v>12178</v>
      </c>
      <c r="B2281" s="16">
        <v>32</v>
      </c>
      <c r="C2281" s="8" t="s">
        <v>115</v>
      </c>
      <c r="D2281" s="8" t="s">
        <v>37</v>
      </c>
      <c r="E2281" s="8" t="s">
        <v>12179</v>
      </c>
      <c r="F2281" s="17">
        <v>41655</v>
      </c>
      <c r="G2281" s="8" t="s">
        <v>12171</v>
      </c>
      <c r="H2281" s="8" t="s">
        <v>593</v>
      </c>
      <c r="I2281" s="8" t="s">
        <v>243</v>
      </c>
      <c r="J2281" s="16" t="s">
        <v>12172</v>
      </c>
      <c r="K2281" s="2" t="s">
        <v>594</v>
      </c>
      <c r="L2281" s="8" t="s">
        <v>12173</v>
      </c>
      <c r="M2281" s="8" t="s">
        <v>27</v>
      </c>
      <c r="N2281" s="8" t="s">
        <v>12174</v>
      </c>
      <c r="O2281" s="8" t="s">
        <v>1170</v>
      </c>
      <c r="P2281" s="8" t="s">
        <v>1171</v>
      </c>
      <c r="Q2281" s="12" t="s">
        <v>12175</v>
      </c>
      <c r="R2281" s="8" t="s">
        <v>100</v>
      </c>
      <c r="S2281" s="7" t="s">
        <v>18</v>
      </c>
      <c r="T2281" s="6"/>
      <c r="U2281" s="8"/>
    </row>
    <row r="2282" spans="1:34" ht="13.5" customHeight="1">
      <c r="A2282" s="8" t="s">
        <v>12180</v>
      </c>
      <c r="B2282" s="16">
        <v>55</v>
      </c>
      <c r="C2282" s="8" t="s">
        <v>115</v>
      </c>
      <c r="D2282" s="8" t="s">
        <v>37</v>
      </c>
      <c r="E2282" s="8" t="s">
        <v>12181</v>
      </c>
      <c r="F2282" s="17">
        <v>41655</v>
      </c>
      <c r="G2282" s="8" t="s">
        <v>12171</v>
      </c>
      <c r="H2282" s="8" t="s">
        <v>593</v>
      </c>
      <c r="I2282" s="8" t="s">
        <v>243</v>
      </c>
      <c r="J2282" s="16" t="s">
        <v>12172</v>
      </c>
      <c r="K2282" s="2" t="s">
        <v>594</v>
      </c>
      <c r="L2282" s="8" t="s">
        <v>12173</v>
      </c>
      <c r="M2282" s="8" t="s">
        <v>27</v>
      </c>
      <c r="N2282" s="8" t="s">
        <v>12174</v>
      </c>
      <c r="O2282" s="8" t="s">
        <v>1170</v>
      </c>
      <c r="P2282" s="8" t="s">
        <v>1171</v>
      </c>
      <c r="Q2282" s="12" t="s">
        <v>12175</v>
      </c>
      <c r="R2282" s="8" t="s">
        <v>100</v>
      </c>
      <c r="S2282" s="7" t="s">
        <v>18</v>
      </c>
      <c r="T2282" s="6"/>
      <c r="U2282" s="8"/>
    </row>
    <row r="2283" spans="1:34" ht="13.5" customHeight="1">
      <c r="A2283" s="8" t="s">
        <v>12157</v>
      </c>
      <c r="B2283" s="16">
        <v>19</v>
      </c>
      <c r="C2283" s="8" t="s">
        <v>20</v>
      </c>
      <c r="D2283" s="8" t="s">
        <v>85</v>
      </c>
      <c r="E2283" s="8" t="s">
        <v>12158</v>
      </c>
      <c r="F2283" s="17">
        <v>41655</v>
      </c>
      <c r="G2283" s="8" t="s">
        <v>12159</v>
      </c>
      <c r="H2283" s="8" t="s">
        <v>824</v>
      </c>
      <c r="I2283" s="8" t="s">
        <v>399</v>
      </c>
      <c r="J2283" s="16" t="s">
        <v>7724</v>
      </c>
      <c r="K2283" s="2" t="s">
        <v>825</v>
      </c>
      <c r="L2283" s="8" t="s">
        <v>826</v>
      </c>
      <c r="M2283" s="8" t="s">
        <v>27</v>
      </c>
      <c r="N2283" s="8" t="s">
        <v>12160</v>
      </c>
      <c r="O2283" s="8" t="s">
        <v>554</v>
      </c>
      <c r="P2283" s="8" t="s">
        <v>405</v>
      </c>
      <c r="Q2283" s="12" t="s">
        <v>12161</v>
      </c>
      <c r="R2283" s="8" t="s">
        <v>100</v>
      </c>
      <c r="S2283" s="7" t="s">
        <v>28</v>
      </c>
      <c r="T2283" s="6"/>
      <c r="U2283" s="8"/>
      <c r="Y2283" s="8"/>
      <c r="Z2283" s="8"/>
      <c r="AA2283" s="8"/>
      <c r="AB2283" s="8"/>
      <c r="AC2283" s="8"/>
      <c r="AD2283" s="8"/>
      <c r="AE2283" s="8"/>
      <c r="AF2283" s="8"/>
      <c r="AG2283" s="8"/>
      <c r="AH2283" s="8"/>
    </row>
    <row r="2284" spans="1:34" ht="13.5" customHeight="1">
      <c r="A2284" s="8" t="s">
        <v>12151</v>
      </c>
      <c r="B2284" s="16">
        <v>26</v>
      </c>
      <c r="C2284" s="8" t="s">
        <v>20</v>
      </c>
      <c r="D2284" s="8" t="s">
        <v>85</v>
      </c>
      <c r="E2284" s="8" t="s">
        <v>12152</v>
      </c>
      <c r="F2284" s="17">
        <v>41655</v>
      </c>
      <c r="G2284" s="8" t="s">
        <v>12153</v>
      </c>
      <c r="H2284" s="8" t="s">
        <v>731</v>
      </c>
      <c r="I2284" s="8" t="s">
        <v>73</v>
      </c>
      <c r="J2284" s="16" t="s">
        <v>12154</v>
      </c>
      <c r="K2284" s="2" t="s">
        <v>562</v>
      </c>
      <c r="L2284" s="8" t="s">
        <v>732</v>
      </c>
      <c r="M2284" s="8" t="s">
        <v>27</v>
      </c>
      <c r="N2284" s="8" t="s">
        <v>12155</v>
      </c>
      <c r="O2284" s="8" t="s">
        <v>404</v>
      </c>
      <c r="P2284" s="8" t="s">
        <v>405</v>
      </c>
      <c r="Q2284" s="12" t="s">
        <v>12156</v>
      </c>
      <c r="R2284" s="8" t="s">
        <v>100</v>
      </c>
      <c r="S2284" s="7" t="s">
        <v>18</v>
      </c>
      <c r="T2284" s="6"/>
      <c r="U2284" s="8"/>
    </row>
    <row r="2285" spans="1:34" ht="13.5" customHeight="1">
      <c r="A2285" s="8" t="s">
        <v>12162</v>
      </c>
      <c r="B2285" s="16">
        <v>28</v>
      </c>
      <c r="C2285" s="8" t="s">
        <v>20</v>
      </c>
      <c r="D2285" s="8" t="s">
        <v>30</v>
      </c>
      <c r="F2285" s="17">
        <v>41655</v>
      </c>
      <c r="G2285" s="8" t="s">
        <v>12163</v>
      </c>
      <c r="H2285" s="8" t="s">
        <v>12164</v>
      </c>
      <c r="I2285" s="8" t="s">
        <v>45</v>
      </c>
      <c r="J2285" s="16" t="s">
        <v>12165</v>
      </c>
      <c r="K2285" s="2" t="s">
        <v>791</v>
      </c>
      <c r="L2285" s="8" t="s">
        <v>12166</v>
      </c>
      <c r="M2285" s="8" t="s">
        <v>27</v>
      </c>
      <c r="N2285" s="8" t="s">
        <v>12167</v>
      </c>
      <c r="O2285" s="8" t="s">
        <v>1018</v>
      </c>
      <c r="P2285" s="8" t="s">
        <v>405</v>
      </c>
      <c r="Q2285" s="12" t="s">
        <v>12168</v>
      </c>
      <c r="R2285" s="8" t="s">
        <v>100</v>
      </c>
      <c r="S2285" s="7" t="s">
        <v>383</v>
      </c>
      <c r="T2285" s="6"/>
      <c r="U2285" s="8"/>
    </row>
    <row r="2286" spans="1:34" ht="13.5" customHeight="1">
      <c r="A2286" s="8" t="s">
        <v>12188</v>
      </c>
      <c r="B2286" s="16">
        <v>75</v>
      </c>
      <c r="C2286" s="8" t="s">
        <v>20</v>
      </c>
      <c r="D2286" s="8" t="s">
        <v>37</v>
      </c>
      <c r="F2286" s="17">
        <v>41654</v>
      </c>
      <c r="G2286" s="8" t="s">
        <v>12189</v>
      </c>
      <c r="H2286" s="8" t="s">
        <v>12190</v>
      </c>
      <c r="I2286" s="8" t="s">
        <v>57</v>
      </c>
      <c r="J2286" s="16" t="s">
        <v>12191</v>
      </c>
      <c r="K2286" s="2" t="s">
        <v>12192</v>
      </c>
      <c r="L2286" s="8" t="s">
        <v>4002</v>
      </c>
      <c r="M2286" s="8" t="s">
        <v>27</v>
      </c>
      <c r="N2286" s="8" t="s">
        <v>12193</v>
      </c>
      <c r="O2286" s="8" t="s">
        <v>1018</v>
      </c>
      <c r="P2286" s="8" t="s">
        <v>405</v>
      </c>
      <c r="Q2286" s="12" t="s">
        <v>12194</v>
      </c>
      <c r="R2286" s="8" t="s">
        <v>100</v>
      </c>
      <c r="S2286" s="7" t="s">
        <v>28</v>
      </c>
      <c r="T2286" s="6"/>
      <c r="U2286" s="8"/>
    </row>
    <row r="2287" spans="1:34" ht="13.5" customHeight="1">
      <c r="A2287" s="8" t="s">
        <v>12182</v>
      </c>
      <c r="B2287" s="16">
        <v>22</v>
      </c>
      <c r="C2287" s="8" t="s">
        <v>20</v>
      </c>
      <c r="D2287" s="8" t="s">
        <v>37</v>
      </c>
      <c r="E2287" s="8" t="s">
        <v>12183</v>
      </c>
      <c r="F2287" s="17">
        <v>41654</v>
      </c>
      <c r="G2287" s="8" t="s">
        <v>12184</v>
      </c>
      <c r="H2287" s="8" t="s">
        <v>7165</v>
      </c>
      <c r="I2287" s="8" t="s">
        <v>220</v>
      </c>
      <c r="J2287" s="16" t="s">
        <v>12185</v>
      </c>
      <c r="K2287" s="2" t="s">
        <v>7165</v>
      </c>
      <c r="L2287" s="8" t="s">
        <v>5487</v>
      </c>
      <c r="M2287" s="8" t="s">
        <v>27</v>
      </c>
      <c r="N2287" s="8" t="s">
        <v>12186</v>
      </c>
      <c r="O2287" s="8" t="s">
        <v>554</v>
      </c>
      <c r="P2287" s="8" t="s">
        <v>405</v>
      </c>
      <c r="Q2287" s="12" t="s">
        <v>12187</v>
      </c>
      <c r="R2287" s="8" t="s">
        <v>29</v>
      </c>
      <c r="S2287" s="7" t="s">
        <v>28</v>
      </c>
      <c r="T2287" s="6"/>
      <c r="U2287" s="8"/>
    </row>
    <row r="2288" spans="1:34" ht="13.5" customHeight="1">
      <c r="A2288" s="8" t="s">
        <v>12218</v>
      </c>
      <c r="B2288" s="16">
        <v>34</v>
      </c>
      <c r="C2288" s="8" t="s">
        <v>20</v>
      </c>
      <c r="D2288" s="8" t="s">
        <v>37</v>
      </c>
      <c r="E2288" s="8" t="s">
        <v>12219</v>
      </c>
      <c r="F2288" s="17">
        <v>41653</v>
      </c>
      <c r="G2288" s="8" t="s">
        <v>12220</v>
      </c>
      <c r="H2288" s="8" t="s">
        <v>1311</v>
      </c>
      <c r="I2288" s="8" t="s">
        <v>212</v>
      </c>
      <c r="J2288" s="16" t="s">
        <v>12221</v>
      </c>
      <c r="K2288" s="2" t="s">
        <v>1311</v>
      </c>
      <c r="L2288" s="8" t="s">
        <v>1312</v>
      </c>
      <c r="M2288" s="8" t="s">
        <v>27</v>
      </c>
      <c r="N2288" s="8" t="s">
        <v>12222</v>
      </c>
      <c r="O2288" s="8" t="s">
        <v>554</v>
      </c>
      <c r="P2288" s="8" t="s">
        <v>405</v>
      </c>
      <c r="Q2288" s="12" t="s">
        <v>12223</v>
      </c>
      <c r="R2288" s="8" t="s">
        <v>100</v>
      </c>
      <c r="S2288" s="7" t="s">
        <v>28</v>
      </c>
      <c r="T2288" s="6"/>
      <c r="U2288" s="8"/>
    </row>
    <row r="2289" spans="1:21" ht="13.5" customHeight="1">
      <c r="A2289" s="8" t="s">
        <v>12195</v>
      </c>
      <c r="B2289" s="16">
        <v>30</v>
      </c>
      <c r="C2289" s="8" t="s">
        <v>20</v>
      </c>
      <c r="D2289" s="8" t="s">
        <v>85</v>
      </c>
      <c r="E2289" s="8" t="s">
        <v>12196</v>
      </c>
      <c r="F2289" s="17">
        <v>41653</v>
      </c>
      <c r="G2289" s="8" t="s">
        <v>12197</v>
      </c>
      <c r="H2289" s="8" t="s">
        <v>3277</v>
      </c>
      <c r="I2289" s="8" t="s">
        <v>62</v>
      </c>
      <c r="J2289" s="16" t="s">
        <v>3278</v>
      </c>
      <c r="K2289" s="2" t="s">
        <v>3279</v>
      </c>
      <c r="L2289" s="8" t="s">
        <v>12198</v>
      </c>
      <c r="M2289" s="8" t="s">
        <v>27</v>
      </c>
      <c r="N2289" s="8" t="s">
        <v>12199</v>
      </c>
      <c r="O2289" s="8" t="s">
        <v>1018</v>
      </c>
      <c r="P2289" s="8" t="s">
        <v>405</v>
      </c>
      <c r="Q2289" s="12"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2289" s="8" t="s">
        <v>100</v>
      </c>
      <c r="S2289" s="7" t="s">
        <v>28</v>
      </c>
      <c r="T2289" s="6"/>
      <c r="U2289" s="8"/>
    </row>
    <row r="2290" spans="1:21" ht="13.5" customHeight="1">
      <c r="A2290" s="8" t="s">
        <v>12204</v>
      </c>
      <c r="B2290" s="16">
        <v>40</v>
      </c>
      <c r="C2290" s="8" t="s">
        <v>20</v>
      </c>
      <c r="D2290" s="8" t="s">
        <v>48</v>
      </c>
      <c r="E2290" s="8" t="s">
        <v>12205</v>
      </c>
      <c r="F2290" s="17">
        <v>41653</v>
      </c>
      <c r="G2290" s="8" t="s">
        <v>12206</v>
      </c>
      <c r="H2290" s="8" t="s">
        <v>10035</v>
      </c>
      <c r="I2290" s="8" t="s">
        <v>124</v>
      </c>
      <c r="J2290" s="16" t="s">
        <v>10036</v>
      </c>
      <c r="K2290" s="2" t="s">
        <v>2416</v>
      </c>
      <c r="L2290" s="8" t="s">
        <v>12207</v>
      </c>
      <c r="M2290" s="8" t="s">
        <v>27</v>
      </c>
      <c r="N2290" s="8" t="s">
        <v>12208</v>
      </c>
      <c r="O2290" s="8" t="s">
        <v>554</v>
      </c>
      <c r="P2290" s="8" t="s">
        <v>405</v>
      </c>
      <c r="Q2290" s="12" t="s">
        <v>12209</v>
      </c>
      <c r="R2290" s="8" t="s">
        <v>100</v>
      </c>
      <c r="S2290" s="7" t="s">
        <v>18</v>
      </c>
      <c r="T2290" s="6"/>
      <c r="U2290" s="8"/>
    </row>
    <row r="2291" spans="1:21" ht="13.5" customHeight="1">
      <c r="A2291" s="8" t="s">
        <v>12200</v>
      </c>
      <c r="B2291" s="16">
        <v>58</v>
      </c>
      <c r="C2291" s="8" t="s">
        <v>20</v>
      </c>
      <c r="D2291" s="8" t="s">
        <v>85</v>
      </c>
      <c r="F2291" s="17">
        <v>41653</v>
      </c>
      <c r="G2291" s="8" t="s">
        <v>12201</v>
      </c>
      <c r="H2291" s="8" t="s">
        <v>98</v>
      </c>
      <c r="I2291" s="8" t="s">
        <v>45</v>
      </c>
      <c r="J2291" s="16" t="s">
        <v>3338</v>
      </c>
      <c r="K2291" s="2" t="s">
        <v>98</v>
      </c>
      <c r="L2291" s="8" t="s">
        <v>99</v>
      </c>
      <c r="M2291" s="8" t="s">
        <v>27</v>
      </c>
      <c r="N2291" s="8" t="s">
        <v>12202</v>
      </c>
      <c r="O2291" s="8" t="s">
        <v>1018</v>
      </c>
      <c r="P2291" s="8" t="s">
        <v>405</v>
      </c>
      <c r="Q2291" s="12" t="s">
        <v>12203</v>
      </c>
      <c r="R2291" s="8" t="s">
        <v>100</v>
      </c>
      <c r="S2291" s="7" t="s">
        <v>28</v>
      </c>
      <c r="T2291" s="6"/>
      <c r="U2291" s="8"/>
    </row>
    <row r="2292" spans="1:21" ht="13.5" customHeight="1">
      <c r="A2292" s="8" t="s">
        <v>12210</v>
      </c>
      <c r="B2292" s="16">
        <v>24</v>
      </c>
      <c r="C2292" s="8" t="s">
        <v>20</v>
      </c>
      <c r="D2292" s="8" t="s">
        <v>30</v>
      </c>
      <c r="F2292" s="17">
        <v>41653</v>
      </c>
      <c r="G2292" s="8" t="s">
        <v>12211</v>
      </c>
      <c r="H2292" s="8" t="s">
        <v>12212</v>
      </c>
      <c r="I2292" s="8" t="s">
        <v>152</v>
      </c>
      <c r="J2292" s="16" t="s">
        <v>12213</v>
      </c>
      <c r="K2292" s="2" t="s">
        <v>12214</v>
      </c>
      <c r="L2292" s="8" t="s">
        <v>12215</v>
      </c>
      <c r="M2292" s="8" t="s">
        <v>27</v>
      </c>
      <c r="N2292" s="8" t="s">
        <v>12216</v>
      </c>
      <c r="O2292" s="8" t="s">
        <v>554</v>
      </c>
      <c r="P2292" s="8" t="s">
        <v>405</v>
      </c>
      <c r="Q2292" s="12" t="s">
        <v>12217</v>
      </c>
      <c r="R2292" s="8" t="s">
        <v>100</v>
      </c>
      <c r="S2292" s="7" t="s">
        <v>383</v>
      </c>
      <c r="T2292" s="6"/>
      <c r="U2292" s="8"/>
    </row>
    <row r="2293" spans="1:21" ht="13.5" customHeight="1">
      <c r="A2293" s="8" t="s">
        <v>12224</v>
      </c>
      <c r="B2293" s="16">
        <v>68</v>
      </c>
      <c r="C2293" s="8" t="s">
        <v>20</v>
      </c>
      <c r="D2293" s="8" t="s">
        <v>37</v>
      </c>
      <c r="E2293" s="8" t="s">
        <v>12225</v>
      </c>
      <c r="F2293" s="17">
        <v>41653</v>
      </c>
      <c r="G2293" s="8" t="s">
        <v>12226</v>
      </c>
      <c r="H2293" s="8" t="s">
        <v>12227</v>
      </c>
      <c r="I2293" s="8" t="s">
        <v>57</v>
      </c>
      <c r="J2293" s="16" t="s">
        <v>12228</v>
      </c>
      <c r="K2293" s="2" t="s">
        <v>706</v>
      </c>
      <c r="L2293" s="8" t="s">
        <v>4002</v>
      </c>
      <c r="M2293" s="8" t="s">
        <v>27</v>
      </c>
      <c r="N2293" s="8" t="s">
        <v>12229</v>
      </c>
      <c r="O2293" s="8" t="s">
        <v>554</v>
      </c>
      <c r="P2293" s="8" t="s">
        <v>405</v>
      </c>
      <c r="Q2293" s="12" t="s">
        <v>12230</v>
      </c>
      <c r="R2293" s="8" t="s">
        <v>100</v>
      </c>
      <c r="S2293" s="7" t="s">
        <v>28</v>
      </c>
      <c r="T2293" s="6"/>
      <c r="U2293" s="8"/>
    </row>
    <row r="2294" spans="1:21" ht="13.5" customHeight="1">
      <c r="A2294" s="8" t="s">
        <v>12231</v>
      </c>
      <c r="B2294" s="16">
        <v>24</v>
      </c>
      <c r="C2294" s="8" t="s">
        <v>20</v>
      </c>
      <c r="D2294" s="8" t="s">
        <v>85</v>
      </c>
      <c r="E2294" s="8" t="str">
        <f>HYPERLINK("http://www.wyliefh.com/printguestbook.php?id=2166&amp;rid=15392","http://www.wyliefh.com/printguestbook.php?id=2166&amp;rid=15392")</f>
        <v>http://www.wyliefh.com/printguestbook.php?id=2166&amp;rid=15392</v>
      </c>
      <c r="F2294" s="17">
        <v>41652</v>
      </c>
      <c r="G2294" s="8" t="s">
        <v>12232</v>
      </c>
      <c r="H2294" s="8" t="s">
        <v>1608</v>
      </c>
      <c r="I2294" s="8" t="s">
        <v>52</v>
      </c>
      <c r="J2294" s="16" t="s">
        <v>12233</v>
      </c>
      <c r="K2294" s="2" t="s">
        <v>4755</v>
      </c>
      <c r="L2294" s="8" t="s">
        <v>2799</v>
      </c>
      <c r="M2294" s="8" t="s">
        <v>27</v>
      </c>
      <c r="N2294" s="8" t="s">
        <v>12234</v>
      </c>
      <c r="O2294" s="8" t="s">
        <v>1018</v>
      </c>
      <c r="P2294" s="8" t="s">
        <v>405</v>
      </c>
      <c r="Q2294" s="12"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2294" s="8" t="s">
        <v>100</v>
      </c>
      <c r="S2294" s="7" t="s">
        <v>28</v>
      </c>
      <c r="T2294" s="6"/>
      <c r="U2294" s="8"/>
    </row>
    <row r="2295" spans="1:21" ht="13.5" customHeight="1">
      <c r="A2295" s="8" t="s">
        <v>12241</v>
      </c>
      <c r="B2295" s="16">
        <v>35</v>
      </c>
      <c r="C2295" s="8" t="s">
        <v>20</v>
      </c>
      <c r="D2295" s="8" t="s">
        <v>37</v>
      </c>
      <c r="E2295" s="8" t="s">
        <v>12242</v>
      </c>
      <c r="F2295" s="17">
        <v>41651</v>
      </c>
      <c r="G2295" s="8" t="s">
        <v>12243</v>
      </c>
      <c r="H2295" s="8" t="s">
        <v>694</v>
      </c>
      <c r="I2295" s="8" t="s">
        <v>124</v>
      </c>
      <c r="J2295" s="16" t="s">
        <v>12244</v>
      </c>
      <c r="K2295" s="2" t="s">
        <v>639</v>
      </c>
      <c r="L2295" s="8" t="s">
        <v>4939</v>
      </c>
      <c r="M2295" s="8" t="s">
        <v>27</v>
      </c>
      <c r="N2295" s="8" t="s">
        <v>12245</v>
      </c>
      <c r="O2295" s="8" t="s">
        <v>29</v>
      </c>
      <c r="P2295" s="8" t="s">
        <v>405</v>
      </c>
      <c r="Q2295" s="12" t="s">
        <v>12246</v>
      </c>
      <c r="R2295" s="8" t="s">
        <v>29</v>
      </c>
      <c r="S2295" s="7" t="s">
        <v>28</v>
      </c>
      <c r="T2295" s="6"/>
      <c r="U2295" s="8"/>
    </row>
    <row r="2296" spans="1:21" ht="13.5" customHeight="1">
      <c r="A2296" s="8" t="s">
        <v>12235</v>
      </c>
      <c r="B2296" s="16">
        <v>32</v>
      </c>
      <c r="C2296" s="8" t="s">
        <v>20</v>
      </c>
      <c r="D2296" s="8" t="s">
        <v>48</v>
      </c>
      <c r="F2296" s="17">
        <v>41651</v>
      </c>
      <c r="G2296" s="8" t="s">
        <v>12236</v>
      </c>
      <c r="H2296" s="8" t="s">
        <v>7994</v>
      </c>
      <c r="I2296" s="8" t="s">
        <v>45</v>
      </c>
      <c r="J2296" s="16" t="s">
        <v>12237</v>
      </c>
      <c r="K2296" s="2" t="s">
        <v>313</v>
      </c>
      <c r="L2296" s="8" t="s">
        <v>12238</v>
      </c>
      <c r="M2296" s="8" t="s">
        <v>27</v>
      </c>
      <c r="N2296" s="8" t="s">
        <v>12239</v>
      </c>
      <c r="O2296" s="8" t="s">
        <v>1018</v>
      </c>
      <c r="P2296" s="8" t="s">
        <v>405</v>
      </c>
      <c r="Q2296" s="12" t="s">
        <v>12240</v>
      </c>
      <c r="R2296" s="8" t="s">
        <v>100</v>
      </c>
      <c r="S2296" s="7" t="s">
        <v>18</v>
      </c>
      <c r="T2296" s="6"/>
      <c r="U2296" s="8"/>
    </row>
    <row r="2297" spans="1:21" ht="13.5" customHeight="1">
      <c r="A2297" s="8" t="s">
        <v>12247</v>
      </c>
      <c r="B2297" s="16">
        <v>50</v>
      </c>
      <c r="C2297" s="8" t="s">
        <v>20</v>
      </c>
      <c r="D2297" s="8" t="s">
        <v>85</v>
      </c>
      <c r="E2297" s="8" t="s">
        <v>12248</v>
      </c>
      <c r="F2297" s="17">
        <v>41649</v>
      </c>
      <c r="G2297" s="8" t="s">
        <v>12249</v>
      </c>
      <c r="H2297" s="8" t="s">
        <v>762</v>
      </c>
      <c r="I2297" s="8" t="s">
        <v>427</v>
      </c>
      <c r="J2297" s="16" t="s">
        <v>12250</v>
      </c>
      <c r="K2297" s="2" t="s">
        <v>2702</v>
      </c>
      <c r="L2297" s="8" t="s">
        <v>586</v>
      </c>
      <c r="M2297" s="8" t="s">
        <v>27</v>
      </c>
      <c r="N2297" s="8" t="s">
        <v>12251</v>
      </c>
      <c r="O2297" s="8" t="s">
        <v>1018</v>
      </c>
      <c r="P2297" s="8" t="s">
        <v>405</v>
      </c>
      <c r="Q2297" s="12" t="s">
        <v>12252</v>
      </c>
      <c r="R2297" s="8" t="s">
        <v>100</v>
      </c>
      <c r="S2297" s="7" t="s">
        <v>18</v>
      </c>
      <c r="T2297" s="6"/>
      <c r="U2297" s="8"/>
    </row>
    <row r="2298" spans="1:21" ht="13.5" customHeight="1">
      <c r="A2298" s="8" t="s">
        <v>12259</v>
      </c>
      <c r="B2298" s="16">
        <v>51</v>
      </c>
      <c r="C2298" s="8" t="s">
        <v>20</v>
      </c>
      <c r="D2298" s="8" t="s">
        <v>30</v>
      </c>
      <c r="F2298" s="17">
        <v>41648</v>
      </c>
      <c r="G2298" s="8" t="s">
        <v>12260</v>
      </c>
      <c r="H2298" s="8" t="s">
        <v>12261</v>
      </c>
      <c r="I2298" s="8" t="s">
        <v>73</v>
      </c>
      <c r="J2298" s="16" t="s">
        <v>12262</v>
      </c>
      <c r="K2298" s="2" t="s">
        <v>12263</v>
      </c>
      <c r="L2298" s="8" t="s">
        <v>12264</v>
      </c>
      <c r="M2298" s="8" t="s">
        <v>27</v>
      </c>
      <c r="N2298" s="8" t="s">
        <v>12265</v>
      </c>
      <c r="O2298" s="8" t="s">
        <v>554</v>
      </c>
      <c r="P2298" s="8" t="s">
        <v>405</v>
      </c>
      <c r="Q2298" s="12" t="s">
        <v>12266</v>
      </c>
      <c r="R2298" s="8" t="s">
        <v>100</v>
      </c>
      <c r="S2298" s="7" t="s">
        <v>383</v>
      </c>
      <c r="T2298" s="6"/>
      <c r="U2298" s="8"/>
    </row>
    <row r="2299" spans="1:21" ht="13.5" customHeight="1">
      <c r="A2299" s="8" t="s">
        <v>12253</v>
      </c>
      <c r="B2299" s="16">
        <v>40</v>
      </c>
      <c r="C2299" s="8" t="s">
        <v>20</v>
      </c>
      <c r="D2299" s="8" t="s">
        <v>48</v>
      </c>
      <c r="E2299" s="8" t="s">
        <v>12254</v>
      </c>
      <c r="F2299" s="17">
        <v>41648</v>
      </c>
      <c r="G2299" s="8" t="s">
        <v>12255</v>
      </c>
      <c r="H2299" s="8" t="s">
        <v>158</v>
      </c>
      <c r="I2299" s="8" t="s">
        <v>45</v>
      </c>
      <c r="J2299" s="16" t="s">
        <v>12256</v>
      </c>
      <c r="K2299" s="2" t="s">
        <v>158</v>
      </c>
      <c r="L2299" s="8" t="s">
        <v>159</v>
      </c>
      <c r="M2299" s="8" t="s">
        <v>27</v>
      </c>
      <c r="N2299" s="8" t="s">
        <v>12257</v>
      </c>
      <c r="O2299" s="8" t="s">
        <v>1018</v>
      </c>
      <c r="P2299" s="8" t="s">
        <v>405</v>
      </c>
      <c r="Q2299" s="12" t="s">
        <v>12258</v>
      </c>
      <c r="R2299" s="8" t="s">
        <v>100</v>
      </c>
      <c r="S2299" s="7" t="s">
        <v>28</v>
      </c>
      <c r="T2299" s="6"/>
      <c r="U2299" s="8"/>
    </row>
    <row r="2300" spans="1:21" ht="13.5" customHeight="1">
      <c r="A2300" s="8" t="s">
        <v>12267</v>
      </c>
      <c r="B2300" s="16">
        <v>35</v>
      </c>
      <c r="C2300" s="8" t="s">
        <v>20</v>
      </c>
      <c r="D2300" s="8" t="s">
        <v>37</v>
      </c>
      <c r="F2300" s="17">
        <v>41648</v>
      </c>
      <c r="G2300" s="8" t="s">
        <v>12268</v>
      </c>
      <c r="H2300" s="8" t="s">
        <v>2911</v>
      </c>
      <c r="I2300" s="8" t="s">
        <v>986</v>
      </c>
      <c r="J2300" s="16" t="s">
        <v>12269</v>
      </c>
      <c r="K2300" s="2" t="s">
        <v>2912</v>
      </c>
      <c r="L2300" s="8" t="s">
        <v>2913</v>
      </c>
      <c r="M2300" s="8" t="s">
        <v>27</v>
      </c>
      <c r="N2300" s="8" t="s">
        <v>12270</v>
      </c>
      <c r="O2300" s="8" t="s">
        <v>404</v>
      </c>
      <c r="P2300" s="8" t="s">
        <v>405</v>
      </c>
      <c r="Q2300" s="12" t="s">
        <v>12271</v>
      </c>
      <c r="R2300" s="8" t="s">
        <v>100</v>
      </c>
      <c r="S2300" s="7" t="s">
        <v>28</v>
      </c>
      <c r="T2300" s="6"/>
      <c r="U2300" s="8"/>
    </row>
    <row r="2301" spans="1:21" ht="13.5" customHeight="1">
      <c r="A2301" s="8" t="s">
        <v>12272</v>
      </c>
      <c r="B2301" s="16" t="s">
        <v>29</v>
      </c>
      <c r="C2301" s="8" t="s">
        <v>20</v>
      </c>
      <c r="D2301" s="8" t="s">
        <v>37</v>
      </c>
      <c r="E2301" s="8" t="s">
        <v>12273</v>
      </c>
      <c r="F2301" s="17">
        <v>41647</v>
      </c>
      <c r="G2301" s="8" t="s">
        <v>12274</v>
      </c>
      <c r="H2301" s="8" t="s">
        <v>1048</v>
      </c>
      <c r="I2301" s="8" t="s">
        <v>25</v>
      </c>
      <c r="J2301" s="16">
        <v>70113</v>
      </c>
      <c r="K2301" s="2" t="s">
        <v>12275</v>
      </c>
      <c r="L2301" s="8" t="s">
        <v>1050</v>
      </c>
      <c r="M2301" s="8" t="s">
        <v>27</v>
      </c>
      <c r="N2301" s="8" t="s">
        <v>12276</v>
      </c>
      <c r="P2301" s="8" t="s">
        <v>405</v>
      </c>
      <c r="Q2301" s="12" t="s">
        <v>12277</v>
      </c>
      <c r="S2301" s="7" t="s">
        <v>28</v>
      </c>
      <c r="T2301" s="6"/>
      <c r="U2301" s="8"/>
    </row>
    <row r="2302" spans="1:21" ht="13.5" customHeight="1">
      <c r="A2302" s="8" t="s">
        <v>12278</v>
      </c>
      <c r="B2302" s="16">
        <v>40</v>
      </c>
      <c r="C2302" s="8" t="s">
        <v>20</v>
      </c>
      <c r="D2302" s="8" t="s">
        <v>37</v>
      </c>
      <c r="E2302" s="8" t="s">
        <v>12279</v>
      </c>
      <c r="F2302" s="17">
        <v>41646</v>
      </c>
      <c r="G2302" s="8" t="s">
        <v>12280</v>
      </c>
      <c r="H2302" s="8" t="s">
        <v>12281</v>
      </c>
      <c r="I2302" s="8" t="s">
        <v>198</v>
      </c>
      <c r="J2302" s="16" t="s">
        <v>12282</v>
      </c>
      <c r="K2302" s="2" t="s">
        <v>12283</v>
      </c>
      <c r="L2302" s="8" t="s">
        <v>3118</v>
      </c>
      <c r="M2302" s="8" t="s">
        <v>27</v>
      </c>
      <c r="N2302" s="8" t="s">
        <v>12284</v>
      </c>
      <c r="O2302" s="8" t="s">
        <v>1018</v>
      </c>
      <c r="P2302" s="8" t="s">
        <v>405</v>
      </c>
      <c r="Q2302" s="12" t="s">
        <v>12285</v>
      </c>
      <c r="R2302" s="8" t="s">
        <v>29</v>
      </c>
      <c r="S2302" s="7" t="s">
        <v>28</v>
      </c>
      <c r="T2302" s="6"/>
      <c r="U2302" s="8"/>
    </row>
    <row r="2303" spans="1:21" ht="13.5" customHeight="1">
      <c r="A2303" s="8" t="s">
        <v>12286</v>
      </c>
      <c r="B2303" s="16">
        <v>47</v>
      </c>
      <c r="C2303" s="8" t="s">
        <v>20</v>
      </c>
      <c r="D2303" s="8" t="s">
        <v>37</v>
      </c>
      <c r="F2303" s="17">
        <v>41646</v>
      </c>
      <c r="G2303" s="8" t="s">
        <v>12287</v>
      </c>
      <c r="H2303" s="8" t="s">
        <v>12288</v>
      </c>
      <c r="I2303" s="8" t="s">
        <v>62</v>
      </c>
      <c r="J2303" s="16" t="s">
        <v>12289</v>
      </c>
      <c r="K2303" s="2" t="s">
        <v>1269</v>
      </c>
      <c r="L2303" s="8" t="s">
        <v>12290</v>
      </c>
      <c r="M2303" s="8" t="s">
        <v>27</v>
      </c>
      <c r="N2303" s="8" t="s">
        <v>12291</v>
      </c>
      <c r="O2303" s="8" t="s">
        <v>554</v>
      </c>
      <c r="P2303" s="8" t="s">
        <v>405</v>
      </c>
      <c r="Q2303" s="12" t="s">
        <v>12292</v>
      </c>
      <c r="R2303" s="8" t="s">
        <v>100</v>
      </c>
      <c r="S2303" s="7" t="s">
        <v>28</v>
      </c>
      <c r="T2303" s="6"/>
      <c r="U2303" s="8"/>
    </row>
    <row r="2304" spans="1:21" ht="13.5" customHeight="1">
      <c r="A2304" s="8" t="s">
        <v>5169</v>
      </c>
      <c r="B2304" s="16">
        <v>22</v>
      </c>
      <c r="C2304" s="8" t="s">
        <v>20</v>
      </c>
      <c r="D2304" s="8" t="s">
        <v>48</v>
      </c>
      <c r="E2304" s="8" t="s">
        <v>5170</v>
      </c>
      <c r="F2304" s="17">
        <v>41645</v>
      </c>
      <c r="G2304" s="8" t="s">
        <v>12293</v>
      </c>
      <c r="H2304" s="8" t="s">
        <v>5172</v>
      </c>
      <c r="I2304" s="8" t="s">
        <v>124</v>
      </c>
      <c r="J2304" s="16">
        <v>85225</v>
      </c>
      <c r="K2304" s="2" t="s">
        <v>639</v>
      </c>
      <c r="L2304" s="8" t="s">
        <v>5174</v>
      </c>
      <c r="M2304" s="8" t="s">
        <v>27</v>
      </c>
      <c r="N2304" s="8" t="s">
        <v>12294</v>
      </c>
      <c r="P2304" s="8" t="s">
        <v>405</v>
      </c>
      <c r="Q2304" s="12" t="s">
        <v>5176</v>
      </c>
      <c r="S2304" s="7" t="s">
        <v>28</v>
      </c>
      <c r="T2304" s="6"/>
      <c r="U2304" s="8"/>
    </row>
    <row r="2305" spans="1:34" ht="13.5" customHeight="1">
      <c r="A2305" s="8" t="s">
        <v>12295</v>
      </c>
      <c r="B2305" s="16">
        <v>49</v>
      </c>
      <c r="C2305" s="8" t="s">
        <v>20</v>
      </c>
      <c r="D2305" s="8" t="s">
        <v>37</v>
      </c>
      <c r="E2305" s="8" t="s">
        <v>12296</v>
      </c>
      <c r="F2305" s="17">
        <v>41645</v>
      </c>
      <c r="G2305" s="8" t="s">
        <v>12297</v>
      </c>
      <c r="H2305" s="8" t="s">
        <v>12298</v>
      </c>
      <c r="I2305" s="8" t="s">
        <v>152</v>
      </c>
      <c r="J2305" s="16" t="s">
        <v>12299</v>
      </c>
      <c r="K2305" s="2" t="s">
        <v>4064</v>
      </c>
      <c r="L2305" s="8" t="s">
        <v>12300</v>
      </c>
      <c r="M2305" s="8" t="s">
        <v>27</v>
      </c>
      <c r="N2305" s="8" t="s">
        <v>12301</v>
      </c>
      <c r="O2305" s="8" t="s">
        <v>1018</v>
      </c>
      <c r="P2305" s="8" t="s">
        <v>405</v>
      </c>
      <c r="Q2305" s="12" t="s">
        <v>12302</v>
      </c>
      <c r="R2305" s="8" t="s">
        <v>100</v>
      </c>
      <c r="S2305" s="7" t="s">
        <v>383</v>
      </c>
      <c r="T2305" s="6"/>
      <c r="U2305" s="8"/>
    </row>
    <row r="2306" spans="1:34" ht="13.5" customHeight="1">
      <c r="A2306" s="8" t="s">
        <v>12303</v>
      </c>
      <c r="B2306" s="16">
        <v>18</v>
      </c>
      <c r="C2306" s="8" t="s">
        <v>20</v>
      </c>
      <c r="D2306" s="8" t="s">
        <v>37</v>
      </c>
      <c r="E2306" s="8" t="s">
        <v>12304</v>
      </c>
      <c r="F2306" s="17">
        <v>41644</v>
      </c>
      <c r="G2306" s="8" t="s">
        <v>12305</v>
      </c>
      <c r="H2306" s="8" t="s">
        <v>12306</v>
      </c>
      <c r="I2306" s="8" t="s">
        <v>370</v>
      </c>
      <c r="J2306" s="16" t="s">
        <v>12307</v>
      </c>
      <c r="K2306" s="2" t="s">
        <v>12308</v>
      </c>
      <c r="L2306" s="8" t="s">
        <v>12309</v>
      </c>
      <c r="M2306" s="8" t="s">
        <v>27</v>
      </c>
      <c r="N2306" s="8" t="s">
        <v>12310</v>
      </c>
      <c r="O2306" s="8" t="s">
        <v>1804</v>
      </c>
      <c r="P2306" s="8" t="s">
        <v>1171</v>
      </c>
      <c r="Q2306" s="12" t="s">
        <v>12311</v>
      </c>
      <c r="R2306" s="8" t="s">
        <v>559</v>
      </c>
      <c r="S2306" s="7" t="s">
        <v>18</v>
      </c>
      <c r="T2306" s="6"/>
      <c r="U2306" s="8"/>
    </row>
    <row r="2307" spans="1:34" ht="13.5" customHeight="1">
      <c r="A2307" s="8" t="s">
        <v>12312</v>
      </c>
      <c r="B2307" s="16">
        <v>30</v>
      </c>
      <c r="C2307" s="8" t="s">
        <v>20</v>
      </c>
      <c r="D2307" s="8" t="s">
        <v>37</v>
      </c>
      <c r="E2307" s="8" t="s">
        <v>12313</v>
      </c>
      <c r="F2307" s="17">
        <v>41644</v>
      </c>
      <c r="G2307" s="8" t="s">
        <v>12314</v>
      </c>
      <c r="H2307" s="8" t="s">
        <v>1919</v>
      </c>
      <c r="I2307" s="8" t="s">
        <v>62</v>
      </c>
      <c r="J2307" s="16" t="s">
        <v>12315</v>
      </c>
      <c r="K2307" s="2" t="s">
        <v>1919</v>
      </c>
      <c r="L2307" s="8" t="s">
        <v>2472</v>
      </c>
      <c r="M2307" s="8" t="s">
        <v>27</v>
      </c>
      <c r="N2307" s="8" t="s">
        <v>12316</v>
      </c>
      <c r="O2307" s="8" t="s">
        <v>554</v>
      </c>
      <c r="P2307" s="8" t="s">
        <v>405</v>
      </c>
      <c r="Q2307" s="12" t="s">
        <v>12317</v>
      </c>
      <c r="R2307" s="8" t="s">
        <v>972</v>
      </c>
      <c r="S2307" s="7" t="s">
        <v>28</v>
      </c>
      <c r="T2307" s="6"/>
      <c r="U2307" s="8"/>
    </row>
    <row r="2308" spans="1:34" ht="13.5" customHeight="1">
      <c r="A2308" s="8" t="s">
        <v>12323</v>
      </c>
      <c r="B2308" s="16">
        <v>66</v>
      </c>
      <c r="C2308" s="8" t="s">
        <v>20</v>
      </c>
      <c r="D2308" s="8" t="s">
        <v>48</v>
      </c>
      <c r="F2308" s="17">
        <v>41643</v>
      </c>
      <c r="G2308" s="8" t="s">
        <v>12324</v>
      </c>
      <c r="H2308" s="8" t="s">
        <v>4738</v>
      </c>
      <c r="I2308" s="8" t="s">
        <v>212</v>
      </c>
      <c r="J2308" s="16" t="s">
        <v>11413</v>
      </c>
      <c r="K2308" s="2" t="s">
        <v>4738</v>
      </c>
      <c r="L2308" s="8" t="s">
        <v>4740</v>
      </c>
      <c r="M2308" s="8" t="s">
        <v>27</v>
      </c>
      <c r="N2308" s="8" t="s">
        <v>12325</v>
      </c>
      <c r="O2308" s="8" t="s">
        <v>554</v>
      </c>
      <c r="P2308" s="8" t="s">
        <v>405</v>
      </c>
      <c r="Q2308" s="12" t="s">
        <v>12326</v>
      </c>
      <c r="R2308" s="8" t="s">
        <v>100</v>
      </c>
      <c r="S2308" s="7" t="s">
        <v>28</v>
      </c>
      <c r="T2308" s="6"/>
      <c r="U2308" s="8"/>
    </row>
    <row r="2309" spans="1:34" ht="13.5" customHeight="1">
      <c r="A2309" s="8" t="s">
        <v>12334</v>
      </c>
      <c r="B2309" s="16">
        <v>23</v>
      </c>
      <c r="C2309" s="8" t="s">
        <v>20</v>
      </c>
      <c r="D2309" s="8" t="s">
        <v>37</v>
      </c>
      <c r="E2309" s="8" t="s">
        <v>12335</v>
      </c>
      <c r="F2309" s="17">
        <v>41643</v>
      </c>
      <c r="G2309" s="8" t="s">
        <v>12336</v>
      </c>
      <c r="H2309" s="8" t="s">
        <v>11879</v>
      </c>
      <c r="I2309" s="8" t="s">
        <v>212</v>
      </c>
      <c r="J2309" s="16" t="s">
        <v>12337</v>
      </c>
      <c r="K2309" s="2" t="s">
        <v>1795</v>
      </c>
      <c r="L2309" s="8" t="s">
        <v>11881</v>
      </c>
      <c r="M2309" s="8" t="s">
        <v>27</v>
      </c>
      <c r="N2309" s="8" t="s">
        <v>12338</v>
      </c>
      <c r="O2309" s="8" t="s">
        <v>1018</v>
      </c>
      <c r="P2309" s="8" t="s">
        <v>405</v>
      </c>
      <c r="Q2309" s="12" t="s">
        <v>12339</v>
      </c>
      <c r="R2309" s="8" t="s">
        <v>100</v>
      </c>
      <c r="S2309" s="7" t="s">
        <v>28</v>
      </c>
      <c r="T2309" s="6"/>
      <c r="U2309" s="8"/>
      <c r="Y2309" s="8"/>
      <c r="Z2309" s="8"/>
      <c r="AA2309" s="8"/>
      <c r="AB2309" s="8"/>
      <c r="AC2309" s="8"/>
      <c r="AD2309" s="8"/>
      <c r="AE2309" s="8"/>
      <c r="AF2309" s="8"/>
      <c r="AG2309" s="8"/>
      <c r="AH2309" s="8"/>
    </row>
    <row r="2310" spans="1:34" ht="13.5" customHeight="1">
      <c r="A2310" s="8" t="s">
        <v>12327</v>
      </c>
      <c r="B2310" s="16">
        <v>31</v>
      </c>
      <c r="C2310" s="8" t="s">
        <v>20</v>
      </c>
      <c r="D2310" s="8" t="s">
        <v>30</v>
      </c>
      <c r="F2310" s="17">
        <v>41643</v>
      </c>
      <c r="G2310" s="8" t="s">
        <v>12328</v>
      </c>
      <c r="H2310" s="8" t="s">
        <v>12329</v>
      </c>
      <c r="I2310" s="8" t="s">
        <v>81</v>
      </c>
      <c r="J2310" s="16" t="s">
        <v>12330</v>
      </c>
      <c r="K2310" s="2" t="s">
        <v>9582</v>
      </c>
      <c r="L2310" s="8" t="s">
        <v>12331</v>
      </c>
      <c r="M2310" s="8" t="s">
        <v>27</v>
      </c>
      <c r="N2310" s="8" t="s">
        <v>12332</v>
      </c>
      <c r="O2310" s="8" t="s">
        <v>1018</v>
      </c>
      <c r="P2310" s="8" t="s">
        <v>405</v>
      </c>
      <c r="Q2310" s="12" t="s">
        <v>12333</v>
      </c>
      <c r="R2310" s="8" t="s">
        <v>100</v>
      </c>
      <c r="S2310" s="7" t="s">
        <v>28</v>
      </c>
      <c r="T2310" s="6"/>
      <c r="U2310" s="8"/>
    </row>
    <row r="2311" spans="1:34" ht="13.5" customHeight="1">
      <c r="A2311" s="8" t="s">
        <v>12340</v>
      </c>
      <c r="B2311" s="16">
        <v>49</v>
      </c>
      <c r="C2311" s="8" t="s">
        <v>20</v>
      </c>
      <c r="D2311" s="8" t="s">
        <v>37</v>
      </c>
      <c r="E2311" s="8" t="s">
        <v>12341</v>
      </c>
      <c r="F2311" s="17">
        <v>41643</v>
      </c>
      <c r="G2311" s="8" t="s">
        <v>12342</v>
      </c>
      <c r="H2311" s="8" t="s">
        <v>123</v>
      </c>
      <c r="I2311" s="8" t="s">
        <v>124</v>
      </c>
      <c r="J2311" s="16" t="s">
        <v>12343</v>
      </c>
      <c r="K2311" s="2" t="s">
        <v>125</v>
      </c>
      <c r="L2311" s="8" t="s">
        <v>10598</v>
      </c>
      <c r="M2311" s="8" t="s">
        <v>27</v>
      </c>
      <c r="N2311" s="8" t="s">
        <v>12344</v>
      </c>
      <c r="O2311" s="8" t="s">
        <v>404</v>
      </c>
      <c r="P2311" s="8" t="s">
        <v>405</v>
      </c>
      <c r="Q2311" s="12" t="s">
        <v>12345</v>
      </c>
      <c r="R2311" s="8" t="s">
        <v>100</v>
      </c>
      <c r="S2311" s="7" t="s">
        <v>28</v>
      </c>
      <c r="T2311" s="6"/>
      <c r="U2311" s="8"/>
    </row>
    <row r="2312" spans="1:34" ht="13.5" customHeight="1">
      <c r="A2312" s="8" t="s">
        <v>12350</v>
      </c>
      <c r="B2312" s="16">
        <v>29</v>
      </c>
      <c r="C2312" s="8" t="s">
        <v>20</v>
      </c>
      <c r="D2312" s="8" t="s">
        <v>37</v>
      </c>
      <c r="E2312" s="8" t="s">
        <v>12351</v>
      </c>
      <c r="F2312" s="17">
        <v>41643</v>
      </c>
      <c r="G2312" s="8" t="s">
        <v>12352</v>
      </c>
      <c r="H2312" s="8" t="s">
        <v>9922</v>
      </c>
      <c r="I2312" s="8" t="s">
        <v>25</v>
      </c>
      <c r="J2312" s="16" t="s">
        <v>12353</v>
      </c>
      <c r="K2312" s="2" t="s">
        <v>1795</v>
      </c>
      <c r="L2312" s="8" t="s">
        <v>2451</v>
      </c>
      <c r="M2312" s="8" t="s">
        <v>27</v>
      </c>
      <c r="N2312" s="8" t="s">
        <v>12354</v>
      </c>
      <c r="O2312" s="8" t="s">
        <v>554</v>
      </c>
      <c r="P2312" s="8" t="s">
        <v>405</v>
      </c>
      <c r="Q2312" s="12" t="s">
        <v>12355</v>
      </c>
      <c r="R2312" s="8" t="s">
        <v>559</v>
      </c>
      <c r="S2312" s="7" t="s">
        <v>28</v>
      </c>
      <c r="T2312" s="6"/>
      <c r="U2312" s="8"/>
    </row>
    <row r="2313" spans="1:34" ht="13.5" customHeight="1">
      <c r="A2313" s="8" t="s">
        <v>12346</v>
      </c>
      <c r="B2313" s="16">
        <v>30</v>
      </c>
      <c r="C2313" s="8" t="s">
        <v>20</v>
      </c>
      <c r="D2313" s="8" t="s">
        <v>37</v>
      </c>
      <c r="F2313" s="17">
        <v>41643</v>
      </c>
      <c r="G2313" s="8" t="s">
        <v>12347</v>
      </c>
      <c r="H2313" s="8" t="s">
        <v>2476</v>
      </c>
      <c r="I2313" s="8" t="s">
        <v>175</v>
      </c>
      <c r="J2313" s="16" t="s">
        <v>2477</v>
      </c>
      <c r="K2313" s="2" t="s">
        <v>1338</v>
      </c>
      <c r="L2313" s="8" t="s">
        <v>1339</v>
      </c>
      <c r="M2313" s="8" t="s">
        <v>27</v>
      </c>
      <c r="N2313" s="8" t="s">
        <v>12348</v>
      </c>
      <c r="O2313" s="8" t="s">
        <v>1018</v>
      </c>
      <c r="P2313" s="8" t="s">
        <v>405</v>
      </c>
      <c r="Q2313" s="12" t="s">
        <v>12349</v>
      </c>
      <c r="R2313" s="8" t="s">
        <v>100</v>
      </c>
      <c r="S2313" s="7" t="s">
        <v>28</v>
      </c>
      <c r="T2313" s="6"/>
      <c r="U2313" s="8"/>
    </row>
    <row r="2314" spans="1:34" ht="13.5" customHeight="1">
      <c r="A2314" s="8" t="s">
        <v>12318</v>
      </c>
      <c r="B2314" s="16">
        <v>23</v>
      </c>
      <c r="C2314" s="8" t="s">
        <v>20</v>
      </c>
      <c r="D2314" s="8" t="s">
        <v>48</v>
      </c>
      <c r="E2314" s="8" t="s">
        <v>12319</v>
      </c>
      <c r="F2314" s="17">
        <v>41643</v>
      </c>
      <c r="G2314" s="8" t="s">
        <v>12320</v>
      </c>
      <c r="H2314" s="8" t="s">
        <v>6326</v>
      </c>
      <c r="I2314" s="8" t="s">
        <v>306</v>
      </c>
      <c r="J2314" s="16" t="s">
        <v>10629</v>
      </c>
      <c r="K2314" s="2" t="s">
        <v>6326</v>
      </c>
      <c r="L2314" s="8" t="s">
        <v>6327</v>
      </c>
      <c r="M2314" s="8" t="s">
        <v>27</v>
      </c>
      <c r="N2314" s="8" t="s">
        <v>12321</v>
      </c>
      <c r="O2314" s="8" t="s">
        <v>1018</v>
      </c>
      <c r="P2314" s="8" t="s">
        <v>405</v>
      </c>
      <c r="Q2314" s="12" t="s">
        <v>12322</v>
      </c>
      <c r="R2314" s="8" t="s">
        <v>100</v>
      </c>
      <c r="S2314" s="7" t="s">
        <v>35</v>
      </c>
      <c r="T2314" s="6"/>
      <c r="U2314" s="8"/>
      <c r="V2314" s="8"/>
      <c r="W2314" s="8"/>
      <c r="X2314" s="8"/>
    </row>
    <row r="2315" spans="1:34" ht="13.5" customHeight="1">
      <c r="A2315" s="8" t="s">
        <v>12369</v>
      </c>
      <c r="B2315" s="16">
        <v>25</v>
      </c>
      <c r="C2315" s="8" t="s">
        <v>20</v>
      </c>
      <c r="D2315" s="8" t="s">
        <v>37</v>
      </c>
      <c r="E2315" s="8" t="s">
        <v>12370</v>
      </c>
      <c r="F2315" s="17">
        <v>41642</v>
      </c>
      <c r="G2315" s="8" t="s">
        <v>12371</v>
      </c>
      <c r="H2315" s="8" t="s">
        <v>12372</v>
      </c>
      <c r="I2315" s="8" t="s">
        <v>73</v>
      </c>
      <c r="J2315" s="16" t="s">
        <v>12373</v>
      </c>
      <c r="K2315" s="2" t="s">
        <v>74</v>
      </c>
      <c r="L2315" s="8" t="s">
        <v>12374</v>
      </c>
      <c r="M2315" s="8" t="s">
        <v>27</v>
      </c>
      <c r="N2315" s="8" t="s">
        <v>12375</v>
      </c>
      <c r="O2315" s="8" t="s">
        <v>554</v>
      </c>
      <c r="P2315" s="8" t="s">
        <v>405</v>
      </c>
      <c r="Q2315" s="12" t="s">
        <v>12376</v>
      </c>
      <c r="R2315" s="8" t="s">
        <v>100</v>
      </c>
      <c r="S2315" s="7" t="s">
        <v>28</v>
      </c>
      <c r="T2315" s="6"/>
      <c r="U2315" s="8"/>
    </row>
    <row r="2316" spans="1:34" ht="13.5" customHeight="1">
      <c r="A2316" s="8" t="s">
        <v>12382</v>
      </c>
      <c r="B2316" s="16">
        <v>30</v>
      </c>
      <c r="C2316" s="8" t="s">
        <v>20</v>
      </c>
      <c r="D2316" s="8" t="s">
        <v>37</v>
      </c>
      <c r="E2316" s="8" t="s">
        <v>12383</v>
      </c>
      <c r="F2316" s="17">
        <v>41642</v>
      </c>
      <c r="G2316" s="8" t="s">
        <v>12384</v>
      </c>
      <c r="H2316" s="8" t="s">
        <v>12385</v>
      </c>
      <c r="I2316" s="8" t="s">
        <v>118</v>
      </c>
      <c r="J2316" s="16" t="s">
        <v>12386</v>
      </c>
      <c r="K2316" s="2" t="s">
        <v>2339</v>
      </c>
      <c r="L2316" s="8" t="s">
        <v>2069</v>
      </c>
      <c r="M2316" s="8" t="s">
        <v>383</v>
      </c>
      <c r="N2316" s="8" t="s">
        <v>12387</v>
      </c>
      <c r="O2316" s="8" t="s">
        <v>554</v>
      </c>
      <c r="P2316" s="8" t="s">
        <v>405</v>
      </c>
      <c r="Q2316" s="12" t="s">
        <v>12388</v>
      </c>
      <c r="R2316" s="8" t="s">
        <v>100</v>
      </c>
      <c r="S2316" s="7" t="s">
        <v>28</v>
      </c>
      <c r="T2316" s="6"/>
      <c r="U2316" s="8"/>
    </row>
    <row r="2317" spans="1:34" ht="13.5" customHeight="1">
      <c r="A2317" s="8" t="s">
        <v>12389</v>
      </c>
      <c r="B2317" s="16">
        <v>30</v>
      </c>
      <c r="C2317" s="8" t="s">
        <v>115</v>
      </c>
      <c r="D2317" s="8" t="s">
        <v>37</v>
      </c>
      <c r="F2317" s="17">
        <v>41642</v>
      </c>
      <c r="G2317" s="8" t="s">
        <v>12390</v>
      </c>
      <c r="H2317" s="8" t="s">
        <v>12391</v>
      </c>
      <c r="I2317" s="8" t="s">
        <v>306</v>
      </c>
      <c r="J2317" s="16" t="s">
        <v>12392</v>
      </c>
      <c r="K2317" s="2" t="s">
        <v>6326</v>
      </c>
      <c r="L2317" s="8" t="s">
        <v>6327</v>
      </c>
      <c r="M2317" s="8" t="s">
        <v>27</v>
      </c>
      <c r="N2317" s="8" t="s">
        <v>12393</v>
      </c>
      <c r="O2317" s="8" t="s">
        <v>1018</v>
      </c>
      <c r="P2317" s="8" t="s">
        <v>405</v>
      </c>
      <c r="Q2317" s="12" t="s">
        <v>12394</v>
      </c>
      <c r="R2317" s="8" t="s">
        <v>972</v>
      </c>
      <c r="S2317" s="7" t="s">
        <v>28</v>
      </c>
      <c r="T2317" s="6"/>
      <c r="U2317" s="8"/>
    </row>
    <row r="2318" spans="1:34" ht="13.5" customHeight="1">
      <c r="A2318" s="8" t="s">
        <v>12356</v>
      </c>
      <c r="B2318" s="16">
        <v>21</v>
      </c>
      <c r="C2318" s="8" t="s">
        <v>20</v>
      </c>
      <c r="D2318" s="8" t="s">
        <v>85</v>
      </c>
      <c r="E2318" s="8" t="s">
        <v>12357</v>
      </c>
      <c r="F2318" s="17">
        <v>41642</v>
      </c>
      <c r="G2318" s="8" t="s">
        <v>12358</v>
      </c>
      <c r="H2318" s="8" t="s">
        <v>1104</v>
      </c>
      <c r="I2318" s="8" t="s">
        <v>399</v>
      </c>
      <c r="J2318" s="16" t="s">
        <v>12359</v>
      </c>
      <c r="K2318" s="2" t="s">
        <v>1105</v>
      </c>
      <c r="L2318" s="8" t="s">
        <v>1106</v>
      </c>
      <c r="M2318" s="8" t="s">
        <v>27</v>
      </c>
      <c r="N2318" s="8" t="s">
        <v>12360</v>
      </c>
      <c r="O2318" s="8" t="s">
        <v>1018</v>
      </c>
      <c r="P2318" s="8" t="s">
        <v>405</v>
      </c>
      <c r="Q2318" s="12" t="str">
        <f>HYPERLINK("http://newsok.com/police-release-name-of-man-killed-in-officer-involved-shooting/article/3920773","http://newsok.com/police-release-name-of-man-killed-in-officer-involved-shooting/article/3920773")</f>
        <v>http://newsok.com/police-release-name-of-man-killed-in-officer-involved-shooting/article/3920773</v>
      </c>
      <c r="R2318" s="8" t="s">
        <v>100</v>
      </c>
      <c r="S2318" s="7" t="s">
        <v>28</v>
      </c>
      <c r="T2318" s="6"/>
      <c r="U2318" s="8"/>
    </row>
    <row r="2319" spans="1:34" ht="13.5" customHeight="1">
      <c r="A2319" s="8" t="s">
        <v>12377</v>
      </c>
      <c r="B2319" s="16">
        <v>47</v>
      </c>
      <c r="C2319" s="8" t="s">
        <v>20</v>
      </c>
      <c r="D2319" s="8" t="s">
        <v>37</v>
      </c>
      <c r="F2319" s="17">
        <v>41642</v>
      </c>
      <c r="G2319" s="8" t="s">
        <v>12378</v>
      </c>
      <c r="H2319" s="8" t="s">
        <v>1300</v>
      </c>
      <c r="I2319" s="8" t="s">
        <v>69</v>
      </c>
      <c r="J2319" s="16" t="s">
        <v>12379</v>
      </c>
      <c r="K2319" s="2" t="s">
        <v>1301</v>
      </c>
      <c r="L2319" s="8" t="s">
        <v>12726</v>
      </c>
      <c r="M2319" s="8" t="s">
        <v>27</v>
      </c>
      <c r="N2319" s="8" t="s">
        <v>12380</v>
      </c>
      <c r="O2319" s="8" t="s">
        <v>1018</v>
      </c>
      <c r="P2319" s="8" t="s">
        <v>405</v>
      </c>
      <c r="Q2319" s="12" t="s">
        <v>12381</v>
      </c>
      <c r="R2319" s="8" t="s">
        <v>559</v>
      </c>
      <c r="S2319" s="7" t="s">
        <v>28</v>
      </c>
      <c r="T2319" s="6"/>
      <c r="U2319" s="8"/>
    </row>
    <row r="2320" spans="1:34" ht="13.5" customHeight="1">
      <c r="A2320" s="8" t="s">
        <v>12361</v>
      </c>
      <c r="B2320" s="16">
        <v>35</v>
      </c>
      <c r="C2320" s="8" t="s">
        <v>20</v>
      </c>
      <c r="D2320" s="8" t="s">
        <v>48</v>
      </c>
      <c r="E2320" s="8" t="s">
        <v>12362</v>
      </c>
      <c r="F2320" s="17">
        <v>41642</v>
      </c>
      <c r="G2320" s="8" t="s">
        <v>12363</v>
      </c>
      <c r="H2320" s="8" t="s">
        <v>12364</v>
      </c>
      <c r="I2320" s="8" t="s">
        <v>212</v>
      </c>
      <c r="J2320" s="16" t="s">
        <v>12365</v>
      </c>
      <c r="K2320" s="2" t="s">
        <v>1941</v>
      </c>
      <c r="L2320" s="8" t="s">
        <v>12366</v>
      </c>
      <c r="M2320" s="8" t="s">
        <v>27</v>
      </c>
      <c r="N2320" s="8" t="s">
        <v>12367</v>
      </c>
      <c r="O2320" s="8" t="s">
        <v>554</v>
      </c>
      <c r="P2320" s="8" t="s">
        <v>405</v>
      </c>
      <c r="Q2320" s="12" t="s">
        <v>12368</v>
      </c>
      <c r="R2320" s="8" t="s">
        <v>972</v>
      </c>
      <c r="S2320" s="7" t="s">
        <v>28</v>
      </c>
      <c r="T2320" s="6"/>
      <c r="U2320" s="8"/>
    </row>
    <row r="2321" spans="1:39" ht="13.5" customHeight="1">
      <c r="A2321" s="8" t="s">
        <v>12409</v>
      </c>
      <c r="B2321" s="16">
        <v>35</v>
      </c>
      <c r="C2321" s="8" t="s">
        <v>20</v>
      </c>
      <c r="D2321" s="8" t="s">
        <v>37</v>
      </c>
      <c r="F2321" s="17">
        <v>41641</v>
      </c>
      <c r="G2321" s="8" t="s">
        <v>12410</v>
      </c>
      <c r="H2321" s="8" t="s">
        <v>12411</v>
      </c>
      <c r="I2321" s="8" t="s">
        <v>73</v>
      </c>
      <c r="J2321" s="16" t="s">
        <v>12412</v>
      </c>
      <c r="K2321" s="2" t="s">
        <v>12413</v>
      </c>
      <c r="L2321" s="8" t="s">
        <v>4790</v>
      </c>
      <c r="M2321" s="8" t="s">
        <v>27</v>
      </c>
      <c r="N2321" s="8" t="s">
        <v>12414</v>
      </c>
      <c r="O2321" s="8" t="s">
        <v>1170</v>
      </c>
      <c r="P2321" s="8" t="s">
        <v>1171</v>
      </c>
      <c r="Q2321" s="12" t="s">
        <v>12415</v>
      </c>
      <c r="R2321" s="8" t="s">
        <v>100</v>
      </c>
      <c r="S2321" s="7" t="s">
        <v>18</v>
      </c>
      <c r="T2321" s="6"/>
      <c r="U2321" s="8"/>
    </row>
    <row r="2322" spans="1:39" ht="13.5" customHeight="1">
      <c r="A2322" s="8" t="s">
        <v>12403</v>
      </c>
      <c r="B2322" s="16">
        <v>47</v>
      </c>
      <c r="C2322" s="8" t="s">
        <v>20</v>
      </c>
      <c r="D2322" s="8" t="s">
        <v>37</v>
      </c>
      <c r="E2322" s="8" t="s">
        <v>12404</v>
      </c>
      <c r="F2322" s="17">
        <v>41641</v>
      </c>
      <c r="G2322" s="8" t="s">
        <v>12405</v>
      </c>
      <c r="H2322" s="8" t="s">
        <v>288</v>
      </c>
      <c r="I2322" s="8" t="s">
        <v>73</v>
      </c>
      <c r="J2322" s="16" t="s">
        <v>12406</v>
      </c>
      <c r="K2322" s="2" t="s">
        <v>288</v>
      </c>
      <c r="L2322" s="8" t="s">
        <v>289</v>
      </c>
      <c r="M2322" s="8" t="s">
        <v>27</v>
      </c>
      <c r="N2322" s="8" t="s">
        <v>12407</v>
      </c>
      <c r="O2322" s="8" t="s">
        <v>554</v>
      </c>
      <c r="P2322" s="8" t="s">
        <v>405</v>
      </c>
      <c r="Q2322" s="12" t="s">
        <v>12408</v>
      </c>
      <c r="R2322" s="8" t="s">
        <v>972</v>
      </c>
      <c r="S2322" s="7" t="s">
        <v>28</v>
      </c>
      <c r="T2322" s="6"/>
      <c r="U2322" s="8"/>
    </row>
    <row r="2323" spans="1:39" ht="13.5" customHeight="1">
      <c r="A2323" s="8" t="s">
        <v>12395</v>
      </c>
      <c r="B2323" s="16">
        <v>33</v>
      </c>
      <c r="C2323" s="8" t="s">
        <v>20</v>
      </c>
      <c r="D2323" s="8" t="s">
        <v>85</v>
      </c>
      <c r="E2323" s="8" t="s">
        <v>12396</v>
      </c>
      <c r="F2323" s="17">
        <v>41641</v>
      </c>
      <c r="G2323" s="8" t="s">
        <v>12397</v>
      </c>
      <c r="H2323" s="8" t="s">
        <v>12398</v>
      </c>
      <c r="I2323" s="8" t="s">
        <v>62</v>
      </c>
      <c r="J2323" s="16" t="s">
        <v>12399</v>
      </c>
      <c r="K2323" s="2" t="s">
        <v>12400</v>
      </c>
      <c r="L2323" s="8" t="s">
        <v>12401</v>
      </c>
      <c r="M2323" s="8" t="s">
        <v>27</v>
      </c>
      <c r="N2323" s="8" t="s">
        <v>12402</v>
      </c>
      <c r="O2323" s="8" t="s">
        <v>554</v>
      </c>
      <c r="P2323" s="8" t="s">
        <v>405</v>
      </c>
      <c r="Q2323" s="12" t="str">
        <f>HYPERLINK("http://www.nwfdailynews.com/local/suspect-killed-officers-shot-in-crestview-incident-1.257150","http://www.nwfdailynews.com/local/suspect-killed-officers-shot-in-crestview-incident-1.257150")</f>
        <v>http://www.nwfdailynews.com/local/suspect-killed-officers-shot-in-crestview-incident-1.257150</v>
      </c>
      <c r="R2323" s="8" t="s">
        <v>100</v>
      </c>
      <c r="S2323" s="7" t="s">
        <v>28</v>
      </c>
      <c r="T2323" s="6"/>
      <c r="U2323" s="8"/>
    </row>
    <row r="2324" spans="1:39" ht="13.5" customHeight="1">
      <c r="A2324" s="8" t="s">
        <v>12416</v>
      </c>
      <c r="B2324" s="16">
        <v>20</v>
      </c>
      <c r="C2324" s="8" t="s">
        <v>20</v>
      </c>
      <c r="D2324" s="8" t="s">
        <v>85</v>
      </c>
      <c r="E2324" s="8" t="s">
        <v>12417</v>
      </c>
      <c r="F2324" s="17">
        <v>41640</v>
      </c>
      <c r="G2324" s="8" t="s">
        <v>12418</v>
      </c>
      <c r="H2324" s="8" t="s">
        <v>12419</v>
      </c>
      <c r="I2324" s="8" t="s">
        <v>57</v>
      </c>
      <c r="J2324" s="16" t="s">
        <v>12420</v>
      </c>
      <c r="K2324" s="2" t="s">
        <v>1139</v>
      </c>
      <c r="L2324" s="8" t="s">
        <v>12421</v>
      </c>
      <c r="M2324" s="8" t="s">
        <v>27</v>
      </c>
      <c r="N2324" s="8" t="s">
        <v>12422</v>
      </c>
      <c r="O2324" s="8" t="s">
        <v>1018</v>
      </c>
      <c r="P2324" s="8" t="s">
        <v>405</v>
      </c>
      <c r="Q2324" s="12" t="s">
        <v>12423</v>
      </c>
      <c r="R2324" s="8" t="s">
        <v>100</v>
      </c>
      <c r="S2324" s="7" t="s">
        <v>35</v>
      </c>
      <c r="T2324" s="6"/>
      <c r="U2324" s="8"/>
    </row>
    <row r="2325" spans="1:39" ht="13.5" customHeight="1">
      <c r="A2325" s="8" t="s">
        <v>12424</v>
      </c>
      <c r="B2325" s="16">
        <v>33</v>
      </c>
      <c r="C2325" s="8" t="s">
        <v>20</v>
      </c>
      <c r="D2325" s="8" t="s">
        <v>37</v>
      </c>
      <c r="F2325" s="17">
        <v>41640</v>
      </c>
      <c r="G2325" s="8" t="s">
        <v>12425</v>
      </c>
      <c r="H2325" s="8" t="s">
        <v>9026</v>
      </c>
      <c r="I2325" s="8" t="s">
        <v>399</v>
      </c>
      <c r="J2325" s="16" t="s">
        <v>12426</v>
      </c>
      <c r="K2325" s="2" t="s">
        <v>12427</v>
      </c>
      <c r="L2325" s="8" t="s">
        <v>18659</v>
      </c>
      <c r="M2325" s="8" t="s">
        <v>27</v>
      </c>
      <c r="N2325" s="8" t="s">
        <v>12428</v>
      </c>
      <c r="O2325" s="8" t="s">
        <v>29</v>
      </c>
      <c r="P2325" s="8" t="s">
        <v>405</v>
      </c>
      <c r="Q2325" s="12" t="s">
        <v>12429</v>
      </c>
      <c r="R2325" s="8" t="s">
        <v>100</v>
      </c>
      <c r="S2325" s="7" t="s">
        <v>28</v>
      </c>
      <c r="T2325" s="6"/>
      <c r="U2325" s="8"/>
    </row>
    <row r="2326" spans="1:39" ht="13.5" customHeight="1">
      <c r="A2326" s="8" t="s">
        <v>12435</v>
      </c>
      <c r="B2326" s="16" t="s">
        <v>8905</v>
      </c>
      <c r="C2326" s="8" t="s">
        <v>20</v>
      </c>
      <c r="D2326" s="8" t="s">
        <v>85</v>
      </c>
      <c r="F2326" s="17">
        <v>41639</v>
      </c>
      <c r="G2326" s="8" t="s">
        <v>12436</v>
      </c>
      <c r="H2326" s="8" t="s">
        <v>791</v>
      </c>
      <c r="I2326" s="8" t="s">
        <v>45</v>
      </c>
      <c r="J2326" s="16" t="s">
        <v>12437</v>
      </c>
      <c r="K2326" s="2" t="s">
        <v>791</v>
      </c>
      <c r="L2326" s="8" t="s">
        <v>6009</v>
      </c>
      <c r="M2326" s="8" t="s">
        <v>27</v>
      </c>
      <c r="N2326" s="8" t="s">
        <v>12438</v>
      </c>
      <c r="O2326" s="8" t="s">
        <v>29</v>
      </c>
      <c r="P2326" s="8" t="s">
        <v>405</v>
      </c>
      <c r="Q2326" s="12" t="s">
        <v>12439</v>
      </c>
      <c r="R2326" s="8" t="s">
        <v>100</v>
      </c>
      <c r="S2326" s="7" t="s">
        <v>28</v>
      </c>
      <c r="T2326" s="6"/>
      <c r="U2326" s="8"/>
    </row>
    <row r="2327" spans="1:39" ht="13.5" customHeight="1">
      <c r="A2327" s="8" t="s">
        <v>12430</v>
      </c>
      <c r="B2327" s="16">
        <v>34</v>
      </c>
      <c r="C2327" s="8" t="s">
        <v>20</v>
      </c>
      <c r="D2327" s="8" t="s">
        <v>85</v>
      </c>
      <c r="E2327" s="8" t="s">
        <v>12431</v>
      </c>
      <c r="F2327" s="17">
        <v>41639</v>
      </c>
      <c r="G2327" s="8" t="s">
        <v>12432</v>
      </c>
      <c r="H2327" s="8" t="s">
        <v>1290</v>
      </c>
      <c r="I2327" s="8" t="s">
        <v>370</v>
      </c>
      <c r="J2327" s="16" t="s">
        <v>12433</v>
      </c>
      <c r="K2327" s="2" t="s">
        <v>1301</v>
      </c>
      <c r="L2327" s="8" t="s">
        <v>1302</v>
      </c>
      <c r="M2327" s="8" t="s">
        <v>27</v>
      </c>
      <c r="N2327" s="8" t="s">
        <v>12434</v>
      </c>
      <c r="O2327" s="8" t="s">
        <v>1018</v>
      </c>
      <c r="P2327" s="8" t="s">
        <v>405</v>
      </c>
      <c r="Q2327" s="12" t="str">
        <f>HYPERLINK("http://www.wilsontimes.com/News/Feature/Story/28048226---Deputies--Man-fatally-shot-after-killing-2","http://www.wilsontimes.com/News/Feature/Story/28048226---Deputies--Man-fatally-shot-after-killing-2")</f>
        <v>http://www.wilsontimes.com/News/Feature/Story/28048226---Deputies--Man-fatally-shot-after-killing-2</v>
      </c>
      <c r="R2327" s="8" t="s">
        <v>29</v>
      </c>
      <c r="S2327" s="7" t="s">
        <v>28</v>
      </c>
      <c r="T2327" s="6"/>
      <c r="U2327" s="8"/>
    </row>
    <row r="2328" spans="1:39" ht="13.5" customHeight="1">
      <c r="A2328" s="8" t="s">
        <v>12440</v>
      </c>
      <c r="B2328" s="16">
        <v>54</v>
      </c>
      <c r="C2328" s="8" t="s">
        <v>20</v>
      </c>
      <c r="D2328" s="8" t="s">
        <v>30</v>
      </c>
      <c r="F2328" s="17">
        <v>41638</v>
      </c>
      <c r="G2328" s="8" t="s">
        <v>12441</v>
      </c>
      <c r="H2328" s="8" t="s">
        <v>12442</v>
      </c>
      <c r="I2328" s="8" t="s">
        <v>306</v>
      </c>
      <c r="J2328" s="16" t="s">
        <v>12443</v>
      </c>
      <c r="K2328" s="2" t="s">
        <v>401</v>
      </c>
      <c r="L2328" s="8" t="s">
        <v>12444</v>
      </c>
      <c r="M2328" s="8" t="s">
        <v>27</v>
      </c>
      <c r="N2328" s="8" t="s">
        <v>12445</v>
      </c>
      <c r="O2328" s="8" t="s">
        <v>1018</v>
      </c>
      <c r="P2328" s="8" t="s">
        <v>405</v>
      </c>
      <c r="Q2328" s="12" t="s">
        <v>12446</v>
      </c>
      <c r="R2328" s="8" t="s">
        <v>29</v>
      </c>
      <c r="S2328" s="7" t="s">
        <v>28</v>
      </c>
      <c r="T2328" s="6"/>
      <c r="U2328" s="8"/>
    </row>
    <row r="2329" spans="1:39" ht="13.5" customHeight="1">
      <c r="A2329" s="8" t="s">
        <v>12459</v>
      </c>
      <c r="B2329" s="16">
        <v>34</v>
      </c>
      <c r="C2329" s="8" t="s">
        <v>20</v>
      </c>
      <c r="D2329" s="8" t="s">
        <v>85</v>
      </c>
      <c r="E2329" s="8" t="s">
        <v>12460</v>
      </c>
      <c r="F2329" s="17">
        <v>41637</v>
      </c>
      <c r="G2329" s="8" t="s">
        <v>12461</v>
      </c>
      <c r="H2329" s="8" t="s">
        <v>12462</v>
      </c>
      <c r="I2329" s="8" t="s">
        <v>25</v>
      </c>
      <c r="J2329" s="16" t="s">
        <v>12463</v>
      </c>
      <c r="K2329" s="2" t="s">
        <v>12464</v>
      </c>
      <c r="L2329" s="8" t="s">
        <v>12465</v>
      </c>
      <c r="M2329" s="8" t="s">
        <v>27</v>
      </c>
      <c r="N2329" s="8" t="s">
        <v>12466</v>
      </c>
      <c r="O2329" s="8" t="s">
        <v>1804</v>
      </c>
      <c r="P2329" s="8" t="s">
        <v>1171</v>
      </c>
      <c r="Q2329" s="12" t="s">
        <v>12467</v>
      </c>
      <c r="R2329" s="8" t="s">
        <v>100</v>
      </c>
      <c r="S2329" s="7" t="s">
        <v>35</v>
      </c>
      <c r="T2329" s="6"/>
      <c r="U2329" s="8"/>
    </row>
    <row r="2330" spans="1:39" ht="13.5" customHeight="1">
      <c r="A2330" s="8" t="s">
        <v>12494</v>
      </c>
      <c r="B2330" s="16">
        <v>31</v>
      </c>
      <c r="C2330" s="8" t="s">
        <v>115</v>
      </c>
      <c r="D2330" s="8" t="s">
        <v>37</v>
      </c>
      <c r="F2330" s="17">
        <v>41637</v>
      </c>
      <c r="G2330" s="8" t="s">
        <v>12495</v>
      </c>
      <c r="H2330" s="8" t="s">
        <v>12496</v>
      </c>
      <c r="I2330" s="8" t="s">
        <v>45</v>
      </c>
      <c r="J2330" s="16" t="s">
        <v>12497</v>
      </c>
      <c r="K2330" s="2" t="s">
        <v>687</v>
      </c>
      <c r="L2330" s="8" t="s">
        <v>755</v>
      </c>
      <c r="M2330" s="8" t="s">
        <v>27</v>
      </c>
      <c r="N2330" s="8" t="s">
        <v>12498</v>
      </c>
      <c r="O2330" s="8" t="s">
        <v>1018</v>
      </c>
      <c r="P2330" s="8" t="s">
        <v>405</v>
      </c>
      <c r="Q2330" s="12" t="s">
        <v>12499</v>
      </c>
      <c r="R2330" s="8" t="s">
        <v>29</v>
      </c>
      <c r="S2330" s="7" t="s">
        <v>28</v>
      </c>
      <c r="T2330" s="6"/>
      <c r="U2330" s="8"/>
    </row>
    <row r="2331" spans="1:39" ht="13.5" customHeight="1">
      <c r="A2331" s="8" t="s">
        <v>12487</v>
      </c>
      <c r="B2331" s="16">
        <v>44</v>
      </c>
      <c r="C2331" s="8" t="s">
        <v>20</v>
      </c>
      <c r="D2331" s="8" t="s">
        <v>37</v>
      </c>
      <c r="E2331" s="8" t="s">
        <v>12488</v>
      </c>
      <c r="F2331" s="17">
        <v>41637</v>
      </c>
      <c r="G2331" s="8" t="s">
        <v>12489</v>
      </c>
      <c r="H2331" s="8" t="s">
        <v>12490</v>
      </c>
      <c r="I2331" s="8" t="s">
        <v>212</v>
      </c>
      <c r="J2331" s="16" t="s">
        <v>12491</v>
      </c>
      <c r="K2331" s="2" t="s">
        <v>1004</v>
      </c>
      <c r="L2331" s="8" t="s">
        <v>2719</v>
      </c>
      <c r="M2331" s="8" t="s">
        <v>27</v>
      </c>
      <c r="N2331" s="8" t="s">
        <v>12492</v>
      </c>
      <c r="O2331" s="8" t="s">
        <v>1018</v>
      </c>
      <c r="P2331" s="8" t="s">
        <v>405</v>
      </c>
      <c r="Q2331" s="12" t="s">
        <v>12493</v>
      </c>
      <c r="R2331" s="8" t="s">
        <v>29</v>
      </c>
      <c r="S2331" s="7" t="s">
        <v>28</v>
      </c>
      <c r="T2331" s="6"/>
      <c r="U2331" s="8"/>
    </row>
    <row r="2332" spans="1:39" ht="13.5" customHeight="1">
      <c r="A2332" s="8" t="s">
        <v>12473</v>
      </c>
      <c r="B2332" s="16">
        <v>30</v>
      </c>
      <c r="C2332" s="8" t="s">
        <v>20</v>
      </c>
      <c r="D2332" s="8" t="s">
        <v>30</v>
      </c>
      <c r="F2332" s="17">
        <v>41637</v>
      </c>
      <c r="G2332" s="8" t="s">
        <v>12474</v>
      </c>
      <c r="H2332" s="8" t="s">
        <v>669</v>
      </c>
      <c r="I2332" s="8" t="s">
        <v>69</v>
      </c>
      <c r="J2332" s="16" t="s">
        <v>12475</v>
      </c>
      <c r="K2332" s="2" t="s">
        <v>216</v>
      </c>
      <c r="L2332" s="8" t="s">
        <v>671</v>
      </c>
      <c r="M2332" s="8" t="s">
        <v>27</v>
      </c>
      <c r="N2332" s="8" t="s">
        <v>12476</v>
      </c>
      <c r="O2332" s="8" t="s">
        <v>1018</v>
      </c>
      <c r="P2332" s="8" t="s">
        <v>405</v>
      </c>
      <c r="Q2332" s="12" t="s">
        <v>12477</v>
      </c>
      <c r="R2332" s="8" t="s">
        <v>100</v>
      </c>
      <c r="S2332" s="7" t="s">
        <v>28</v>
      </c>
      <c r="T2332" s="6"/>
      <c r="U2332" s="8"/>
    </row>
    <row r="2333" spans="1:39" ht="13.5" customHeight="1">
      <c r="A2333" s="8" t="s">
        <v>12447</v>
      </c>
      <c r="B2333" s="16">
        <v>45</v>
      </c>
      <c r="C2333" s="8" t="s">
        <v>20</v>
      </c>
      <c r="D2333" s="8" t="s">
        <v>21</v>
      </c>
      <c r="F2333" s="17">
        <v>41637</v>
      </c>
      <c r="G2333" s="8" t="s">
        <v>12448</v>
      </c>
      <c r="H2333" s="8" t="s">
        <v>686</v>
      </c>
      <c r="I2333" s="8" t="s">
        <v>45</v>
      </c>
      <c r="J2333" s="16" t="s">
        <v>8186</v>
      </c>
      <c r="K2333" s="2" t="s">
        <v>687</v>
      </c>
      <c r="L2333" s="8" t="s">
        <v>688</v>
      </c>
      <c r="M2333" s="8" t="s">
        <v>27</v>
      </c>
      <c r="N2333" s="8" t="s">
        <v>12449</v>
      </c>
      <c r="O2333" s="8" t="s">
        <v>1018</v>
      </c>
      <c r="P2333" s="8" t="s">
        <v>405</v>
      </c>
      <c r="Q2333" s="12" t="s">
        <v>12450</v>
      </c>
      <c r="R2333" s="8" t="s">
        <v>29</v>
      </c>
      <c r="S2333" s="7" t="s">
        <v>28</v>
      </c>
      <c r="T2333" s="6"/>
      <c r="U2333" s="8"/>
      <c r="Y2333" s="8"/>
      <c r="Z2333" s="8"/>
      <c r="AA2333" s="8"/>
      <c r="AB2333" s="8"/>
      <c r="AC2333" s="8"/>
      <c r="AD2333" s="8"/>
      <c r="AE2333" s="8"/>
      <c r="AF2333" s="8"/>
      <c r="AG2333" s="8"/>
      <c r="AH2333" s="8"/>
      <c r="AI2333" s="8"/>
      <c r="AJ2333" s="8"/>
      <c r="AK2333" s="8"/>
      <c r="AL2333" s="8"/>
      <c r="AM2333" s="8"/>
    </row>
    <row r="2334" spans="1:39" ht="13.5" customHeight="1">
      <c r="A2334" s="8" t="s">
        <v>12468</v>
      </c>
      <c r="B2334" s="16">
        <v>22</v>
      </c>
      <c r="C2334" s="8" t="s">
        <v>20</v>
      </c>
      <c r="D2334" s="8" t="s">
        <v>30</v>
      </c>
      <c r="F2334" s="17">
        <v>41637</v>
      </c>
      <c r="G2334" s="8" t="s">
        <v>12469</v>
      </c>
      <c r="H2334" s="8" t="s">
        <v>11824</v>
      </c>
      <c r="I2334" s="8" t="s">
        <v>25</v>
      </c>
      <c r="J2334" s="16" t="s">
        <v>11825</v>
      </c>
      <c r="K2334" s="2" t="s">
        <v>2339</v>
      </c>
      <c r="L2334" s="8" t="s">
        <v>12470</v>
      </c>
      <c r="M2334" s="8" t="s">
        <v>27</v>
      </c>
      <c r="N2334" s="8" t="s">
        <v>12471</v>
      </c>
      <c r="O2334" s="8" t="s">
        <v>1018</v>
      </c>
      <c r="P2334" s="8" t="s">
        <v>405</v>
      </c>
      <c r="Q2334" s="12" t="s">
        <v>12472</v>
      </c>
      <c r="R2334" s="8" t="s">
        <v>29</v>
      </c>
      <c r="S2334" s="7" t="s">
        <v>18</v>
      </c>
      <c r="T2334" s="6"/>
      <c r="U2334" s="8"/>
    </row>
    <row r="2335" spans="1:39" ht="13.5" customHeight="1">
      <c r="A2335" s="8" t="s">
        <v>12478</v>
      </c>
      <c r="B2335" s="16">
        <v>51</v>
      </c>
      <c r="C2335" s="8" t="s">
        <v>20</v>
      </c>
      <c r="D2335" s="8" t="s">
        <v>37</v>
      </c>
      <c r="E2335" s="8" t="s">
        <v>12479</v>
      </c>
      <c r="F2335" s="17">
        <v>41637</v>
      </c>
      <c r="G2335" s="8" t="s">
        <v>12480</v>
      </c>
      <c r="H2335" s="8" t="s">
        <v>12481</v>
      </c>
      <c r="I2335" s="8" t="s">
        <v>370</v>
      </c>
      <c r="J2335" s="16" t="s">
        <v>12482</v>
      </c>
      <c r="K2335" s="2" t="s">
        <v>12483</v>
      </c>
      <c r="L2335" s="8" t="s">
        <v>12484</v>
      </c>
      <c r="M2335" s="8" t="s">
        <v>27</v>
      </c>
      <c r="N2335" s="8" t="s">
        <v>12485</v>
      </c>
      <c r="O2335" s="8" t="s">
        <v>1018</v>
      </c>
      <c r="P2335" s="8" t="s">
        <v>405</v>
      </c>
      <c r="Q2335" s="12" t="s">
        <v>12486</v>
      </c>
      <c r="R2335" s="8" t="s">
        <v>100</v>
      </c>
      <c r="S2335" s="7" t="s">
        <v>28</v>
      </c>
      <c r="T2335" s="6"/>
      <c r="U2335" s="8"/>
      <c r="Y2335" s="8"/>
      <c r="Z2335" s="8"/>
      <c r="AA2335" s="8"/>
      <c r="AB2335" s="8"/>
      <c r="AC2335" s="8"/>
      <c r="AD2335" s="8"/>
      <c r="AE2335" s="8"/>
      <c r="AF2335" s="8"/>
      <c r="AG2335" s="8"/>
      <c r="AH2335" s="8"/>
    </row>
    <row r="2336" spans="1:39" ht="13.5" customHeight="1">
      <c r="A2336" s="8" t="s">
        <v>12451</v>
      </c>
      <c r="B2336" s="16">
        <v>43</v>
      </c>
      <c r="C2336" s="8" t="s">
        <v>20</v>
      </c>
      <c r="D2336" s="8" t="s">
        <v>85</v>
      </c>
      <c r="E2336" s="8" t="s">
        <v>12452</v>
      </c>
      <c r="F2336" s="17">
        <v>41637</v>
      </c>
      <c r="G2336" s="8" t="s">
        <v>12453</v>
      </c>
      <c r="H2336" s="8" t="s">
        <v>12454</v>
      </c>
      <c r="I2336" s="8" t="s">
        <v>408</v>
      </c>
      <c r="J2336" s="16" t="s">
        <v>12455</v>
      </c>
      <c r="K2336" s="2" t="s">
        <v>4593</v>
      </c>
      <c r="L2336" s="8" t="s">
        <v>12456</v>
      </c>
      <c r="M2336" s="8" t="s">
        <v>27</v>
      </c>
      <c r="N2336" s="8" t="s">
        <v>12457</v>
      </c>
      <c r="O2336" s="8" t="s">
        <v>1018</v>
      </c>
      <c r="P2336" s="8" t="s">
        <v>405</v>
      </c>
      <c r="Q2336" s="12" t="s">
        <v>12458</v>
      </c>
      <c r="R2336" s="8" t="s">
        <v>100</v>
      </c>
      <c r="S2336" s="7" t="s">
        <v>383</v>
      </c>
      <c r="T2336" s="6"/>
      <c r="U2336" s="8"/>
    </row>
    <row r="2337" spans="1:34" ht="13.5" customHeight="1">
      <c r="A2337" s="8" t="s">
        <v>12506</v>
      </c>
      <c r="B2337" s="16">
        <v>37</v>
      </c>
      <c r="C2337" s="8" t="s">
        <v>20</v>
      </c>
      <c r="D2337" s="8" t="s">
        <v>85</v>
      </c>
      <c r="F2337" s="17">
        <v>41636</v>
      </c>
      <c r="G2337" s="8" t="s">
        <v>12507</v>
      </c>
      <c r="H2337" s="8" t="s">
        <v>731</v>
      </c>
      <c r="I2337" s="8" t="s">
        <v>73</v>
      </c>
      <c r="K2337" s="2" t="s">
        <v>562</v>
      </c>
      <c r="L2337" s="8" t="s">
        <v>12508</v>
      </c>
      <c r="M2337" s="8" t="s">
        <v>27</v>
      </c>
      <c r="P2337" s="8" t="s">
        <v>405</v>
      </c>
      <c r="Q2337" s="12" t="s">
        <v>12509</v>
      </c>
      <c r="S2337" s="7" t="s">
        <v>28</v>
      </c>
      <c r="T2337" s="6"/>
      <c r="U2337" s="8"/>
    </row>
    <row r="2338" spans="1:34" ht="13.5" customHeight="1">
      <c r="A2338" s="8" t="s">
        <v>12510</v>
      </c>
      <c r="B2338" s="16" t="s">
        <v>12511</v>
      </c>
      <c r="C2338" s="8" t="s">
        <v>20</v>
      </c>
      <c r="D2338" s="8" t="s">
        <v>48</v>
      </c>
      <c r="F2338" s="17">
        <v>41636</v>
      </c>
      <c r="G2338" s="8" t="s">
        <v>12512</v>
      </c>
      <c r="H2338" s="8" t="s">
        <v>638</v>
      </c>
      <c r="I2338" s="8" t="s">
        <v>124</v>
      </c>
      <c r="J2338" s="16" t="s">
        <v>4672</v>
      </c>
      <c r="K2338" s="2" t="s">
        <v>639</v>
      </c>
      <c r="L2338" s="8" t="s">
        <v>640</v>
      </c>
      <c r="M2338" s="8" t="s">
        <v>27</v>
      </c>
      <c r="N2338" s="8" t="s">
        <v>12513</v>
      </c>
      <c r="O2338" s="8" t="s">
        <v>1018</v>
      </c>
      <c r="P2338" s="8" t="s">
        <v>405</v>
      </c>
      <c r="Q2338" s="12" t="s">
        <v>12514</v>
      </c>
      <c r="R2338" s="8" t="s">
        <v>100</v>
      </c>
      <c r="S2338" s="7" t="s">
        <v>28</v>
      </c>
      <c r="T2338" s="6"/>
      <c r="U2338" s="8"/>
      <c r="V2338" s="8"/>
      <c r="W2338" s="8"/>
      <c r="X2338" s="8"/>
    </row>
    <row r="2339" spans="1:34" ht="13.5" customHeight="1">
      <c r="A2339" s="8" t="s">
        <v>12500</v>
      </c>
      <c r="B2339" s="16">
        <v>24</v>
      </c>
      <c r="C2339" s="8" t="s">
        <v>20</v>
      </c>
      <c r="D2339" s="8" t="s">
        <v>85</v>
      </c>
      <c r="E2339" s="8" t="s">
        <v>12501</v>
      </c>
      <c r="F2339" s="17">
        <v>41636</v>
      </c>
      <c r="G2339" s="8" t="s">
        <v>12502</v>
      </c>
      <c r="H2339" s="8" t="s">
        <v>3426</v>
      </c>
      <c r="I2339" s="8" t="s">
        <v>62</v>
      </c>
      <c r="J2339" s="16" t="s">
        <v>3427</v>
      </c>
      <c r="K2339" s="2" t="s">
        <v>2114</v>
      </c>
      <c r="L2339" s="8" t="s">
        <v>12503</v>
      </c>
      <c r="M2339" s="8" t="s">
        <v>27</v>
      </c>
      <c r="N2339" s="8" t="s">
        <v>12504</v>
      </c>
      <c r="O2339" s="8" t="s">
        <v>1018</v>
      </c>
      <c r="P2339" s="8" t="s">
        <v>405</v>
      </c>
      <c r="Q2339" s="12" t="s">
        <v>12505</v>
      </c>
      <c r="R2339" s="8" t="s">
        <v>100</v>
      </c>
      <c r="S2339" s="7" t="s">
        <v>28</v>
      </c>
      <c r="T2339" s="6"/>
      <c r="U2339" s="8"/>
    </row>
    <row r="2340" spans="1:34" ht="13.5" customHeight="1">
      <c r="A2340" s="8" t="s">
        <v>12519</v>
      </c>
      <c r="B2340" s="16">
        <v>22</v>
      </c>
      <c r="C2340" s="8" t="s">
        <v>20</v>
      </c>
      <c r="D2340" s="8" t="s">
        <v>85</v>
      </c>
      <c r="F2340" s="17">
        <v>41635</v>
      </c>
      <c r="G2340" s="8" t="s">
        <v>12520</v>
      </c>
      <c r="H2340" s="8" t="s">
        <v>2513</v>
      </c>
      <c r="I2340" s="8" t="s">
        <v>399</v>
      </c>
      <c r="K2340" s="2" t="s">
        <v>2513</v>
      </c>
      <c r="L2340" s="8" t="s">
        <v>2062</v>
      </c>
      <c r="M2340" s="8" t="s">
        <v>27</v>
      </c>
      <c r="P2340" s="8" t="s">
        <v>405</v>
      </c>
      <c r="Q2340" s="12" t="s">
        <v>12521</v>
      </c>
      <c r="S2340" s="7" t="s">
        <v>28</v>
      </c>
      <c r="T2340" s="6"/>
      <c r="U2340" s="8"/>
    </row>
    <row r="2341" spans="1:34" ht="13.5" customHeight="1">
      <c r="A2341" s="8" t="s">
        <v>12515</v>
      </c>
      <c r="B2341" s="16">
        <v>22</v>
      </c>
      <c r="C2341" s="8" t="s">
        <v>20</v>
      </c>
      <c r="D2341" s="8" t="s">
        <v>85</v>
      </c>
      <c r="E2341" s="8" t="s">
        <v>12516</v>
      </c>
      <c r="F2341" s="17">
        <v>41635</v>
      </c>
      <c r="G2341" s="8" t="s">
        <v>12517</v>
      </c>
      <c r="H2341" s="8" t="s">
        <v>1104</v>
      </c>
      <c r="I2341" s="8" t="s">
        <v>399</v>
      </c>
      <c r="J2341" s="16" t="s">
        <v>11712</v>
      </c>
      <c r="K2341" s="2" t="s">
        <v>992</v>
      </c>
      <c r="L2341" s="8" t="s">
        <v>2062</v>
      </c>
      <c r="M2341" s="8" t="s">
        <v>27</v>
      </c>
      <c r="N2341" s="8" t="s">
        <v>12518</v>
      </c>
      <c r="O2341" s="8" t="s">
        <v>1018</v>
      </c>
      <c r="P2341" s="8" t="s">
        <v>405</v>
      </c>
      <c r="Q2341" s="12"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2341" s="8" t="s">
        <v>100</v>
      </c>
      <c r="S2341" s="7" t="s">
        <v>28</v>
      </c>
      <c r="T2341" s="6"/>
      <c r="U2341" s="8"/>
    </row>
    <row r="2342" spans="1:34" ht="13.5" customHeight="1">
      <c r="A2342" s="8" t="s">
        <v>12522</v>
      </c>
      <c r="B2342" s="16">
        <v>30</v>
      </c>
      <c r="C2342" s="8" t="s">
        <v>20</v>
      </c>
      <c r="D2342" s="8" t="s">
        <v>30</v>
      </c>
      <c r="F2342" s="17">
        <v>41635</v>
      </c>
      <c r="G2342" s="8" t="s">
        <v>12523</v>
      </c>
      <c r="H2342" s="8" t="s">
        <v>6353</v>
      </c>
      <c r="I2342" s="8" t="s">
        <v>175</v>
      </c>
      <c r="J2342" s="16" t="s">
        <v>12524</v>
      </c>
      <c r="K2342" s="2" t="s">
        <v>3345</v>
      </c>
      <c r="L2342" s="8" t="s">
        <v>3346</v>
      </c>
      <c r="M2342" s="8" t="s">
        <v>27</v>
      </c>
      <c r="N2342" s="8" t="s">
        <v>12525</v>
      </c>
      <c r="O2342" s="8" t="s">
        <v>1018</v>
      </c>
      <c r="P2342" s="8" t="s">
        <v>405</v>
      </c>
      <c r="Q2342" s="12" t="s">
        <v>12526</v>
      </c>
      <c r="R2342" s="8" t="s">
        <v>559</v>
      </c>
      <c r="S2342" s="7" t="s">
        <v>28</v>
      </c>
      <c r="T2342" s="6"/>
      <c r="U2342" s="8"/>
    </row>
    <row r="2343" spans="1:34" ht="13.5" customHeight="1">
      <c r="A2343" s="8" t="s">
        <v>12527</v>
      </c>
      <c r="B2343" s="16">
        <v>49</v>
      </c>
      <c r="C2343" s="8" t="s">
        <v>20</v>
      </c>
      <c r="D2343" s="8" t="s">
        <v>37</v>
      </c>
      <c r="E2343" s="8" t="s">
        <v>12528</v>
      </c>
      <c r="F2343" s="17">
        <v>41635</v>
      </c>
      <c r="G2343" s="8" t="s">
        <v>12529</v>
      </c>
      <c r="H2343" s="8" t="s">
        <v>12530</v>
      </c>
      <c r="I2343" s="8" t="s">
        <v>73</v>
      </c>
      <c r="J2343" s="16" t="s">
        <v>12531</v>
      </c>
      <c r="K2343" s="2" t="s">
        <v>74</v>
      </c>
      <c r="L2343" s="8" t="s">
        <v>12532</v>
      </c>
      <c r="M2343" s="8" t="s">
        <v>27</v>
      </c>
      <c r="N2343" s="8" t="s">
        <v>12533</v>
      </c>
      <c r="O2343" s="8" t="s">
        <v>1018</v>
      </c>
      <c r="P2343" s="8" t="s">
        <v>405</v>
      </c>
      <c r="Q2343" s="12" t="s">
        <v>12534</v>
      </c>
      <c r="R2343" s="8" t="s">
        <v>559</v>
      </c>
      <c r="S2343" s="7" t="s">
        <v>28</v>
      </c>
      <c r="T2343" s="6"/>
      <c r="U2343" s="8"/>
    </row>
    <row r="2344" spans="1:34" ht="13.5" customHeight="1">
      <c r="A2344" s="8" t="s">
        <v>12541</v>
      </c>
      <c r="B2344" s="16">
        <v>19</v>
      </c>
      <c r="C2344" s="8" t="s">
        <v>20</v>
      </c>
      <c r="D2344" s="8" t="s">
        <v>37</v>
      </c>
      <c r="E2344" s="8" t="s">
        <v>12542</v>
      </c>
      <c r="F2344" s="17">
        <v>41634</v>
      </c>
      <c r="G2344" s="8" t="s">
        <v>12543</v>
      </c>
      <c r="H2344" s="8" t="s">
        <v>12283</v>
      </c>
      <c r="I2344" s="8" t="s">
        <v>45</v>
      </c>
      <c r="J2344" s="16" t="s">
        <v>12544</v>
      </c>
      <c r="K2344" s="2" t="s">
        <v>98</v>
      </c>
      <c r="L2344" s="8" t="s">
        <v>12545</v>
      </c>
      <c r="M2344" s="8" t="s">
        <v>27</v>
      </c>
      <c r="N2344" s="8" t="s">
        <v>12546</v>
      </c>
      <c r="O2344" s="8" t="s">
        <v>1018</v>
      </c>
      <c r="P2344" s="8" t="s">
        <v>405</v>
      </c>
      <c r="Q2344" s="12" t="s">
        <v>12547</v>
      </c>
      <c r="R2344" s="8" t="s">
        <v>100</v>
      </c>
      <c r="S2344" s="7" t="s">
        <v>28</v>
      </c>
      <c r="T2344" s="6"/>
      <c r="U2344" s="8"/>
    </row>
    <row r="2345" spans="1:34" ht="13.5" customHeight="1">
      <c r="A2345" s="8" t="s">
        <v>12535</v>
      </c>
      <c r="B2345" s="16">
        <v>44</v>
      </c>
      <c r="C2345" s="8" t="s">
        <v>20</v>
      </c>
      <c r="D2345" s="8" t="s">
        <v>85</v>
      </c>
      <c r="E2345" s="8" t="s">
        <v>12536</v>
      </c>
      <c r="F2345" s="17">
        <v>41634</v>
      </c>
      <c r="G2345" s="8" t="s">
        <v>12537</v>
      </c>
      <c r="H2345" s="8" t="s">
        <v>1861</v>
      </c>
      <c r="I2345" s="8" t="s">
        <v>427</v>
      </c>
      <c r="J2345" s="16" t="s">
        <v>12538</v>
      </c>
      <c r="K2345" s="2" t="s">
        <v>762</v>
      </c>
      <c r="L2345" s="8" t="s">
        <v>586</v>
      </c>
      <c r="M2345" s="8" t="s">
        <v>27</v>
      </c>
      <c r="N2345" s="8" t="s">
        <v>12539</v>
      </c>
      <c r="O2345" s="8" t="s">
        <v>1018</v>
      </c>
      <c r="P2345" s="8" t="s">
        <v>405</v>
      </c>
      <c r="Q2345" s="12" t="s">
        <v>12540</v>
      </c>
      <c r="R2345" s="8" t="s">
        <v>100</v>
      </c>
      <c r="S2345" s="7" t="s">
        <v>28</v>
      </c>
      <c r="T2345" s="6"/>
      <c r="U2345" s="8"/>
    </row>
    <row r="2346" spans="1:34" ht="13.5" customHeight="1">
      <c r="A2346" s="8" t="s">
        <v>12555</v>
      </c>
      <c r="B2346" s="16">
        <v>16</v>
      </c>
      <c r="C2346" s="8" t="s">
        <v>20</v>
      </c>
      <c r="D2346" s="8" t="s">
        <v>37</v>
      </c>
      <c r="E2346" s="8" t="s">
        <v>12556</v>
      </c>
      <c r="F2346" s="17">
        <v>41633</v>
      </c>
      <c r="G2346" s="8" t="s">
        <v>12557</v>
      </c>
      <c r="H2346" s="8" t="s">
        <v>12558</v>
      </c>
      <c r="I2346" s="8" t="s">
        <v>73</v>
      </c>
      <c r="J2346" s="16" t="s">
        <v>12559</v>
      </c>
      <c r="K2346" s="2" t="s">
        <v>74</v>
      </c>
      <c r="L2346" s="8" t="s">
        <v>12560</v>
      </c>
      <c r="M2346" s="8" t="s">
        <v>27</v>
      </c>
      <c r="N2346" s="8" t="s">
        <v>12561</v>
      </c>
      <c r="O2346" s="8" t="s">
        <v>554</v>
      </c>
      <c r="P2346" s="8" t="s">
        <v>405</v>
      </c>
      <c r="Q2346" s="12" t="s">
        <v>12562</v>
      </c>
      <c r="R2346" s="8" t="s">
        <v>100</v>
      </c>
      <c r="S2346" s="7" t="s">
        <v>28</v>
      </c>
      <c r="T2346" s="6"/>
      <c r="U2346" s="8"/>
    </row>
    <row r="2347" spans="1:34" ht="13.5" customHeight="1">
      <c r="A2347" s="8" t="s">
        <v>12548</v>
      </c>
      <c r="B2347" s="16">
        <v>58</v>
      </c>
      <c r="C2347" s="8" t="s">
        <v>20</v>
      </c>
      <c r="D2347" s="8" t="s">
        <v>37</v>
      </c>
      <c r="F2347" s="17">
        <v>41633</v>
      </c>
      <c r="G2347" s="8" t="s">
        <v>12549</v>
      </c>
      <c r="H2347" s="8" t="s">
        <v>12550</v>
      </c>
      <c r="I2347" s="8" t="s">
        <v>45</v>
      </c>
      <c r="J2347" s="16" t="s">
        <v>12551</v>
      </c>
      <c r="K2347" s="2" t="s">
        <v>158</v>
      </c>
      <c r="L2347" s="8" t="s">
        <v>4790</v>
      </c>
      <c r="M2347" s="8" t="s">
        <v>12552</v>
      </c>
      <c r="N2347" s="8" t="s">
        <v>12553</v>
      </c>
      <c r="O2347" s="8" t="s">
        <v>1018</v>
      </c>
      <c r="P2347" s="8" t="s">
        <v>405</v>
      </c>
      <c r="Q2347" s="12" t="s">
        <v>12554</v>
      </c>
      <c r="R2347" s="8" t="s">
        <v>100</v>
      </c>
      <c r="S2347" s="7" t="s">
        <v>18</v>
      </c>
      <c r="T2347" s="6"/>
      <c r="U2347" s="8"/>
    </row>
    <row r="2348" spans="1:34" ht="13.5" customHeight="1">
      <c r="A2348" s="8" t="s">
        <v>12572</v>
      </c>
      <c r="B2348" s="16">
        <v>31</v>
      </c>
      <c r="C2348" s="8" t="s">
        <v>115</v>
      </c>
      <c r="D2348" s="8" t="s">
        <v>30</v>
      </c>
      <c r="F2348" s="17">
        <v>41632</v>
      </c>
      <c r="G2348" s="8" t="s">
        <v>12573</v>
      </c>
      <c r="H2348" s="8" t="s">
        <v>1801</v>
      </c>
      <c r="I2348" s="8" t="s">
        <v>32</v>
      </c>
      <c r="J2348" s="16" t="s">
        <v>9537</v>
      </c>
      <c r="K2348" s="2" t="s">
        <v>1801</v>
      </c>
      <c r="L2348" s="8" t="s">
        <v>12574</v>
      </c>
      <c r="M2348" s="8" t="s">
        <v>383</v>
      </c>
      <c r="N2348" s="8" t="s">
        <v>12575</v>
      </c>
      <c r="O2348" s="8" t="s">
        <v>1018</v>
      </c>
      <c r="P2348" s="8" t="s">
        <v>405</v>
      </c>
      <c r="Q2348" s="12" t="s">
        <v>12576</v>
      </c>
      <c r="R2348" s="8" t="s">
        <v>100</v>
      </c>
      <c r="S2348" s="7" t="s">
        <v>383</v>
      </c>
      <c r="T2348" s="6"/>
      <c r="U2348" s="8"/>
      <c r="Y2348" s="8"/>
      <c r="Z2348" s="8"/>
      <c r="AA2348" s="8"/>
      <c r="AB2348" s="8"/>
      <c r="AC2348" s="8"/>
      <c r="AD2348" s="8"/>
      <c r="AE2348" s="8"/>
      <c r="AF2348" s="8"/>
      <c r="AG2348" s="8"/>
      <c r="AH2348" s="8"/>
    </row>
    <row r="2349" spans="1:34" ht="13.5" customHeight="1">
      <c r="A2349" s="8" t="s">
        <v>12563</v>
      </c>
      <c r="B2349" s="16">
        <v>44</v>
      </c>
      <c r="C2349" s="8" t="s">
        <v>20</v>
      </c>
      <c r="D2349" s="8" t="s">
        <v>48</v>
      </c>
      <c r="E2349" s="8" t="s">
        <v>12564</v>
      </c>
      <c r="F2349" s="17">
        <v>41632</v>
      </c>
      <c r="G2349" s="8" t="s">
        <v>12565</v>
      </c>
      <c r="H2349" s="8" t="s">
        <v>12566</v>
      </c>
      <c r="I2349" s="8" t="s">
        <v>73</v>
      </c>
      <c r="J2349" s="16" t="s">
        <v>12567</v>
      </c>
      <c r="K2349" s="2" t="s">
        <v>12568</v>
      </c>
      <c r="L2349" s="8" t="s">
        <v>12569</v>
      </c>
      <c r="M2349" s="8" t="s">
        <v>27</v>
      </c>
      <c r="N2349" s="8" t="s">
        <v>12570</v>
      </c>
      <c r="O2349" s="8" t="s">
        <v>554</v>
      </c>
      <c r="P2349" s="8" t="s">
        <v>405</v>
      </c>
      <c r="Q2349" s="12" t="s">
        <v>12571</v>
      </c>
      <c r="R2349" s="8" t="s">
        <v>972</v>
      </c>
      <c r="S2349" s="7" t="s">
        <v>28</v>
      </c>
      <c r="T2349" s="6"/>
      <c r="U2349" s="8"/>
    </row>
    <row r="2350" spans="1:34" ht="13.5" customHeight="1">
      <c r="A2350" s="8" t="s">
        <v>12577</v>
      </c>
      <c r="B2350" s="16">
        <v>17</v>
      </c>
      <c r="C2350" s="8" t="s">
        <v>20</v>
      </c>
      <c r="D2350" s="8" t="s">
        <v>30</v>
      </c>
      <c r="F2350" s="17">
        <v>41632</v>
      </c>
      <c r="G2350" s="8" t="s">
        <v>12578</v>
      </c>
      <c r="H2350" s="8" t="s">
        <v>5505</v>
      </c>
      <c r="I2350" s="8" t="s">
        <v>62</v>
      </c>
      <c r="J2350" s="16" t="s">
        <v>12579</v>
      </c>
      <c r="K2350" s="2" t="s">
        <v>5506</v>
      </c>
      <c r="L2350" s="8" t="s">
        <v>12580</v>
      </c>
      <c r="M2350" s="8" t="s">
        <v>27</v>
      </c>
      <c r="N2350" s="8" t="s">
        <v>12581</v>
      </c>
      <c r="O2350" s="8" t="s">
        <v>554</v>
      </c>
      <c r="P2350" s="8" t="s">
        <v>405</v>
      </c>
      <c r="Q2350" s="12" t="s">
        <v>12582</v>
      </c>
      <c r="R2350" s="8" t="s">
        <v>972</v>
      </c>
      <c r="S2350" s="7" t="s">
        <v>383</v>
      </c>
      <c r="T2350" s="6"/>
      <c r="U2350" s="8"/>
    </row>
    <row r="2351" spans="1:34" ht="13.5" customHeight="1">
      <c r="A2351" s="8" t="s">
        <v>12583</v>
      </c>
      <c r="B2351" s="16">
        <v>32</v>
      </c>
      <c r="C2351" s="8" t="s">
        <v>20</v>
      </c>
      <c r="D2351" s="8" t="s">
        <v>37</v>
      </c>
      <c r="E2351" s="8" t="s">
        <v>12584</v>
      </c>
      <c r="F2351" s="17">
        <v>41631</v>
      </c>
      <c r="G2351" s="8" t="s">
        <v>12585</v>
      </c>
      <c r="H2351" s="8" t="s">
        <v>10035</v>
      </c>
      <c r="I2351" s="8" t="s">
        <v>124</v>
      </c>
      <c r="J2351" s="16" t="s">
        <v>10036</v>
      </c>
      <c r="K2351" s="2" t="s">
        <v>2416</v>
      </c>
      <c r="L2351" s="8" t="s">
        <v>2417</v>
      </c>
      <c r="M2351" s="8" t="s">
        <v>27</v>
      </c>
      <c r="N2351" s="8" t="s">
        <v>12586</v>
      </c>
      <c r="O2351" s="8" t="s">
        <v>29</v>
      </c>
      <c r="P2351" s="8" t="s">
        <v>405</v>
      </c>
      <c r="Q2351" s="12" t="s">
        <v>12587</v>
      </c>
      <c r="R2351" s="8" t="s">
        <v>100</v>
      </c>
      <c r="S2351" s="7" t="s">
        <v>18</v>
      </c>
      <c r="T2351" s="6"/>
      <c r="U2351" s="8"/>
    </row>
    <row r="2352" spans="1:34" ht="13.5" customHeight="1">
      <c r="A2352" s="8" t="s">
        <v>12588</v>
      </c>
      <c r="B2352" s="16">
        <v>24</v>
      </c>
      <c r="C2352" s="8" t="s">
        <v>20</v>
      </c>
      <c r="D2352" s="8" t="s">
        <v>37</v>
      </c>
      <c r="E2352" s="8" t="s">
        <v>12589</v>
      </c>
      <c r="F2352" s="17">
        <v>41630</v>
      </c>
      <c r="G2352" s="8" t="s">
        <v>12590</v>
      </c>
      <c r="H2352" s="8" t="s">
        <v>12591</v>
      </c>
      <c r="I2352" s="8" t="s">
        <v>370</v>
      </c>
      <c r="J2352" s="16" t="s">
        <v>12592</v>
      </c>
      <c r="K2352" s="2" t="s">
        <v>834</v>
      </c>
      <c r="L2352" s="8" t="s">
        <v>835</v>
      </c>
      <c r="M2352" s="8" t="s">
        <v>27</v>
      </c>
      <c r="N2352" s="8" t="s">
        <v>12593</v>
      </c>
      <c r="O2352" s="8" t="s">
        <v>554</v>
      </c>
      <c r="P2352" s="8" t="s">
        <v>405</v>
      </c>
      <c r="Q2352" s="12" t="s">
        <v>12594</v>
      </c>
      <c r="R2352" s="8" t="s">
        <v>559</v>
      </c>
      <c r="S2352" s="7" t="s">
        <v>28</v>
      </c>
      <c r="T2352" s="6"/>
      <c r="U2352" s="8"/>
      <c r="V2352" s="8"/>
      <c r="W2352" s="8"/>
      <c r="X2352" s="8"/>
    </row>
    <row r="2353" spans="1:34" ht="13.5" customHeight="1">
      <c r="A2353" s="8" t="s">
        <v>12602</v>
      </c>
      <c r="B2353" s="16">
        <v>22</v>
      </c>
      <c r="C2353" s="8" t="s">
        <v>20</v>
      </c>
      <c r="D2353" s="8" t="s">
        <v>37</v>
      </c>
      <c r="E2353" s="8" t="s">
        <v>12603</v>
      </c>
      <c r="F2353" s="17">
        <v>41629</v>
      </c>
      <c r="G2353" s="8" t="s">
        <v>12604</v>
      </c>
      <c r="H2353" s="8" t="s">
        <v>12605</v>
      </c>
      <c r="I2353" s="8" t="s">
        <v>408</v>
      </c>
      <c r="J2353" s="16" t="s">
        <v>12606</v>
      </c>
      <c r="K2353" s="2" t="s">
        <v>1507</v>
      </c>
      <c r="L2353" s="8" t="s">
        <v>12607</v>
      </c>
      <c r="M2353" s="8" t="s">
        <v>27</v>
      </c>
      <c r="N2353" s="8" t="s">
        <v>12608</v>
      </c>
      <c r="O2353" s="8" t="s">
        <v>554</v>
      </c>
      <c r="P2353" s="8" t="s">
        <v>405</v>
      </c>
      <c r="Q2353" s="12" t="s">
        <v>12609</v>
      </c>
      <c r="R2353" s="8" t="s">
        <v>559</v>
      </c>
      <c r="S2353" s="7" t="s">
        <v>28</v>
      </c>
      <c r="T2353" s="6"/>
      <c r="U2353" s="8"/>
    </row>
    <row r="2354" spans="1:34" ht="13.5" customHeight="1">
      <c r="A2354" s="8" t="s">
        <v>12595</v>
      </c>
      <c r="B2354" s="16">
        <v>18</v>
      </c>
      <c r="C2354" s="8" t="s">
        <v>20</v>
      </c>
      <c r="D2354" s="8" t="s">
        <v>141</v>
      </c>
      <c r="E2354" s="8" t="s">
        <v>12596</v>
      </c>
      <c r="F2354" s="17">
        <v>41629</v>
      </c>
      <c r="G2354" s="8" t="s">
        <v>12597</v>
      </c>
      <c r="H2354" s="8" t="s">
        <v>6445</v>
      </c>
      <c r="I2354" s="8" t="s">
        <v>399</v>
      </c>
      <c r="J2354" s="16" t="s">
        <v>12598</v>
      </c>
      <c r="K2354" s="2" t="s">
        <v>12599</v>
      </c>
      <c r="L2354" s="8" t="s">
        <v>12600</v>
      </c>
      <c r="M2354" s="8" t="s">
        <v>27</v>
      </c>
      <c r="N2354" s="8" t="s">
        <v>12601</v>
      </c>
      <c r="O2354" s="8" t="s">
        <v>554</v>
      </c>
      <c r="P2354" s="8" t="s">
        <v>405</v>
      </c>
      <c r="Q2354" s="12"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2354" s="8" t="s">
        <v>559</v>
      </c>
      <c r="S2354" s="7" t="s">
        <v>28</v>
      </c>
      <c r="T2354" s="6"/>
      <c r="U2354" s="8"/>
    </row>
    <row r="2355" spans="1:34" ht="13.5" customHeight="1">
      <c r="A2355" s="8" t="s">
        <v>12616</v>
      </c>
      <c r="B2355" s="16">
        <v>46</v>
      </c>
      <c r="C2355" s="8" t="s">
        <v>20</v>
      </c>
      <c r="D2355" s="8" t="s">
        <v>30</v>
      </c>
      <c r="F2355" s="17">
        <v>41628</v>
      </c>
      <c r="G2355" s="8" t="s">
        <v>12617</v>
      </c>
      <c r="H2355" s="8" t="s">
        <v>579</v>
      </c>
      <c r="I2355" s="8" t="s">
        <v>73</v>
      </c>
      <c r="J2355" s="16" t="s">
        <v>12618</v>
      </c>
      <c r="K2355" s="2" t="s">
        <v>580</v>
      </c>
      <c r="L2355" s="8" t="s">
        <v>581</v>
      </c>
      <c r="M2355" s="8" t="s">
        <v>27</v>
      </c>
      <c r="N2355" s="8" t="s">
        <v>12619</v>
      </c>
      <c r="O2355" s="8" t="s">
        <v>554</v>
      </c>
      <c r="P2355" s="8" t="s">
        <v>405</v>
      </c>
      <c r="Q2355" s="12" t="str">
        <f>HYPERLINK("http://www.kens5.com/story/local/2014/09/26/10621720/","http://www.kens5.com/story/local/2014/09/26/10621720/")</f>
        <v>http://www.kens5.com/story/local/2014/09/26/10621720/</v>
      </c>
      <c r="R2355" s="8" t="s">
        <v>559</v>
      </c>
      <c r="S2355" s="7" t="s">
        <v>28</v>
      </c>
      <c r="T2355" s="6"/>
      <c r="U2355" s="8"/>
    </row>
    <row r="2356" spans="1:34" ht="13.5" customHeight="1">
      <c r="A2356" s="8" t="s">
        <v>12610</v>
      </c>
      <c r="B2356" s="16">
        <v>49</v>
      </c>
      <c r="C2356" s="8" t="s">
        <v>115</v>
      </c>
      <c r="D2356" s="8" t="s">
        <v>85</v>
      </c>
      <c r="E2356" s="8" t="s">
        <v>12611</v>
      </c>
      <c r="F2356" s="17">
        <v>41628</v>
      </c>
      <c r="G2356" s="8" t="s">
        <v>12612</v>
      </c>
      <c r="H2356" s="8" t="s">
        <v>255</v>
      </c>
      <c r="I2356" s="8" t="s">
        <v>32</v>
      </c>
      <c r="J2356" s="16" t="s">
        <v>5769</v>
      </c>
      <c r="K2356" s="2" t="s">
        <v>255</v>
      </c>
      <c r="L2356" s="8" t="s">
        <v>12613</v>
      </c>
      <c r="M2356" s="8" t="s">
        <v>27</v>
      </c>
      <c r="N2356" s="8" t="s">
        <v>12614</v>
      </c>
      <c r="O2356" s="8" t="s">
        <v>29</v>
      </c>
      <c r="P2356" s="8" t="s">
        <v>405</v>
      </c>
      <c r="Q2356" s="12" t="s">
        <v>12615</v>
      </c>
      <c r="R2356" s="8" t="s">
        <v>100</v>
      </c>
      <c r="S2356" s="7" t="s">
        <v>383</v>
      </c>
      <c r="T2356" s="6"/>
      <c r="U2356" s="8"/>
      <c r="Y2356" s="8"/>
      <c r="Z2356" s="8"/>
      <c r="AA2356" s="8"/>
      <c r="AB2356" s="8"/>
      <c r="AC2356" s="8"/>
      <c r="AD2356" s="8"/>
      <c r="AE2356" s="8"/>
      <c r="AF2356" s="8"/>
      <c r="AG2356" s="8"/>
      <c r="AH2356" s="8"/>
    </row>
    <row r="2357" spans="1:34" ht="13.5" customHeight="1">
      <c r="A2357" s="8" t="s">
        <v>12620</v>
      </c>
      <c r="B2357" s="16">
        <v>33</v>
      </c>
      <c r="C2357" s="8" t="s">
        <v>20</v>
      </c>
      <c r="D2357" s="8" t="s">
        <v>85</v>
      </c>
      <c r="E2357" s="8" t="s">
        <v>12621</v>
      </c>
      <c r="F2357" s="17">
        <v>41627</v>
      </c>
      <c r="G2357" s="8" t="s">
        <v>12622</v>
      </c>
      <c r="H2357" s="8" t="s">
        <v>12623</v>
      </c>
      <c r="I2357" s="8" t="s">
        <v>94</v>
      </c>
      <c r="J2357" s="16" t="s">
        <v>12624</v>
      </c>
      <c r="K2357" s="2" t="s">
        <v>12625</v>
      </c>
      <c r="L2357" s="8" t="s">
        <v>12626</v>
      </c>
      <c r="M2357" s="8" t="s">
        <v>27</v>
      </c>
      <c r="N2357" s="8" t="s">
        <v>12627</v>
      </c>
      <c r="O2357" s="8" t="s">
        <v>29</v>
      </c>
      <c r="P2357" s="8" t="s">
        <v>405</v>
      </c>
      <c r="Q2357" s="12" t="str">
        <f>HYPERLINK("http://blog.al.com/montgomery/2013/12/phenix_city_police_fatally_sho.html","http://blog.al.com/montgomery/2013/12/phenix_city_police_fatally_sho.html")</f>
        <v>http://blog.al.com/montgomery/2013/12/phenix_city_police_fatally_sho.html</v>
      </c>
      <c r="R2357" s="8" t="s">
        <v>29</v>
      </c>
      <c r="S2357" s="7" t="s">
        <v>28</v>
      </c>
      <c r="T2357" s="6"/>
      <c r="U2357" s="8"/>
    </row>
    <row r="2358" spans="1:34" ht="13.5" customHeight="1">
      <c r="A2358" s="8" t="s">
        <v>12628</v>
      </c>
      <c r="B2358" s="16">
        <v>49</v>
      </c>
      <c r="C2358" s="8" t="s">
        <v>20</v>
      </c>
      <c r="D2358" s="8" t="s">
        <v>37</v>
      </c>
      <c r="E2358" s="8" t="s">
        <v>12629</v>
      </c>
      <c r="F2358" s="17">
        <v>41626</v>
      </c>
      <c r="G2358" s="8" t="s">
        <v>12630</v>
      </c>
      <c r="H2358" s="8" t="s">
        <v>219</v>
      </c>
      <c r="I2358" s="8" t="s">
        <v>220</v>
      </c>
      <c r="J2358" s="16" t="s">
        <v>12631</v>
      </c>
      <c r="K2358" s="2" t="s">
        <v>424</v>
      </c>
      <c r="L2358" s="8" t="s">
        <v>221</v>
      </c>
      <c r="M2358" s="8" t="s">
        <v>27</v>
      </c>
      <c r="N2358" s="8" t="s">
        <v>12632</v>
      </c>
      <c r="O2358" s="8" t="s">
        <v>1018</v>
      </c>
      <c r="P2358" s="8" t="s">
        <v>405</v>
      </c>
      <c r="Q2358" s="12"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2358" s="8" t="s">
        <v>972</v>
      </c>
      <c r="S2358" s="7" t="s">
        <v>28</v>
      </c>
      <c r="T2358" s="6"/>
      <c r="U2358" s="8"/>
    </row>
    <row r="2359" spans="1:34" ht="13.5" customHeight="1">
      <c r="A2359" s="8" t="s">
        <v>12633</v>
      </c>
      <c r="B2359" s="16">
        <v>22</v>
      </c>
      <c r="C2359" s="8" t="s">
        <v>20</v>
      </c>
      <c r="D2359" s="8" t="s">
        <v>85</v>
      </c>
      <c r="E2359" s="8" t="s">
        <v>12634</v>
      </c>
      <c r="F2359" s="17">
        <v>41625</v>
      </c>
      <c r="H2359" s="8" t="s">
        <v>12635</v>
      </c>
      <c r="I2359" s="8" t="s">
        <v>62</v>
      </c>
      <c r="K2359" s="2" t="s">
        <v>163</v>
      </c>
      <c r="L2359" s="8" t="s">
        <v>164</v>
      </c>
      <c r="M2359" s="8" t="s">
        <v>383</v>
      </c>
      <c r="N2359" s="8" t="s">
        <v>12636</v>
      </c>
      <c r="O2359" s="8" t="s">
        <v>1018</v>
      </c>
      <c r="P2359" s="8" t="s">
        <v>405</v>
      </c>
      <c r="Q2359" s="12" t="s">
        <v>12637</v>
      </c>
      <c r="R2359" s="8" t="s">
        <v>100</v>
      </c>
      <c r="S2359" s="7" t="s">
        <v>383</v>
      </c>
      <c r="T2359" s="6"/>
      <c r="U2359" s="8"/>
    </row>
    <row r="2360" spans="1:34" ht="13.5" customHeight="1">
      <c r="A2360" s="8" t="s">
        <v>12646</v>
      </c>
      <c r="B2360" s="16">
        <v>63</v>
      </c>
      <c r="C2360" s="8" t="s">
        <v>20</v>
      </c>
      <c r="D2360" s="8" t="s">
        <v>37</v>
      </c>
      <c r="E2360" s="8" t="s">
        <v>12647</v>
      </c>
      <c r="F2360" s="17">
        <v>41624</v>
      </c>
      <c r="G2360" s="8" t="s">
        <v>12648</v>
      </c>
      <c r="H2360" s="8" t="s">
        <v>441</v>
      </c>
      <c r="I2360" s="8" t="s">
        <v>442</v>
      </c>
      <c r="J2360" s="16" t="s">
        <v>4112</v>
      </c>
      <c r="K2360" s="2" t="s">
        <v>4113</v>
      </c>
      <c r="L2360" s="8" t="s">
        <v>4114</v>
      </c>
      <c r="M2360" s="8" t="s">
        <v>27</v>
      </c>
      <c r="N2360" s="8" t="s">
        <v>12649</v>
      </c>
      <c r="O2360" s="8" t="s">
        <v>554</v>
      </c>
      <c r="P2360" s="8" t="s">
        <v>405</v>
      </c>
      <c r="Q2360" s="12" t="s">
        <v>12650</v>
      </c>
      <c r="R2360" s="8" t="s">
        <v>100</v>
      </c>
      <c r="S2360" s="7" t="s">
        <v>28</v>
      </c>
      <c r="T2360" s="6"/>
      <c r="U2360" s="8"/>
      <c r="Y2360" s="8"/>
      <c r="Z2360" s="8"/>
      <c r="AA2360" s="8"/>
      <c r="AB2360" s="8"/>
      <c r="AC2360" s="8"/>
      <c r="AD2360" s="8"/>
      <c r="AE2360" s="8"/>
      <c r="AF2360" s="8"/>
      <c r="AG2360" s="8"/>
      <c r="AH2360" s="8"/>
    </row>
    <row r="2361" spans="1:34" ht="13.5" customHeight="1">
      <c r="A2361" s="8" t="s">
        <v>12651</v>
      </c>
      <c r="B2361" s="16">
        <v>63</v>
      </c>
      <c r="C2361" s="8" t="s">
        <v>20</v>
      </c>
      <c r="D2361" s="8" t="s">
        <v>37</v>
      </c>
      <c r="E2361" s="8" t="s">
        <v>12652</v>
      </c>
      <c r="F2361" s="17">
        <v>41624</v>
      </c>
      <c r="G2361" s="8" t="s">
        <v>12653</v>
      </c>
      <c r="H2361" s="8" t="s">
        <v>3360</v>
      </c>
      <c r="I2361" s="8" t="s">
        <v>124</v>
      </c>
      <c r="J2361" s="16" t="s">
        <v>11484</v>
      </c>
      <c r="K2361" s="2" t="s">
        <v>639</v>
      </c>
      <c r="L2361" s="8" t="s">
        <v>15414</v>
      </c>
      <c r="M2361" s="8" t="s">
        <v>383</v>
      </c>
      <c r="N2361" s="8" t="s">
        <v>12654</v>
      </c>
      <c r="O2361" s="8" t="s">
        <v>1018</v>
      </c>
      <c r="P2361" s="8" t="s">
        <v>405</v>
      </c>
      <c r="Q2361" s="12" t="s">
        <v>12655</v>
      </c>
      <c r="R2361" s="8" t="s">
        <v>100</v>
      </c>
      <c r="S2361" s="7" t="s">
        <v>18</v>
      </c>
      <c r="T2361" s="6"/>
      <c r="U2361" s="8"/>
    </row>
    <row r="2362" spans="1:34" ht="13.5" customHeight="1">
      <c r="A2362" s="8" t="s">
        <v>12638</v>
      </c>
      <c r="B2362" s="16">
        <v>29</v>
      </c>
      <c r="C2362" s="8" t="s">
        <v>20</v>
      </c>
      <c r="D2362" s="8" t="s">
        <v>37</v>
      </c>
      <c r="E2362" s="8" t="s">
        <v>12639</v>
      </c>
      <c r="F2362" s="17">
        <v>41624</v>
      </c>
      <c r="G2362" s="8" t="s">
        <v>12640</v>
      </c>
      <c r="H2362" s="8" t="s">
        <v>12641</v>
      </c>
      <c r="I2362" s="8" t="s">
        <v>44</v>
      </c>
      <c r="J2362" s="16" t="s">
        <v>12642</v>
      </c>
      <c r="K2362" s="2" t="s">
        <v>88</v>
      </c>
      <c r="L2362" s="8" t="s">
        <v>12643</v>
      </c>
      <c r="M2362" s="8" t="s">
        <v>27</v>
      </c>
      <c r="N2362" s="8" t="s">
        <v>12644</v>
      </c>
      <c r="O2362" s="8" t="s">
        <v>1018</v>
      </c>
      <c r="P2362" s="8" t="s">
        <v>405</v>
      </c>
      <c r="Q2362" s="12" t="s">
        <v>12645</v>
      </c>
      <c r="R2362" s="8" t="s">
        <v>100</v>
      </c>
      <c r="S2362" s="7" t="s">
        <v>28</v>
      </c>
      <c r="T2362" s="6"/>
      <c r="U2362" s="8"/>
    </row>
    <row r="2363" spans="1:34" ht="13.5" customHeight="1">
      <c r="A2363" s="8" t="s">
        <v>12683</v>
      </c>
      <c r="B2363" s="16">
        <v>35</v>
      </c>
      <c r="C2363" s="8" t="s">
        <v>20</v>
      </c>
      <c r="D2363" s="8" t="s">
        <v>30</v>
      </c>
      <c r="F2363" s="17">
        <v>41622</v>
      </c>
      <c r="G2363" s="8" t="s">
        <v>12658</v>
      </c>
      <c r="H2363" s="8" t="s">
        <v>5259</v>
      </c>
      <c r="I2363" s="8" t="s">
        <v>45</v>
      </c>
      <c r="J2363" s="16" t="s">
        <v>12659</v>
      </c>
      <c r="K2363" s="2" t="s">
        <v>98</v>
      </c>
      <c r="L2363" s="8" t="s">
        <v>5043</v>
      </c>
      <c r="M2363" s="8" t="s">
        <v>383</v>
      </c>
      <c r="N2363" s="8" t="s">
        <v>12660</v>
      </c>
      <c r="O2363" s="8" t="s">
        <v>1018</v>
      </c>
      <c r="P2363" s="8" t="s">
        <v>405</v>
      </c>
      <c r="Q2363" s="12" t="s">
        <v>12661</v>
      </c>
      <c r="R2363" s="8" t="s">
        <v>100</v>
      </c>
      <c r="S2363" s="7" t="s">
        <v>383</v>
      </c>
      <c r="T2363" s="6"/>
      <c r="U2363" s="8"/>
    </row>
    <row r="2364" spans="1:34" ht="13.5" customHeight="1">
      <c r="A2364" s="8" t="s">
        <v>12675</v>
      </c>
      <c r="B2364" s="16">
        <v>49</v>
      </c>
      <c r="C2364" s="8" t="s">
        <v>20</v>
      </c>
      <c r="D2364" s="8" t="s">
        <v>48</v>
      </c>
      <c r="E2364" s="8" t="s">
        <v>12676</v>
      </c>
      <c r="F2364" s="17">
        <v>41622</v>
      </c>
      <c r="G2364" s="8" t="s">
        <v>12677</v>
      </c>
      <c r="H2364" s="8" t="s">
        <v>2303</v>
      </c>
      <c r="I2364" s="8" t="s">
        <v>212</v>
      </c>
      <c r="J2364" s="16" t="s">
        <v>12678</v>
      </c>
      <c r="K2364" s="2" t="s">
        <v>1442</v>
      </c>
      <c r="L2364" s="8" t="s">
        <v>12679</v>
      </c>
      <c r="M2364" s="8" t="s">
        <v>27</v>
      </c>
      <c r="N2364" s="8" t="s">
        <v>12680</v>
      </c>
      <c r="O2364" s="8" t="s">
        <v>554</v>
      </c>
      <c r="P2364" s="8" t="s">
        <v>405</v>
      </c>
      <c r="Q2364" s="12" t="s">
        <v>12681</v>
      </c>
      <c r="R2364" s="8" t="s">
        <v>972</v>
      </c>
      <c r="S2364" s="7" t="s">
        <v>28</v>
      </c>
      <c r="T2364" s="6"/>
      <c r="U2364" s="8"/>
    </row>
    <row r="2365" spans="1:34" ht="13.5" customHeight="1">
      <c r="A2365" s="8" t="s">
        <v>3288</v>
      </c>
      <c r="D2365" s="8" t="s">
        <v>30</v>
      </c>
      <c r="F2365" s="17">
        <v>41622</v>
      </c>
      <c r="G2365" s="8" t="s">
        <v>12658</v>
      </c>
      <c r="H2365" s="8" t="s">
        <v>5259</v>
      </c>
      <c r="I2365" s="8" t="s">
        <v>45</v>
      </c>
      <c r="J2365" s="16" t="s">
        <v>12659</v>
      </c>
      <c r="K2365" s="2" t="s">
        <v>98</v>
      </c>
      <c r="L2365" s="8" t="s">
        <v>5043</v>
      </c>
      <c r="M2365" s="8" t="s">
        <v>383</v>
      </c>
      <c r="N2365" s="8" t="s">
        <v>12660</v>
      </c>
      <c r="O2365" s="8" t="s">
        <v>1018</v>
      </c>
      <c r="P2365" s="8" t="s">
        <v>405</v>
      </c>
      <c r="Q2365" s="12" t="s">
        <v>12661</v>
      </c>
      <c r="R2365" s="8" t="s">
        <v>100</v>
      </c>
      <c r="S2365" s="7" t="s">
        <v>383</v>
      </c>
      <c r="T2365" s="6"/>
      <c r="U2365" s="8"/>
    </row>
    <row r="2366" spans="1:34" ht="13.5" customHeight="1">
      <c r="A2366" s="8" t="s">
        <v>12674</v>
      </c>
      <c r="B2366" s="16">
        <v>31</v>
      </c>
      <c r="C2366" s="8" t="s">
        <v>20</v>
      </c>
      <c r="D2366" s="8" t="s">
        <v>48</v>
      </c>
      <c r="E2366" s="8" t="s">
        <v>12669</v>
      </c>
      <c r="F2366" s="17">
        <v>41622</v>
      </c>
      <c r="G2366" s="8" t="s">
        <v>12670</v>
      </c>
      <c r="H2366" s="8" t="s">
        <v>6310</v>
      </c>
      <c r="I2366" s="8" t="s">
        <v>45</v>
      </c>
      <c r="J2366" s="16" t="s">
        <v>12671</v>
      </c>
      <c r="K2366" s="2" t="s">
        <v>98</v>
      </c>
      <c r="L2366" s="8" t="s">
        <v>5043</v>
      </c>
      <c r="M2366" s="8" t="s">
        <v>383</v>
      </c>
      <c r="N2366" s="8" t="s">
        <v>12672</v>
      </c>
      <c r="O2366" s="8" t="s">
        <v>1018</v>
      </c>
      <c r="P2366" s="8" t="s">
        <v>405</v>
      </c>
      <c r="Q2366" s="12" t="s">
        <v>12673</v>
      </c>
      <c r="R2366" s="8" t="s">
        <v>100</v>
      </c>
      <c r="S2366" s="7" t="s">
        <v>18</v>
      </c>
      <c r="T2366" s="6"/>
      <c r="U2366" s="8"/>
    </row>
    <row r="2367" spans="1:34" ht="13.5" customHeight="1">
      <c r="A2367" s="8" t="s">
        <v>12684</v>
      </c>
      <c r="B2367" s="16">
        <v>58</v>
      </c>
      <c r="C2367" s="8" t="s">
        <v>20</v>
      </c>
      <c r="D2367" s="8" t="s">
        <v>30</v>
      </c>
      <c r="F2367" s="17">
        <v>41622</v>
      </c>
      <c r="G2367" s="8" t="s">
        <v>12685</v>
      </c>
      <c r="H2367" s="8" t="s">
        <v>12686</v>
      </c>
      <c r="I2367" s="8" t="s">
        <v>228</v>
      </c>
      <c r="J2367" s="16" t="s">
        <v>12687</v>
      </c>
      <c r="K2367" s="2" t="s">
        <v>2007</v>
      </c>
      <c r="L2367" s="8" t="s">
        <v>12688</v>
      </c>
      <c r="M2367" s="8" t="s">
        <v>27</v>
      </c>
      <c r="N2367" s="8" t="s">
        <v>12689</v>
      </c>
      <c r="O2367" s="8" t="s">
        <v>1018</v>
      </c>
      <c r="P2367" s="8" t="s">
        <v>405</v>
      </c>
      <c r="Q2367" s="12" t="s">
        <v>12690</v>
      </c>
      <c r="R2367" s="8" t="s">
        <v>29</v>
      </c>
      <c r="S2367" s="7" t="s">
        <v>28</v>
      </c>
      <c r="T2367" s="6"/>
      <c r="U2367" s="8"/>
    </row>
    <row r="2368" spans="1:34" ht="13.5" customHeight="1">
      <c r="A2368" s="8" t="s">
        <v>12668</v>
      </c>
      <c r="B2368" s="16">
        <v>20</v>
      </c>
      <c r="C2368" s="8" t="s">
        <v>115</v>
      </c>
      <c r="D2368" s="8" t="s">
        <v>48</v>
      </c>
      <c r="E2368" s="8" t="s">
        <v>12669</v>
      </c>
      <c r="F2368" s="17">
        <v>41622</v>
      </c>
      <c r="G2368" s="8" t="s">
        <v>12670</v>
      </c>
      <c r="H2368" s="8" t="s">
        <v>6310</v>
      </c>
      <c r="I2368" s="8" t="s">
        <v>45</v>
      </c>
      <c r="J2368" s="16" t="s">
        <v>12671</v>
      </c>
      <c r="K2368" s="2" t="s">
        <v>98</v>
      </c>
      <c r="L2368" s="8" t="s">
        <v>5043</v>
      </c>
      <c r="M2368" s="8" t="s">
        <v>383</v>
      </c>
      <c r="N2368" s="8" t="s">
        <v>12672</v>
      </c>
      <c r="O2368" s="8" t="s">
        <v>1018</v>
      </c>
      <c r="P2368" s="8" t="s">
        <v>405</v>
      </c>
      <c r="Q2368" s="12" t="s">
        <v>12673</v>
      </c>
      <c r="R2368" s="8" t="s">
        <v>100</v>
      </c>
      <c r="S2368" s="7" t="s">
        <v>18</v>
      </c>
      <c r="T2368" s="6"/>
      <c r="U2368" s="8"/>
    </row>
    <row r="2369" spans="1:34" ht="13.5" customHeight="1">
      <c r="A2369" s="8" t="s">
        <v>12656</v>
      </c>
      <c r="B2369" s="16">
        <v>20</v>
      </c>
      <c r="C2369" s="8" t="s">
        <v>115</v>
      </c>
      <c r="D2369" s="8" t="s">
        <v>85</v>
      </c>
      <c r="E2369" s="8" t="s">
        <v>12657</v>
      </c>
      <c r="F2369" s="17">
        <v>41622</v>
      </c>
      <c r="G2369" s="8" t="s">
        <v>12658</v>
      </c>
      <c r="H2369" s="8" t="s">
        <v>5259</v>
      </c>
      <c r="I2369" s="8" t="s">
        <v>45</v>
      </c>
      <c r="J2369" s="16" t="s">
        <v>12659</v>
      </c>
      <c r="K2369" s="2" t="s">
        <v>98</v>
      </c>
      <c r="L2369" s="8" t="s">
        <v>5043</v>
      </c>
      <c r="M2369" s="8" t="s">
        <v>383</v>
      </c>
      <c r="N2369" s="8" t="s">
        <v>12660</v>
      </c>
      <c r="O2369" s="8" t="s">
        <v>1018</v>
      </c>
      <c r="P2369" s="8" t="s">
        <v>405</v>
      </c>
      <c r="Q2369" s="12" t="s">
        <v>12661</v>
      </c>
      <c r="R2369" s="8" t="s">
        <v>100</v>
      </c>
      <c r="S2369" s="7" t="s">
        <v>383</v>
      </c>
      <c r="T2369" s="6"/>
      <c r="U2369" s="8"/>
    </row>
    <row r="2370" spans="1:34" ht="13.5" customHeight="1">
      <c r="A2370" s="8" t="s">
        <v>12682</v>
      </c>
      <c r="B2370" s="16">
        <v>30</v>
      </c>
      <c r="C2370" s="8" t="s">
        <v>115</v>
      </c>
      <c r="D2370" s="8" t="s">
        <v>30</v>
      </c>
      <c r="F2370" s="17">
        <v>41622</v>
      </c>
      <c r="G2370" s="8" t="s">
        <v>12658</v>
      </c>
      <c r="H2370" s="8" t="s">
        <v>5259</v>
      </c>
      <c r="I2370" s="8" t="s">
        <v>45</v>
      </c>
      <c r="J2370" s="16" t="s">
        <v>12659</v>
      </c>
      <c r="K2370" s="2" t="s">
        <v>98</v>
      </c>
      <c r="L2370" s="8" t="s">
        <v>5043</v>
      </c>
      <c r="M2370" s="8" t="s">
        <v>383</v>
      </c>
      <c r="N2370" s="8" t="s">
        <v>12660</v>
      </c>
      <c r="O2370" s="8" t="s">
        <v>1018</v>
      </c>
      <c r="P2370" s="8" t="s">
        <v>405</v>
      </c>
      <c r="Q2370" s="12" t="s">
        <v>12661</v>
      </c>
      <c r="R2370" s="8" t="s">
        <v>100</v>
      </c>
      <c r="S2370" s="7" t="s">
        <v>383</v>
      </c>
      <c r="T2370" s="6"/>
      <c r="U2370" s="8"/>
    </row>
    <row r="2371" spans="1:34" ht="13.5" customHeight="1">
      <c r="A2371" s="8" t="s">
        <v>12662</v>
      </c>
      <c r="B2371" s="16">
        <v>43</v>
      </c>
      <c r="C2371" s="8" t="s">
        <v>20</v>
      </c>
      <c r="D2371" s="8" t="s">
        <v>48</v>
      </c>
      <c r="F2371" s="17">
        <v>41622</v>
      </c>
      <c r="G2371" s="8" t="s">
        <v>12663</v>
      </c>
      <c r="H2371" s="8" t="s">
        <v>12664</v>
      </c>
      <c r="I2371" s="8" t="s">
        <v>878</v>
      </c>
      <c r="J2371" s="16" t="s">
        <v>12665</v>
      </c>
      <c r="K2371" s="2" t="s">
        <v>2388</v>
      </c>
      <c r="L2371" s="8" t="s">
        <v>3626</v>
      </c>
      <c r="M2371" s="8" t="s">
        <v>27</v>
      </c>
      <c r="N2371" s="8" t="s">
        <v>12666</v>
      </c>
      <c r="O2371" s="8" t="s">
        <v>1018</v>
      </c>
      <c r="P2371" s="8" t="s">
        <v>405</v>
      </c>
      <c r="Q2371" s="12" t="s">
        <v>12667</v>
      </c>
      <c r="R2371" s="8" t="s">
        <v>559</v>
      </c>
      <c r="S2371" s="7" t="s">
        <v>28</v>
      </c>
      <c r="T2371" s="6"/>
      <c r="U2371" s="8"/>
    </row>
    <row r="2372" spans="1:34" ht="13.5" customHeight="1">
      <c r="A2372" s="8" t="s">
        <v>12715</v>
      </c>
      <c r="B2372" s="16">
        <v>51</v>
      </c>
      <c r="C2372" s="8" t="s">
        <v>20</v>
      </c>
      <c r="D2372" s="8" t="s">
        <v>37</v>
      </c>
      <c r="E2372" s="8" t="s">
        <v>12716</v>
      </c>
      <c r="F2372" s="17">
        <v>41621</v>
      </c>
      <c r="G2372" s="8" t="s">
        <v>12717</v>
      </c>
      <c r="H2372" s="8" t="s">
        <v>98</v>
      </c>
      <c r="I2372" s="8" t="s">
        <v>45</v>
      </c>
      <c r="J2372" s="16" t="s">
        <v>12718</v>
      </c>
      <c r="K2372" s="2" t="s">
        <v>98</v>
      </c>
      <c r="L2372" s="8" t="s">
        <v>99</v>
      </c>
      <c r="M2372" s="8" t="s">
        <v>27</v>
      </c>
      <c r="N2372" s="8" t="s">
        <v>12719</v>
      </c>
      <c r="O2372" s="8" t="s">
        <v>12720</v>
      </c>
      <c r="P2372" s="8" t="s">
        <v>405</v>
      </c>
      <c r="Q2372" s="12" t="s">
        <v>12721</v>
      </c>
      <c r="R2372" s="8" t="s">
        <v>559</v>
      </c>
      <c r="S2372" s="7" t="s">
        <v>18</v>
      </c>
      <c r="T2372" s="6"/>
      <c r="U2372" s="8"/>
    </row>
    <row r="2373" spans="1:34" ht="13.5" customHeight="1">
      <c r="A2373" s="8" t="s">
        <v>12691</v>
      </c>
      <c r="B2373" s="16">
        <v>41</v>
      </c>
      <c r="C2373" s="8" t="s">
        <v>20</v>
      </c>
      <c r="D2373" s="8" t="s">
        <v>37</v>
      </c>
      <c r="E2373" s="8" t="s">
        <v>12692</v>
      </c>
      <c r="F2373" s="17">
        <v>41621</v>
      </c>
      <c r="G2373" s="8" t="s">
        <v>12693</v>
      </c>
      <c r="H2373" s="8" t="s">
        <v>12694</v>
      </c>
      <c r="I2373" s="8" t="s">
        <v>44</v>
      </c>
      <c r="J2373" s="16" t="s">
        <v>12695</v>
      </c>
      <c r="K2373" s="2" t="s">
        <v>88</v>
      </c>
      <c r="L2373" s="8" t="s">
        <v>12696</v>
      </c>
      <c r="M2373" s="8" t="s">
        <v>27</v>
      </c>
      <c r="N2373" s="8" t="s">
        <v>12697</v>
      </c>
      <c r="O2373" s="8" t="s">
        <v>1018</v>
      </c>
      <c r="P2373" s="8" t="s">
        <v>405</v>
      </c>
      <c r="Q2373" s="12" t="s">
        <v>12698</v>
      </c>
      <c r="R2373" s="8" t="s">
        <v>29</v>
      </c>
      <c r="S2373" s="7" t="s">
        <v>28</v>
      </c>
      <c r="T2373" s="6"/>
      <c r="U2373" s="8"/>
      <c r="Y2373" s="8"/>
      <c r="Z2373" s="8"/>
      <c r="AA2373" s="8"/>
      <c r="AB2373" s="8"/>
      <c r="AC2373" s="8"/>
      <c r="AD2373" s="8"/>
      <c r="AE2373" s="8"/>
      <c r="AF2373" s="8"/>
      <c r="AG2373" s="8"/>
      <c r="AH2373" s="8"/>
    </row>
    <row r="2374" spans="1:34" ht="13.5" customHeight="1">
      <c r="A2374" s="8" t="s">
        <v>12707</v>
      </c>
      <c r="B2374" s="16">
        <v>43</v>
      </c>
      <c r="C2374" s="8" t="s">
        <v>20</v>
      </c>
      <c r="D2374" s="8" t="s">
        <v>37</v>
      </c>
      <c r="E2374" s="8" t="s">
        <v>12708</v>
      </c>
      <c r="F2374" s="17">
        <v>41621</v>
      </c>
      <c r="G2374" s="8" t="s">
        <v>12709</v>
      </c>
      <c r="H2374" s="8" t="s">
        <v>12710</v>
      </c>
      <c r="I2374" s="8" t="s">
        <v>41</v>
      </c>
      <c r="J2374" s="16" t="s">
        <v>12711</v>
      </c>
      <c r="K2374" s="2" t="s">
        <v>857</v>
      </c>
      <c r="L2374" s="8" t="s">
        <v>12712</v>
      </c>
      <c r="M2374" s="8" t="s">
        <v>27</v>
      </c>
      <c r="N2374" s="8" t="s">
        <v>12713</v>
      </c>
      <c r="O2374" s="8" t="s">
        <v>1018</v>
      </c>
      <c r="P2374" s="8" t="s">
        <v>405</v>
      </c>
      <c r="Q2374" s="12" t="s">
        <v>12714</v>
      </c>
      <c r="R2374" s="8" t="s">
        <v>29</v>
      </c>
      <c r="S2374" s="7" t="s">
        <v>28</v>
      </c>
      <c r="T2374" s="6"/>
      <c r="U2374" s="8"/>
    </row>
    <row r="2375" spans="1:34" ht="13.5" customHeight="1">
      <c r="A2375" s="8" t="s">
        <v>12699</v>
      </c>
      <c r="B2375" s="16">
        <v>23</v>
      </c>
      <c r="C2375" s="8" t="s">
        <v>20</v>
      </c>
      <c r="D2375" s="8" t="s">
        <v>37</v>
      </c>
      <c r="E2375" s="8" t="s">
        <v>12700</v>
      </c>
      <c r="F2375" s="17">
        <v>41621</v>
      </c>
      <c r="G2375" s="8" t="s">
        <v>12701</v>
      </c>
      <c r="H2375" s="8" t="s">
        <v>12702</v>
      </c>
      <c r="I2375" s="8" t="s">
        <v>442</v>
      </c>
      <c r="J2375" s="16" t="s">
        <v>12703</v>
      </c>
      <c r="K2375" s="2" t="s">
        <v>574</v>
      </c>
      <c r="L2375" s="8" t="s">
        <v>12704</v>
      </c>
      <c r="M2375" s="8" t="s">
        <v>27</v>
      </c>
      <c r="N2375" s="8" t="s">
        <v>12705</v>
      </c>
      <c r="O2375" s="8" t="s">
        <v>554</v>
      </c>
      <c r="P2375" s="8" t="s">
        <v>405</v>
      </c>
      <c r="Q2375" s="12" t="s">
        <v>12706</v>
      </c>
      <c r="R2375" s="8" t="s">
        <v>972</v>
      </c>
      <c r="S2375" s="7" t="s">
        <v>28</v>
      </c>
      <c r="T2375" s="6"/>
      <c r="U2375" s="8"/>
    </row>
    <row r="2376" spans="1:34" ht="13.5" customHeight="1">
      <c r="A2376" s="8" t="s">
        <v>12729</v>
      </c>
      <c r="B2376" s="16">
        <v>61</v>
      </c>
      <c r="C2376" s="8" t="s">
        <v>20</v>
      </c>
      <c r="D2376" s="8" t="s">
        <v>37</v>
      </c>
      <c r="E2376" s="8" t="s">
        <v>12730</v>
      </c>
      <c r="F2376" s="17">
        <v>41620</v>
      </c>
      <c r="G2376" s="8" t="s">
        <v>12731</v>
      </c>
      <c r="H2376" s="8" t="s">
        <v>12732</v>
      </c>
      <c r="I2376" s="8" t="s">
        <v>4424</v>
      </c>
      <c r="J2376" s="16" t="s">
        <v>12733</v>
      </c>
      <c r="K2376" s="2" t="s">
        <v>1620</v>
      </c>
      <c r="L2376" s="8" t="s">
        <v>4427</v>
      </c>
      <c r="M2376" s="8" t="s">
        <v>27</v>
      </c>
      <c r="N2376" s="8" t="s">
        <v>12734</v>
      </c>
      <c r="O2376" s="8" t="s">
        <v>554</v>
      </c>
      <c r="P2376" s="8" t="s">
        <v>405</v>
      </c>
      <c r="Q2376" s="12" t="s">
        <v>12735</v>
      </c>
      <c r="R2376" s="8" t="s">
        <v>972</v>
      </c>
      <c r="S2376" s="7" t="s">
        <v>28</v>
      </c>
      <c r="T2376" s="6"/>
      <c r="U2376" s="8"/>
    </row>
    <row r="2377" spans="1:34" ht="13.5" customHeight="1">
      <c r="A2377" s="8" t="s">
        <v>12722</v>
      </c>
      <c r="B2377" s="16">
        <v>50</v>
      </c>
      <c r="C2377" s="8" t="s">
        <v>20</v>
      </c>
      <c r="D2377" s="8" t="s">
        <v>85</v>
      </c>
      <c r="E2377" s="8" t="s">
        <v>12723</v>
      </c>
      <c r="F2377" s="17">
        <v>41620</v>
      </c>
      <c r="G2377" s="8" t="s">
        <v>12724</v>
      </c>
      <c r="H2377" s="8" t="s">
        <v>1300</v>
      </c>
      <c r="I2377" s="8" t="s">
        <v>69</v>
      </c>
      <c r="J2377" s="16" t="s">
        <v>12725</v>
      </c>
      <c r="K2377" s="2" t="s">
        <v>1301</v>
      </c>
      <c r="L2377" s="8" t="s">
        <v>12726</v>
      </c>
      <c r="M2377" s="8" t="s">
        <v>27</v>
      </c>
      <c r="N2377" s="8" t="s">
        <v>12727</v>
      </c>
      <c r="O2377" s="8" t="s">
        <v>554</v>
      </c>
      <c r="P2377" s="8" t="s">
        <v>405</v>
      </c>
      <c r="Q2377" s="12" t="s">
        <v>12728</v>
      </c>
      <c r="R2377" s="8" t="s">
        <v>29</v>
      </c>
      <c r="S2377" s="7" t="s">
        <v>28</v>
      </c>
      <c r="T2377" s="6"/>
      <c r="U2377" s="8"/>
    </row>
    <row r="2378" spans="1:34" ht="13.5" customHeight="1">
      <c r="A2378" s="8" t="s">
        <v>12736</v>
      </c>
      <c r="B2378" s="16">
        <v>43</v>
      </c>
      <c r="C2378" s="8" t="s">
        <v>20</v>
      </c>
      <c r="D2378" s="8" t="s">
        <v>37</v>
      </c>
      <c r="F2378" s="17">
        <v>41620</v>
      </c>
      <c r="G2378" s="8" t="s">
        <v>12737</v>
      </c>
      <c r="H2378" s="8" t="s">
        <v>12738</v>
      </c>
      <c r="I2378" s="8" t="s">
        <v>306</v>
      </c>
      <c r="J2378" s="16" t="s">
        <v>12739</v>
      </c>
      <c r="K2378" s="2" t="s">
        <v>946</v>
      </c>
      <c r="L2378" s="8" t="s">
        <v>12740</v>
      </c>
      <c r="M2378" s="8" t="s">
        <v>27</v>
      </c>
      <c r="N2378" s="8" t="s">
        <v>12741</v>
      </c>
      <c r="O2378" s="8" t="s">
        <v>554</v>
      </c>
      <c r="P2378" s="8" t="s">
        <v>405</v>
      </c>
      <c r="Q2378" s="12" t="s">
        <v>12742</v>
      </c>
      <c r="R2378" s="8" t="s">
        <v>29</v>
      </c>
      <c r="S2378" s="7" t="s">
        <v>383</v>
      </c>
      <c r="T2378" s="6"/>
      <c r="U2378" s="8"/>
    </row>
    <row r="2379" spans="1:34" ht="13.5" customHeight="1">
      <c r="A2379" s="8" t="s">
        <v>12743</v>
      </c>
      <c r="B2379" s="16">
        <v>70</v>
      </c>
      <c r="C2379" s="8" t="s">
        <v>20</v>
      </c>
      <c r="D2379" s="8" t="s">
        <v>37</v>
      </c>
      <c r="E2379" s="8" t="s">
        <v>12744</v>
      </c>
      <c r="F2379" s="17">
        <v>41619</v>
      </c>
      <c r="G2379" s="8" t="s">
        <v>12745</v>
      </c>
      <c r="H2379" s="8" t="s">
        <v>12746</v>
      </c>
      <c r="I2379" s="8" t="s">
        <v>73</v>
      </c>
      <c r="J2379" s="16" t="s">
        <v>12747</v>
      </c>
      <c r="K2379" s="2" t="s">
        <v>12748</v>
      </c>
      <c r="L2379" s="8" t="s">
        <v>12749</v>
      </c>
      <c r="M2379" s="8" t="s">
        <v>3407</v>
      </c>
      <c r="N2379" s="8" t="s">
        <v>12750</v>
      </c>
      <c r="O2379" s="8" t="s">
        <v>404</v>
      </c>
      <c r="P2379" s="8" t="s">
        <v>405</v>
      </c>
      <c r="Q2379" s="12" t="s">
        <v>12751</v>
      </c>
      <c r="R2379" s="8" t="s">
        <v>100</v>
      </c>
      <c r="S2379" s="7" t="s">
        <v>18</v>
      </c>
      <c r="T2379" s="6"/>
      <c r="U2379" s="8"/>
    </row>
    <row r="2380" spans="1:34" ht="13.5" customHeight="1">
      <c r="A2380" s="8" t="s">
        <v>12752</v>
      </c>
      <c r="B2380" s="16">
        <v>35</v>
      </c>
      <c r="C2380" s="8" t="s">
        <v>115</v>
      </c>
      <c r="D2380" s="8" t="s">
        <v>37</v>
      </c>
      <c r="E2380" s="8" t="s">
        <v>12753</v>
      </c>
      <c r="F2380" s="17">
        <v>41619</v>
      </c>
      <c r="G2380" s="8" t="s">
        <v>12754</v>
      </c>
      <c r="H2380" s="8" t="s">
        <v>12755</v>
      </c>
      <c r="I2380" s="8" t="s">
        <v>69</v>
      </c>
      <c r="J2380" s="16" t="s">
        <v>12756</v>
      </c>
      <c r="K2380" s="2" t="s">
        <v>3259</v>
      </c>
      <c r="L2380" s="8" t="s">
        <v>12757</v>
      </c>
      <c r="M2380" s="8" t="s">
        <v>27</v>
      </c>
      <c r="N2380" s="8" t="s">
        <v>12758</v>
      </c>
      <c r="O2380" s="8" t="s">
        <v>554</v>
      </c>
      <c r="P2380" s="8" t="s">
        <v>405</v>
      </c>
      <c r="Q2380" s="12" t="s">
        <v>12759</v>
      </c>
      <c r="R2380" s="8" t="s">
        <v>100</v>
      </c>
      <c r="S2380" s="7" t="s">
        <v>18</v>
      </c>
      <c r="T2380" s="6"/>
      <c r="U2380" s="8"/>
    </row>
    <row r="2381" spans="1:34" ht="13.5" customHeight="1">
      <c r="A2381" s="8" t="s">
        <v>12760</v>
      </c>
      <c r="B2381" s="16">
        <v>64</v>
      </c>
      <c r="C2381" s="8" t="s">
        <v>20</v>
      </c>
      <c r="D2381" s="8" t="s">
        <v>37</v>
      </c>
      <c r="E2381" s="8" t="s">
        <v>12761</v>
      </c>
      <c r="F2381" s="17">
        <v>41619</v>
      </c>
      <c r="G2381" s="8" t="s">
        <v>12762</v>
      </c>
      <c r="H2381" s="8" t="s">
        <v>5297</v>
      </c>
      <c r="I2381" s="8" t="s">
        <v>62</v>
      </c>
      <c r="J2381" s="16" t="s">
        <v>12763</v>
      </c>
      <c r="K2381" s="2" t="s">
        <v>2423</v>
      </c>
      <c r="L2381" s="8" t="s">
        <v>12764</v>
      </c>
      <c r="M2381" s="8" t="s">
        <v>27</v>
      </c>
      <c r="N2381" s="8" t="s">
        <v>12765</v>
      </c>
      <c r="O2381" s="8" t="s">
        <v>1018</v>
      </c>
      <c r="P2381" s="8" t="s">
        <v>405</v>
      </c>
      <c r="Q2381" s="12" t="s">
        <v>12766</v>
      </c>
      <c r="R2381" s="8" t="s">
        <v>972</v>
      </c>
      <c r="S2381" s="7" t="s">
        <v>28</v>
      </c>
      <c r="T2381" s="6"/>
      <c r="U2381" s="8"/>
    </row>
    <row r="2382" spans="1:34" ht="13.5" customHeight="1">
      <c r="A2382" s="8" t="s">
        <v>12772</v>
      </c>
      <c r="B2382" s="16">
        <v>27</v>
      </c>
      <c r="C2382" s="8" t="s">
        <v>20</v>
      </c>
      <c r="D2382" s="8" t="s">
        <v>37</v>
      </c>
      <c r="E2382" s="8" t="s">
        <v>12773</v>
      </c>
      <c r="F2382" s="17">
        <v>41618</v>
      </c>
      <c r="G2382" s="8" t="s">
        <v>12769</v>
      </c>
      <c r="H2382" s="8" t="s">
        <v>216</v>
      </c>
      <c r="I2382" s="8" t="s">
        <v>62</v>
      </c>
      <c r="J2382" s="16" t="s">
        <v>9180</v>
      </c>
      <c r="K2382" s="2" t="s">
        <v>163</v>
      </c>
      <c r="L2382" s="8" t="s">
        <v>164</v>
      </c>
      <c r="M2382" s="8" t="s">
        <v>27</v>
      </c>
      <c r="N2382" s="8" t="s">
        <v>12774</v>
      </c>
      <c r="O2382" s="8" t="s">
        <v>404</v>
      </c>
      <c r="P2382" s="8" t="s">
        <v>405</v>
      </c>
      <c r="Q2382" s="12" t="s">
        <v>12771</v>
      </c>
      <c r="R2382" s="8" t="s">
        <v>972</v>
      </c>
      <c r="S2382" s="7" t="s">
        <v>18</v>
      </c>
      <c r="T2382" s="6"/>
      <c r="U2382" s="8"/>
    </row>
    <row r="2383" spans="1:34" ht="13.5" customHeight="1">
      <c r="A2383" s="8" t="s">
        <v>12781</v>
      </c>
      <c r="B2383" s="16">
        <v>43</v>
      </c>
      <c r="C2383" s="8" t="s">
        <v>20</v>
      </c>
      <c r="D2383" s="8" t="s">
        <v>37</v>
      </c>
      <c r="E2383" s="8" t="s">
        <v>12782</v>
      </c>
      <c r="F2383" s="17">
        <v>41618</v>
      </c>
      <c r="G2383" s="8" t="s">
        <v>12783</v>
      </c>
      <c r="H2383" s="8" t="s">
        <v>7196</v>
      </c>
      <c r="I2383" s="8" t="s">
        <v>45</v>
      </c>
      <c r="J2383" s="16" t="s">
        <v>12784</v>
      </c>
      <c r="K2383" s="2" t="s">
        <v>613</v>
      </c>
      <c r="L2383" s="8" t="s">
        <v>12785</v>
      </c>
      <c r="M2383" s="8" t="s">
        <v>27</v>
      </c>
      <c r="N2383" s="8" t="s">
        <v>12786</v>
      </c>
      <c r="O2383" s="8" t="s">
        <v>1018</v>
      </c>
      <c r="P2383" s="8" t="s">
        <v>405</v>
      </c>
      <c r="Q2383" s="12" t="s">
        <v>12787</v>
      </c>
      <c r="R2383" s="8" t="s">
        <v>559</v>
      </c>
      <c r="S2383" s="7" t="s">
        <v>35</v>
      </c>
      <c r="T2383" s="6"/>
      <c r="U2383" s="8"/>
    </row>
    <row r="2384" spans="1:34" ht="13.5" customHeight="1">
      <c r="A2384" s="8" t="s">
        <v>12767</v>
      </c>
      <c r="B2384" s="16">
        <v>50</v>
      </c>
      <c r="C2384" s="8" t="s">
        <v>20</v>
      </c>
      <c r="D2384" s="8" t="s">
        <v>48</v>
      </c>
      <c r="E2384" s="8" t="s">
        <v>12768</v>
      </c>
      <c r="F2384" s="17">
        <v>41618</v>
      </c>
      <c r="G2384" s="8" t="s">
        <v>12769</v>
      </c>
      <c r="H2384" s="8" t="s">
        <v>216</v>
      </c>
      <c r="I2384" s="8" t="s">
        <v>62</v>
      </c>
      <c r="J2384" s="16" t="s">
        <v>9180</v>
      </c>
      <c r="K2384" s="2" t="s">
        <v>163</v>
      </c>
      <c r="L2384" s="8" t="s">
        <v>164</v>
      </c>
      <c r="M2384" s="8" t="s">
        <v>27</v>
      </c>
      <c r="N2384" s="8" t="s">
        <v>12770</v>
      </c>
      <c r="O2384" s="8" t="s">
        <v>1018</v>
      </c>
      <c r="P2384" s="8" t="s">
        <v>405</v>
      </c>
      <c r="Q2384" s="12" t="s">
        <v>12771</v>
      </c>
      <c r="R2384" s="8" t="s">
        <v>100</v>
      </c>
      <c r="S2384" s="7" t="s">
        <v>18</v>
      </c>
      <c r="T2384" s="6"/>
      <c r="U2384" s="8"/>
    </row>
    <row r="2385" spans="1:46" ht="13.5" customHeight="1">
      <c r="A2385" s="8" t="s">
        <v>12775</v>
      </c>
      <c r="B2385" s="16">
        <v>54</v>
      </c>
      <c r="C2385" s="8" t="s">
        <v>20</v>
      </c>
      <c r="D2385" s="8" t="s">
        <v>37</v>
      </c>
      <c r="E2385" s="8" t="s">
        <v>12776</v>
      </c>
      <c r="F2385" s="17">
        <v>41618</v>
      </c>
      <c r="G2385" s="8" t="s">
        <v>12777</v>
      </c>
      <c r="H2385" s="8" t="s">
        <v>9955</v>
      </c>
      <c r="I2385" s="8" t="s">
        <v>62</v>
      </c>
      <c r="J2385" s="16" t="s">
        <v>12778</v>
      </c>
      <c r="K2385" s="2" t="s">
        <v>4406</v>
      </c>
      <c r="L2385" s="8" t="s">
        <v>12779</v>
      </c>
      <c r="M2385" s="8" t="s">
        <v>3407</v>
      </c>
      <c r="N2385" s="8" t="s">
        <v>12780</v>
      </c>
      <c r="O2385" s="8" t="s">
        <v>1018</v>
      </c>
      <c r="P2385" s="8" t="s">
        <v>405</v>
      </c>
      <c r="Q2385" s="12"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2385" s="8" t="s">
        <v>559</v>
      </c>
      <c r="S2385" s="7" t="s">
        <v>18</v>
      </c>
      <c r="T2385" s="6"/>
      <c r="U2385" s="8"/>
    </row>
    <row r="2386" spans="1:46" ht="13.5" customHeight="1">
      <c r="A2386" s="8" t="s">
        <v>12788</v>
      </c>
      <c r="B2386" s="16">
        <v>26</v>
      </c>
      <c r="C2386" s="8" t="s">
        <v>20</v>
      </c>
      <c r="D2386" s="8" t="s">
        <v>37</v>
      </c>
      <c r="E2386" s="8" t="s">
        <v>12789</v>
      </c>
      <c r="F2386" s="17">
        <v>41617</v>
      </c>
      <c r="G2386" s="8" t="s">
        <v>12790</v>
      </c>
      <c r="H2386" s="8" t="s">
        <v>12791</v>
      </c>
      <c r="I2386" s="8" t="s">
        <v>408</v>
      </c>
      <c r="J2386" s="16" t="s">
        <v>12792</v>
      </c>
      <c r="K2386" s="2" t="s">
        <v>1651</v>
      </c>
      <c r="L2386" s="8" t="s">
        <v>12793</v>
      </c>
      <c r="M2386" s="8" t="s">
        <v>27</v>
      </c>
      <c r="N2386" s="8" t="s">
        <v>12794</v>
      </c>
      <c r="O2386" s="8" t="s">
        <v>1018</v>
      </c>
      <c r="P2386" s="8" t="s">
        <v>405</v>
      </c>
      <c r="Q2386" s="12" t="s">
        <v>12795</v>
      </c>
      <c r="R2386" s="8" t="s">
        <v>29</v>
      </c>
      <c r="S2386" s="7" t="s">
        <v>28</v>
      </c>
      <c r="T2386" s="6"/>
      <c r="U2386" s="8"/>
    </row>
    <row r="2387" spans="1:46" ht="13.5" customHeight="1">
      <c r="A2387" s="8" t="s">
        <v>12813</v>
      </c>
      <c r="B2387" s="16" t="s">
        <v>8822</v>
      </c>
      <c r="C2387" s="8" t="s">
        <v>20</v>
      </c>
      <c r="D2387" s="8" t="s">
        <v>37</v>
      </c>
      <c r="E2387" s="8" t="s">
        <v>12814</v>
      </c>
      <c r="F2387" s="17">
        <v>41616</v>
      </c>
      <c r="G2387" s="8" t="s">
        <v>12815</v>
      </c>
      <c r="H2387" s="8" t="s">
        <v>930</v>
      </c>
      <c r="I2387" s="8" t="s">
        <v>198</v>
      </c>
      <c r="J2387" s="16" t="s">
        <v>12816</v>
      </c>
      <c r="K2387" s="2" t="s">
        <v>471</v>
      </c>
      <c r="L2387" s="8" t="s">
        <v>5024</v>
      </c>
      <c r="M2387" s="8" t="s">
        <v>27</v>
      </c>
      <c r="N2387" s="8" t="s">
        <v>12817</v>
      </c>
      <c r="O2387" s="8" t="s">
        <v>29</v>
      </c>
      <c r="P2387" s="8" t="s">
        <v>405</v>
      </c>
      <c r="Q2387" s="12" t="s">
        <v>10223</v>
      </c>
      <c r="R2387" s="8" t="s">
        <v>100</v>
      </c>
      <c r="S2387" s="7" t="s">
        <v>28</v>
      </c>
      <c r="T2387" s="6"/>
      <c r="U2387" s="8"/>
      <c r="Y2387" s="8"/>
      <c r="Z2387" s="8"/>
      <c r="AA2387" s="8"/>
      <c r="AB2387" s="8"/>
      <c r="AC2387" s="8"/>
      <c r="AD2387" s="8"/>
      <c r="AE2387" s="8"/>
      <c r="AF2387" s="8"/>
      <c r="AG2387" s="8"/>
      <c r="AH2387" s="8"/>
    </row>
    <row r="2388" spans="1:46" ht="13.5" customHeight="1">
      <c r="A2388" s="8" t="s">
        <v>12796</v>
      </c>
      <c r="B2388" s="16">
        <v>21</v>
      </c>
      <c r="C2388" s="8" t="s">
        <v>20</v>
      </c>
      <c r="D2388" s="8" t="s">
        <v>85</v>
      </c>
      <c r="E2388" s="8" t="s">
        <v>12797</v>
      </c>
      <c r="F2388" s="17">
        <v>41616</v>
      </c>
      <c r="G2388" s="8" t="s">
        <v>12798</v>
      </c>
      <c r="H2388" s="8" t="s">
        <v>12799</v>
      </c>
      <c r="I2388" s="8" t="s">
        <v>408</v>
      </c>
      <c r="J2388" s="16" t="s">
        <v>12800</v>
      </c>
      <c r="K2388" s="2" t="s">
        <v>1651</v>
      </c>
      <c r="L2388" s="8" t="s">
        <v>9453</v>
      </c>
      <c r="M2388" s="8" t="s">
        <v>27</v>
      </c>
      <c r="N2388" s="8" t="s">
        <v>12801</v>
      </c>
      <c r="O2388" s="8" t="s">
        <v>554</v>
      </c>
      <c r="P2388" s="8" t="s">
        <v>405</v>
      </c>
      <c r="Q2388" s="12" t="s">
        <v>12802</v>
      </c>
      <c r="R2388" s="8" t="s">
        <v>29</v>
      </c>
      <c r="S2388" s="7" t="s">
        <v>28</v>
      </c>
      <c r="T2388" s="6"/>
      <c r="U2388" s="8"/>
    </row>
    <row r="2389" spans="1:46" ht="13.5" customHeight="1">
      <c r="A2389" s="8" t="s">
        <v>12803</v>
      </c>
      <c r="B2389" s="16">
        <v>54</v>
      </c>
      <c r="C2389" s="8" t="s">
        <v>20</v>
      </c>
      <c r="D2389" s="8" t="s">
        <v>48</v>
      </c>
      <c r="F2389" s="17">
        <v>41616</v>
      </c>
      <c r="G2389" s="8" t="s">
        <v>12804</v>
      </c>
      <c r="H2389" s="8" t="s">
        <v>216</v>
      </c>
      <c r="I2389" s="8" t="s">
        <v>62</v>
      </c>
      <c r="J2389" s="16" t="s">
        <v>12805</v>
      </c>
      <c r="K2389" s="2" t="s">
        <v>163</v>
      </c>
      <c r="L2389" s="8" t="s">
        <v>164</v>
      </c>
      <c r="M2389" s="8" t="s">
        <v>27</v>
      </c>
      <c r="N2389" s="8" t="s">
        <v>12806</v>
      </c>
      <c r="O2389" s="8" t="s">
        <v>1018</v>
      </c>
      <c r="P2389" s="8" t="s">
        <v>405</v>
      </c>
      <c r="Q2389" s="12" t="str">
        <f>HYPERLINK("http://www.local10.com/news/man-dead-after-shootout-with-swat/23386254","http://www.local10.com/news/man-dead-after-shootout-with-swat/23386254")</f>
        <v>http://www.local10.com/news/man-dead-after-shootout-with-swat/23386254</v>
      </c>
      <c r="R2389" s="8" t="s">
        <v>100</v>
      </c>
      <c r="S2389" s="7" t="s">
        <v>28</v>
      </c>
      <c r="T2389" s="6"/>
      <c r="U2389" s="8"/>
    </row>
    <row r="2390" spans="1:46" ht="13.5" customHeight="1">
      <c r="A2390" s="8" t="s">
        <v>12818</v>
      </c>
      <c r="B2390" s="16">
        <v>65</v>
      </c>
      <c r="C2390" s="8" t="s">
        <v>20</v>
      </c>
      <c r="D2390" s="8" t="s">
        <v>37</v>
      </c>
      <c r="E2390" s="8" t="s">
        <v>12819</v>
      </c>
      <c r="F2390" s="17">
        <v>41616</v>
      </c>
      <c r="G2390" s="8" t="s">
        <v>12820</v>
      </c>
      <c r="H2390" s="8" t="s">
        <v>12821</v>
      </c>
      <c r="I2390" s="8" t="s">
        <v>45</v>
      </c>
      <c r="J2390" s="16" t="s">
        <v>12822</v>
      </c>
      <c r="K2390" s="2" t="s">
        <v>98</v>
      </c>
      <c r="L2390" s="8" t="s">
        <v>5043</v>
      </c>
      <c r="M2390" s="8" t="s">
        <v>383</v>
      </c>
      <c r="N2390" s="8" t="s">
        <v>12823</v>
      </c>
      <c r="O2390" s="8" t="s">
        <v>3421</v>
      </c>
      <c r="P2390" s="8" t="s">
        <v>405</v>
      </c>
      <c r="Q2390" s="12" t="s">
        <v>12824</v>
      </c>
      <c r="R2390" s="8" t="s">
        <v>100</v>
      </c>
      <c r="S2390" s="7" t="s">
        <v>18</v>
      </c>
      <c r="T2390" s="6"/>
      <c r="U2390" s="8"/>
    </row>
    <row r="2391" spans="1:46" ht="13.5" customHeight="1">
      <c r="A2391" s="8" t="s">
        <v>12807</v>
      </c>
      <c r="B2391" s="16">
        <v>57</v>
      </c>
      <c r="C2391" s="8" t="s">
        <v>20</v>
      </c>
      <c r="D2391" s="8" t="s">
        <v>48</v>
      </c>
      <c r="E2391" s="8" t="s">
        <v>12808</v>
      </c>
      <c r="F2391" s="17">
        <v>41616</v>
      </c>
      <c r="G2391" s="8" t="s">
        <v>12809</v>
      </c>
      <c r="H2391" s="8" t="s">
        <v>216</v>
      </c>
      <c r="I2391" s="8" t="s">
        <v>62</v>
      </c>
      <c r="J2391" s="16" t="s">
        <v>12810</v>
      </c>
      <c r="K2391" s="2" t="s">
        <v>163</v>
      </c>
      <c r="L2391" s="8" t="s">
        <v>460</v>
      </c>
      <c r="M2391" s="8" t="s">
        <v>27</v>
      </c>
      <c r="N2391" s="8" t="s">
        <v>12811</v>
      </c>
      <c r="O2391" s="8" t="s">
        <v>1018</v>
      </c>
      <c r="P2391" s="8" t="s">
        <v>405</v>
      </c>
      <c r="Q2391" s="12" t="s">
        <v>12812</v>
      </c>
      <c r="R2391" s="8" t="s">
        <v>29</v>
      </c>
      <c r="S2391" s="7" t="s">
        <v>28</v>
      </c>
      <c r="T2391" s="6"/>
      <c r="U2391" s="8"/>
    </row>
    <row r="2392" spans="1:46" ht="13.5" customHeight="1">
      <c r="A2392" s="8" t="s">
        <v>12831</v>
      </c>
      <c r="B2392" s="16">
        <v>23</v>
      </c>
      <c r="C2392" s="8" t="s">
        <v>20</v>
      </c>
      <c r="D2392" s="8" t="s">
        <v>85</v>
      </c>
      <c r="F2392" s="17">
        <v>41615</v>
      </c>
      <c r="G2392" s="8" t="s">
        <v>12832</v>
      </c>
      <c r="H2392" s="8" t="s">
        <v>12833</v>
      </c>
      <c r="I2392" s="8" t="s">
        <v>306</v>
      </c>
      <c r="J2392" s="16" t="s">
        <v>12834</v>
      </c>
      <c r="K2392" s="2" t="s">
        <v>1221</v>
      </c>
      <c r="L2392" s="8" t="s">
        <v>12835</v>
      </c>
      <c r="M2392" s="8" t="s">
        <v>27</v>
      </c>
      <c r="N2392" s="8" t="s">
        <v>12836</v>
      </c>
      <c r="O2392" s="8" t="s">
        <v>1018</v>
      </c>
      <c r="P2392" s="8" t="s">
        <v>405</v>
      </c>
      <c r="Q2392" s="12" t="s">
        <v>12837</v>
      </c>
      <c r="R2392" s="8" t="s">
        <v>29</v>
      </c>
      <c r="S2392" s="7" t="s">
        <v>28</v>
      </c>
      <c r="T2392" s="6"/>
      <c r="U2392" s="8"/>
    </row>
    <row r="2393" spans="1:46" ht="13.5" customHeight="1">
      <c r="A2393" s="8" t="s">
        <v>12825</v>
      </c>
      <c r="B2393" s="16">
        <v>20</v>
      </c>
      <c r="C2393" s="8" t="s">
        <v>20</v>
      </c>
      <c r="D2393" s="8" t="s">
        <v>85</v>
      </c>
      <c r="E2393" s="8" t="s">
        <v>12826</v>
      </c>
      <c r="F2393" s="17">
        <v>41615</v>
      </c>
      <c r="G2393" s="8" t="s">
        <v>12827</v>
      </c>
      <c r="H2393" s="8" t="s">
        <v>830</v>
      </c>
      <c r="I2393" s="8" t="s">
        <v>46</v>
      </c>
      <c r="J2393" s="16" t="s">
        <v>12828</v>
      </c>
      <c r="K2393" s="2" t="s">
        <v>1716</v>
      </c>
      <c r="L2393" s="8" t="s">
        <v>3266</v>
      </c>
      <c r="M2393" s="8" t="s">
        <v>27</v>
      </c>
      <c r="N2393" s="8" t="s">
        <v>12829</v>
      </c>
      <c r="O2393" s="8" t="s">
        <v>1018</v>
      </c>
      <c r="P2393" s="8" t="s">
        <v>405</v>
      </c>
      <c r="Q2393" s="12" t="s">
        <v>12830</v>
      </c>
      <c r="R2393" s="8" t="s">
        <v>100</v>
      </c>
      <c r="S2393" s="7" t="s">
        <v>28</v>
      </c>
      <c r="T2393" s="6"/>
      <c r="U2393" s="8"/>
    </row>
    <row r="2394" spans="1:46" ht="13.5" customHeight="1">
      <c r="A2394" s="8" t="s">
        <v>12841</v>
      </c>
      <c r="B2394" s="16">
        <v>26</v>
      </c>
      <c r="C2394" s="8" t="s">
        <v>20</v>
      </c>
      <c r="D2394" s="8" t="s">
        <v>37</v>
      </c>
      <c r="E2394" s="8" t="s">
        <v>12842</v>
      </c>
      <c r="F2394" s="17">
        <v>41615</v>
      </c>
      <c r="G2394" s="8" t="s">
        <v>12843</v>
      </c>
      <c r="H2394" s="8" t="s">
        <v>661</v>
      </c>
      <c r="I2394" s="8" t="s">
        <v>272</v>
      </c>
      <c r="J2394" s="16" t="s">
        <v>12844</v>
      </c>
      <c r="K2394" s="2" t="s">
        <v>574</v>
      </c>
      <c r="L2394" s="8" t="s">
        <v>12845</v>
      </c>
      <c r="M2394" s="8" t="s">
        <v>27</v>
      </c>
      <c r="N2394" s="8" t="s">
        <v>12846</v>
      </c>
      <c r="O2394" s="8" t="s">
        <v>1018</v>
      </c>
      <c r="P2394" s="8" t="s">
        <v>405</v>
      </c>
      <c r="Q2394" s="12" t="s">
        <v>12840</v>
      </c>
      <c r="R2394" s="8" t="s">
        <v>29</v>
      </c>
      <c r="S2394" s="7" t="s">
        <v>28</v>
      </c>
      <c r="T2394" s="6"/>
      <c r="U2394" s="8"/>
    </row>
    <row r="2395" spans="1:46" ht="13.5" customHeight="1">
      <c r="A2395" s="8" t="s">
        <v>12838</v>
      </c>
      <c r="B2395" s="16">
        <v>26</v>
      </c>
      <c r="C2395" s="8" t="s">
        <v>20</v>
      </c>
      <c r="D2395" s="8" t="s">
        <v>37</v>
      </c>
      <c r="F2395" s="17">
        <v>41615</v>
      </c>
      <c r="G2395" s="8" t="s">
        <v>12839</v>
      </c>
      <c r="H2395" s="8" t="s">
        <v>661</v>
      </c>
      <c r="I2395" s="8" t="s">
        <v>272</v>
      </c>
      <c r="K2395" s="2" t="s">
        <v>574</v>
      </c>
      <c r="L2395" s="8" t="s">
        <v>575</v>
      </c>
      <c r="M2395" s="8" t="s">
        <v>27</v>
      </c>
      <c r="P2395" s="8" t="s">
        <v>405</v>
      </c>
      <c r="Q2395" s="12" t="s">
        <v>12840</v>
      </c>
      <c r="S2395" s="7" t="s">
        <v>28</v>
      </c>
      <c r="T2395" s="6"/>
      <c r="U2395" s="8"/>
    </row>
    <row r="2396" spans="1:46" ht="13.5" customHeight="1">
      <c r="A2396" s="8" t="s">
        <v>12847</v>
      </c>
      <c r="B2396" s="16">
        <v>42</v>
      </c>
      <c r="C2396" s="8" t="s">
        <v>20</v>
      </c>
      <c r="D2396" s="8" t="s">
        <v>37</v>
      </c>
      <c r="E2396" s="8" t="s">
        <v>12848</v>
      </c>
      <c r="F2396" s="17">
        <v>41614</v>
      </c>
      <c r="G2396" s="8" t="s">
        <v>12849</v>
      </c>
      <c r="H2396" s="8" t="s">
        <v>638</v>
      </c>
      <c r="I2396" s="8" t="s">
        <v>124</v>
      </c>
      <c r="J2396" s="16" t="s">
        <v>12850</v>
      </c>
      <c r="K2396" s="2" t="s">
        <v>639</v>
      </c>
      <c r="L2396" s="8" t="s">
        <v>640</v>
      </c>
      <c r="M2396" s="8" t="s">
        <v>27</v>
      </c>
      <c r="N2396" s="8" t="s">
        <v>12851</v>
      </c>
      <c r="O2396" s="8" t="s">
        <v>1018</v>
      </c>
      <c r="P2396" s="8" t="s">
        <v>405</v>
      </c>
      <c r="Q2396" s="12" t="s">
        <v>12852</v>
      </c>
      <c r="R2396" s="8" t="s">
        <v>100</v>
      </c>
      <c r="S2396" s="7" t="s">
        <v>28</v>
      </c>
      <c r="T2396" s="6"/>
      <c r="U2396" s="8"/>
      <c r="V2396" s="8"/>
      <c r="W2396" s="8"/>
      <c r="X2396" s="8"/>
    </row>
    <row r="2397" spans="1:46" ht="13.5" customHeight="1">
      <c r="A2397" s="8" t="s">
        <v>12853</v>
      </c>
      <c r="B2397" s="16">
        <v>23</v>
      </c>
      <c r="C2397" s="8" t="s">
        <v>20</v>
      </c>
      <c r="D2397" s="8" t="s">
        <v>37</v>
      </c>
      <c r="F2397" s="17">
        <v>41614</v>
      </c>
      <c r="G2397" s="8" t="s">
        <v>12854</v>
      </c>
      <c r="H2397" s="8" t="s">
        <v>579</v>
      </c>
      <c r="I2397" s="8" t="s">
        <v>73</v>
      </c>
      <c r="J2397" s="16" t="s">
        <v>12855</v>
      </c>
      <c r="K2397" s="2" t="s">
        <v>580</v>
      </c>
      <c r="L2397" s="8" t="s">
        <v>12856</v>
      </c>
      <c r="M2397" s="8" t="s">
        <v>27</v>
      </c>
      <c r="N2397" s="8" t="s">
        <v>12857</v>
      </c>
      <c r="O2397" s="8" t="s">
        <v>554</v>
      </c>
      <c r="P2397" s="8" t="s">
        <v>405</v>
      </c>
      <c r="Q2397" s="12" t="s">
        <v>12858</v>
      </c>
      <c r="R2397" s="8" t="s">
        <v>100</v>
      </c>
      <c r="S2397" s="7" t="s">
        <v>18</v>
      </c>
      <c r="T2397" s="6"/>
      <c r="U2397" s="8"/>
      <c r="AN2397" s="8"/>
      <c r="AO2397" s="8"/>
      <c r="AP2397" s="8"/>
      <c r="AQ2397" s="8"/>
      <c r="AR2397" s="8"/>
      <c r="AS2397" s="8"/>
      <c r="AT2397" s="8"/>
    </row>
    <row r="2398" spans="1:46" ht="13.5" customHeight="1">
      <c r="A2398" s="8" t="s">
        <v>12853</v>
      </c>
      <c r="B2398" s="16">
        <v>23</v>
      </c>
      <c r="C2398" s="8" t="s">
        <v>20</v>
      </c>
      <c r="D2398" s="8" t="s">
        <v>37</v>
      </c>
      <c r="E2398" s="8" t="s">
        <v>12859</v>
      </c>
      <c r="F2398" s="17">
        <v>41614</v>
      </c>
      <c r="G2398" s="8" t="s">
        <v>12854</v>
      </c>
      <c r="H2398" s="8" t="s">
        <v>12860</v>
      </c>
      <c r="I2398" s="8" t="s">
        <v>73</v>
      </c>
      <c r="J2398" s="16" t="s">
        <v>12855</v>
      </c>
      <c r="K2398" s="2" t="s">
        <v>580</v>
      </c>
      <c r="L2398" s="8" t="s">
        <v>12861</v>
      </c>
      <c r="M2398" s="8" t="s">
        <v>27</v>
      </c>
      <c r="N2398" s="8" t="s">
        <v>12862</v>
      </c>
      <c r="O2398" s="8" t="s">
        <v>554</v>
      </c>
      <c r="P2398" s="8" t="s">
        <v>405</v>
      </c>
      <c r="Q2398" s="12" t="str">
        <f>HYPERLINK("http://www.today.com/news/unjustified-family-student-killed-campus-police-speaks-out-2D11723684","http://www.today.com/news/unjustified-family-student-killed-campus-police-speaks-out-2D11723684")</f>
        <v>http://www.today.com/news/unjustified-family-student-killed-campus-police-speaks-out-2D11723684</v>
      </c>
      <c r="R2398" s="8" t="s">
        <v>972</v>
      </c>
      <c r="S2398" s="7" t="s">
        <v>18</v>
      </c>
      <c r="T2398" s="6"/>
      <c r="U2398" s="8"/>
      <c r="AN2398" s="8"/>
      <c r="AO2398" s="8"/>
      <c r="AP2398" s="8"/>
      <c r="AQ2398" s="8"/>
      <c r="AR2398" s="8"/>
      <c r="AS2398" s="8"/>
      <c r="AT2398" s="8"/>
    </row>
    <row r="2399" spans="1:46" ht="13.5" customHeight="1">
      <c r="A2399" s="8" t="s">
        <v>12863</v>
      </c>
      <c r="B2399" s="16">
        <v>49</v>
      </c>
      <c r="C2399" s="8" t="s">
        <v>20</v>
      </c>
      <c r="D2399" s="8" t="s">
        <v>30</v>
      </c>
      <c r="F2399" s="17">
        <v>41613</v>
      </c>
      <c r="G2399" s="8" t="s">
        <v>12864</v>
      </c>
      <c r="H2399" s="8" t="s">
        <v>5422</v>
      </c>
      <c r="I2399" s="8" t="s">
        <v>435</v>
      </c>
      <c r="J2399" s="16" t="s">
        <v>12865</v>
      </c>
      <c r="K2399" s="2" t="s">
        <v>437</v>
      </c>
      <c r="L2399" s="8" t="s">
        <v>1426</v>
      </c>
      <c r="M2399" s="8" t="s">
        <v>27</v>
      </c>
      <c r="N2399" s="8" t="s">
        <v>12866</v>
      </c>
      <c r="O2399" s="8" t="s">
        <v>1018</v>
      </c>
      <c r="P2399" s="8" t="s">
        <v>405</v>
      </c>
      <c r="Q2399" s="12" t="s">
        <v>12867</v>
      </c>
      <c r="R2399" s="8" t="s">
        <v>29</v>
      </c>
      <c r="S2399" s="7" t="s">
        <v>28</v>
      </c>
      <c r="T2399" s="6"/>
      <c r="U2399" s="8"/>
    </row>
    <row r="2400" spans="1:46" ht="13.5" customHeight="1">
      <c r="A2400" s="8" t="s">
        <v>12868</v>
      </c>
      <c r="B2400" s="16">
        <v>43</v>
      </c>
      <c r="C2400" s="8" t="s">
        <v>20</v>
      </c>
      <c r="D2400" s="8" t="s">
        <v>30</v>
      </c>
      <c r="F2400" s="17">
        <v>41613</v>
      </c>
      <c r="G2400" s="8" t="s">
        <v>12869</v>
      </c>
      <c r="H2400" s="8" t="s">
        <v>1777</v>
      </c>
      <c r="I2400" s="8" t="s">
        <v>45</v>
      </c>
      <c r="J2400" s="16" t="s">
        <v>1778</v>
      </c>
      <c r="K2400" s="2" t="s">
        <v>1779</v>
      </c>
      <c r="L2400" s="8" t="s">
        <v>1780</v>
      </c>
      <c r="M2400" s="8" t="s">
        <v>27</v>
      </c>
      <c r="N2400" s="8" t="s">
        <v>12870</v>
      </c>
      <c r="O2400" s="8" t="s">
        <v>1018</v>
      </c>
      <c r="P2400" s="8" t="s">
        <v>405</v>
      </c>
      <c r="Q2400" s="12" t="s">
        <v>12871</v>
      </c>
      <c r="R2400" s="8" t="s">
        <v>100</v>
      </c>
      <c r="S2400" s="7" t="s">
        <v>28</v>
      </c>
      <c r="T2400" s="6"/>
      <c r="U2400" s="8"/>
    </row>
    <row r="2401" spans="1:46" ht="13.5" customHeight="1">
      <c r="A2401" s="8" t="s">
        <v>12872</v>
      </c>
      <c r="B2401" s="16">
        <v>73</v>
      </c>
      <c r="C2401" s="8" t="s">
        <v>20</v>
      </c>
      <c r="D2401" s="8" t="s">
        <v>85</v>
      </c>
      <c r="F2401" s="17">
        <v>41612</v>
      </c>
      <c r="G2401" s="8" t="s">
        <v>12873</v>
      </c>
      <c r="H2401" s="8" t="s">
        <v>12874</v>
      </c>
      <c r="I2401" s="8" t="s">
        <v>94</v>
      </c>
      <c r="J2401" s="16" t="s">
        <v>12875</v>
      </c>
      <c r="K2401" s="2" t="s">
        <v>288</v>
      </c>
      <c r="L2401" s="8" t="s">
        <v>12876</v>
      </c>
      <c r="M2401" s="8" t="s">
        <v>27</v>
      </c>
      <c r="N2401" s="8" t="s">
        <v>12877</v>
      </c>
      <c r="O2401" s="8" t="s">
        <v>1018</v>
      </c>
      <c r="P2401" s="8" t="s">
        <v>405</v>
      </c>
      <c r="Q2401" s="12" t="s">
        <v>12878</v>
      </c>
      <c r="R2401" s="8" t="s">
        <v>29</v>
      </c>
      <c r="S2401" s="7" t="s">
        <v>28</v>
      </c>
      <c r="T2401" s="6"/>
      <c r="U2401" s="8"/>
    </row>
    <row r="2402" spans="1:46" ht="13.5" customHeight="1">
      <c r="A2402" s="8" t="s">
        <v>12879</v>
      </c>
      <c r="B2402" s="16">
        <v>31</v>
      </c>
      <c r="C2402" s="8" t="s">
        <v>20</v>
      </c>
      <c r="D2402" s="8" t="s">
        <v>48</v>
      </c>
      <c r="E2402" s="8" t="s">
        <v>12880</v>
      </c>
      <c r="F2402" s="17">
        <v>41612</v>
      </c>
      <c r="G2402" s="8" t="s">
        <v>12881</v>
      </c>
      <c r="H2402" s="8" t="s">
        <v>12882</v>
      </c>
      <c r="I2402" s="8" t="s">
        <v>81</v>
      </c>
      <c r="J2402" s="16" t="s">
        <v>12883</v>
      </c>
      <c r="K2402" s="2" t="s">
        <v>42</v>
      </c>
      <c r="L2402" s="8" t="s">
        <v>12884</v>
      </c>
      <c r="M2402" s="8" t="s">
        <v>27</v>
      </c>
      <c r="N2402" s="8" t="s">
        <v>12885</v>
      </c>
      <c r="O2402" s="8" t="s">
        <v>554</v>
      </c>
      <c r="P2402" s="8" t="s">
        <v>405</v>
      </c>
      <c r="Q2402" s="12" t="s">
        <v>12886</v>
      </c>
      <c r="R2402" s="8" t="s">
        <v>29</v>
      </c>
      <c r="S2402" s="7" t="s">
        <v>28</v>
      </c>
      <c r="T2402" s="6"/>
      <c r="U2402" s="8"/>
    </row>
    <row r="2403" spans="1:46" ht="13.5" customHeight="1">
      <c r="A2403" s="8" t="s">
        <v>12897</v>
      </c>
      <c r="B2403" s="16">
        <v>53</v>
      </c>
      <c r="C2403" s="8" t="s">
        <v>20</v>
      </c>
      <c r="D2403" s="8" t="s">
        <v>37</v>
      </c>
      <c r="E2403" s="8" t="s">
        <v>12898</v>
      </c>
      <c r="F2403" s="17">
        <v>41611</v>
      </c>
      <c r="G2403" s="8" t="s">
        <v>12899</v>
      </c>
      <c r="H2403" s="8" t="s">
        <v>1104</v>
      </c>
      <c r="I2403" s="8" t="s">
        <v>399</v>
      </c>
      <c r="K2403" s="2" t="s">
        <v>1105</v>
      </c>
      <c r="L2403" s="8" t="s">
        <v>12900</v>
      </c>
      <c r="M2403" s="8" t="s">
        <v>2312</v>
      </c>
      <c r="N2403" s="8" t="s">
        <v>12901</v>
      </c>
      <c r="O2403" s="8" t="s">
        <v>1170</v>
      </c>
      <c r="P2403" s="8" t="s">
        <v>1171</v>
      </c>
      <c r="Q2403" s="12" t="s">
        <v>12902</v>
      </c>
      <c r="S2403" s="7" t="s">
        <v>28</v>
      </c>
      <c r="T2403" s="6"/>
      <c r="U2403" s="8"/>
      <c r="AN2403" s="8"/>
      <c r="AO2403" s="8"/>
      <c r="AP2403" s="8"/>
      <c r="AQ2403" s="8"/>
      <c r="AR2403" s="8"/>
      <c r="AS2403" s="8"/>
      <c r="AT2403" s="8"/>
    </row>
    <row r="2404" spans="1:46" ht="13.5" customHeight="1">
      <c r="A2404" s="8" t="s">
        <v>12887</v>
      </c>
      <c r="B2404" s="16">
        <v>19</v>
      </c>
      <c r="C2404" s="8" t="s">
        <v>20</v>
      </c>
      <c r="D2404" s="8" t="s">
        <v>85</v>
      </c>
      <c r="F2404" s="17">
        <v>41611</v>
      </c>
      <c r="G2404" s="8" t="s">
        <v>12888</v>
      </c>
      <c r="H2404" s="8" t="s">
        <v>119</v>
      </c>
      <c r="I2404" s="8" t="s">
        <v>3709</v>
      </c>
      <c r="J2404" s="16" t="s">
        <v>12889</v>
      </c>
      <c r="K2404" s="2" t="s">
        <v>3711</v>
      </c>
      <c r="L2404" s="8" t="s">
        <v>19944</v>
      </c>
      <c r="M2404" s="8" t="s">
        <v>27</v>
      </c>
      <c r="N2404" s="8" t="s">
        <v>12890</v>
      </c>
      <c r="O2404" s="8" t="s">
        <v>1018</v>
      </c>
      <c r="P2404" s="8" t="s">
        <v>405</v>
      </c>
      <c r="Q2404" s="12" t="s">
        <v>12891</v>
      </c>
      <c r="R2404" s="8" t="s">
        <v>100</v>
      </c>
      <c r="S2404" s="7" t="s">
        <v>28</v>
      </c>
      <c r="T2404" s="6"/>
      <c r="U2404" s="8"/>
    </row>
    <row r="2405" spans="1:46" ht="13.5" customHeight="1">
      <c r="A2405" s="8" t="s">
        <v>12892</v>
      </c>
      <c r="B2405" s="16">
        <v>38</v>
      </c>
      <c r="C2405" s="8" t="s">
        <v>20</v>
      </c>
      <c r="D2405" s="8" t="s">
        <v>37</v>
      </c>
      <c r="E2405" s="8" t="s">
        <v>12893</v>
      </c>
      <c r="F2405" s="17">
        <v>41611</v>
      </c>
      <c r="G2405" s="8" t="s">
        <v>12894</v>
      </c>
      <c r="H2405" s="8" t="s">
        <v>1879</v>
      </c>
      <c r="I2405" s="8" t="s">
        <v>374</v>
      </c>
      <c r="J2405" s="16" t="s">
        <v>7263</v>
      </c>
      <c r="K2405" s="2" t="s">
        <v>1881</v>
      </c>
      <c r="L2405" s="8" t="s">
        <v>1882</v>
      </c>
      <c r="M2405" s="8" t="s">
        <v>27</v>
      </c>
      <c r="N2405" s="8" t="s">
        <v>12895</v>
      </c>
      <c r="O2405" s="8" t="s">
        <v>1018</v>
      </c>
      <c r="P2405" s="8" t="s">
        <v>405</v>
      </c>
      <c r="Q2405" s="12" t="s">
        <v>12896</v>
      </c>
      <c r="R2405" s="8" t="s">
        <v>29</v>
      </c>
      <c r="S2405" s="7" t="s">
        <v>28</v>
      </c>
      <c r="T2405" s="6"/>
      <c r="U2405" s="8"/>
      <c r="AN2405" s="8"/>
      <c r="AO2405" s="8"/>
      <c r="AP2405" s="8"/>
      <c r="AQ2405" s="8"/>
      <c r="AR2405" s="8"/>
      <c r="AS2405" s="8"/>
      <c r="AT2405" s="8"/>
    </row>
    <row r="2406" spans="1:46" ht="13.5" customHeight="1">
      <c r="A2406" s="8" t="s">
        <v>12913</v>
      </c>
      <c r="B2406" s="16">
        <v>49</v>
      </c>
      <c r="C2406" s="8" t="s">
        <v>20</v>
      </c>
      <c r="D2406" s="8" t="s">
        <v>37</v>
      </c>
      <c r="E2406" s="8" t="s">
        <v>12914</v>
      </c>
      <c r="F2406" s="17">
        <v>41610</v>
      </c>
      <c r="G2406" s="8" t="s">
        <v>12915</v>
      </c>
      <c r="H2406" s="8" t="s">
        <v>12916</v>
      </c>
      <c r="I2406" s="8" t="s">
        <v>323</v>
      </c>
      <c r="J2406" s="16" t="s">
        <v>12917</v>
      </c>
      <c r="K2406" s="2" t="s">
        <v>12918</v>
      </c>
      <c r="L2406" s="8" t="s">
        <v>12919</v>
      </c>
      <c r="M2406" s="8" t="s">
        <v>27</v>
      </c>
      <c r="N2406" s="8" t="s">
        <v>12920</v>
      </c>
      <c r="O2406" s="8" t="s">
        <v>554</v>
      </c>
      <c r="P2406" s="8" t="s">
        <v>405</v>
      </c>
      <c r="Q2406" s="12" t="s">
        <v>12921</v>
      </c>
      <c r="R2406" s="8" t="s">
        <v>100</v>
      </c>
      <c r="S2406" s="7" t="s">
        <v>28</v>
      </c>
      <c r="T2406" s="6"/>
      <c r="U2406" s="8"/>
      <c r="AN2406" s="8"/>
      <c r="AO2406" s="8"/>
      <c r="AP2406" s="8"/>
      <c r="AQ2406" s="8"/>
      <c r="AR2406" s="8"/>
      <c r="AS2406" s="8"/>
      <c r="AT2406" s="8"/>
    </row>
    <row r="2407" spans="1:46" ht="13.5" customHeight="1">
      <c r="A2407" s="8" t="s">
        <v>12903</v>
      </c>
      <c r="B2407" s="16">
        <v>22</v>
      </c>
      <c r="C2407" s="8" t="s">
        <v>20</v>
      </c>
      <c r="D2407" s="8" t="s">
        <v>85</v>
      </c>
      <c r="E2407" s="8" t="s">
        <v>12904</v>
      </c>
      <c r="F2407" s="17">
        <v>41610</v>
      </c>
      <c r="G2407" s="8" t="s">
        <v>12905</v>
      </c>
      <c r="H2407" s="8" t="s">
        <v>1300</v>
      </c>
      <c r="I2407" s="8" t="s">
        <v>69</v>
      </c>
      <c r="J2407" s="16" t="s">
        <v>3441</v>
      </c>
      <c r="K2407" s="2" t="s">
        <v>1301</v>
      </c>
      <c r="L2407" s="8" t="s">
        <v>12726</v>
      </c>
      <c r="M2407" s="8" t="s">
        <v>27</v>
      </c>
      <c r="N2407" s="8" t="s">
        <v>12906</v>
      </c>
      <c r="O2407" s="8" t="s">
        <v>554</v>
      </c>
      <c r="P2407" s="8" t="s">
        <v>405</v>
      </c>
      <c r="Q2407" s="12" t="s">
        <v>12907</v>
      </c>
      <c r="R2407" s="8" t="s">
        <v>100</v>
      </c>
      <c r="S2407" s="7" t="s">
        <v>28</v>
      </c>
      <c r="T2407" s="6"/>
      <c r="U2407" s="8"/>
    </row>
    <row r="2408" spans="1:46" ht="13.5" customHeight="1">
      <c r="A2408" s="8" t="s">
        <v>12908</v>
      </c>
      <c r="B2408" s="16">
        <v>46</v>
      </c>
      <c r="C2408" s="8" t="s">
        <v>20</v>
      </c>
      <c r="D2408" s="8" t="s">
        <v>30</v>
      </c>
      <c r="F2408" s="17">
        <v>41610</v>
      </c>
      <c r="G2408" s="8" t="s">
        <v>12909</v>
      </c>
      <c r="H2408" s="8" t="s">
        <v>565</v>
      </c>
      <c r="I2408" s="8" t="s">
        <v>124</v>
      </c>
      <c r="J2408" s="16" t="s">
        <v>6401</v>
      </c>
      <c r="K2408" s="2" t="s">
        <v>566</v>
      </c>
      <c r="L2408" s="8" t="s">
        <v>12910</v>
      </c>
      <c r="M2408" s="8" t="s">
        <v>27</v>
      </c>
      <c r="N2408" s="8" t="s">
        <v>12911</v>
      </c>
      <c r="O2408" s="8" t="s">
        <v>1018</v>
      </c>
      <c r="P2408" s="8" t="s">
        <v>405</v>
      </c>
      <c r="Q2408" s="12" t="s">
        <v>12912</v>
      </c>
      <c r="R2408" s="8" t="s">
        <v>100</v>
      </c>
      <c r="S2408" s="7" t="s">
        <v>28</v>
      </c>
      <c r="T2408" s="6"/>
      <c r="U2408" s="8"/>
    </row>
    <row r="2409" spans="1:46" ht="13.5" customHeight="1">
      <c r="A2409" s="8" t="s">
        <v>12940</v>
      </c>
      <c r="B2409" s="16">
        <v>26</v>
      </c>
      <c r="C2409" s="8" t="s">
        <v>20</v>
      </c>
      <c r="D2409" s="8" t="s">
        <v>37</v>
      </c>
      <c r="E2409" s="8" t="s">
        <v>12941</v>
      </c>
      <c r="F2409" s="17">
        <v>41609</v>
      </c>
      <c r="G2409" s="8" t="s">
        <v>12942</v>
      </c>
      <c r="H2409" s="8" t="s">
        <v>434</v>
      </c>
      <c r="I2409" s="8" t="s">
        <v>435</v>
      </c>
      <c r="J2409" s="16" t="s">
        <v>12943</v>
      </c>
      <c r="K2409" s="2" t="s">
        <v>437</v>
      </c>
      <c r="L2409" s="8" t="s">
        <v>438</v>
      </c>
      <c r="M2409" s="8" t="s">
        <v>27</v>
      </c>
      <c r="N2409" s="8" t="s">
        <v>12944</v>
      </c>
      <c r="O2409" s="8" t="s">
        <v>554</v>
      </c>
      <c r="P2409" s="8" t="s">
        <v>405</v>
      </c>
      <c r="Q2409" s="12" t="s">
        <v>12945</v>
      </c>
      <c r="R2409" s="8" t="s">
        <v>972</v>
      </c>
      <c r="S2409" s="7" t="s">
        <v>18</v>
      </c>
      <c r="T2409" s="6"/>
      <c r="U2409" s="8"/>
      <c r="AN2409" s="8"/>
      <c r="AO2409" s="8"/>
      <c r="AP2409" s="8"/>
      <c r="AQ2409" s="8"/>
      <c r="AR2409" s="8"/>
      <c r="AS2409" s="8"/>
      <c r="AT2409" s="8"/>
    </row>
    <row r="2410" spans="1:46" ht="13.5" customHeight="1">
      <c r="A2410" s="8" t="s">
        <v>12922</v>
      </c>
      <c r="B2410" s="16">
        <v>21</v>
      </c>
      <c r="C2410" s="8" t="s">
        <v>115</v>
      </c>
      <c r="D2410" s="8" t="s">
        <v>48</v>
      </c>
      <c r="E2410" s="8" t="s">
        <v>12923</v>
      </c>
      <c r="F2410" s="17">
        <v>41609</v>
      </c>
      <c r="G2410" s="8" t="s">
        <v>12924</v>
      </c>
      <c r="H2410" s="8" t="s">
        <v>12925</v>
      </c>
      <c r="I2410" s="8" t="s">
        <v>62</v>
      </c>
      <c r="J2410" s="16" t="s">
        <v>12926</v>
      </c>
      <c r="K2410" s="2" t="s">
        <v>12925</v>
      </c>
      <c r="L2410" s="8" t="s">
        <v>12927</v>
      </c>
      <c r="M2410" s="8" t="s">
        <v>383</v>
      </c>
      <c r="N2410" s="8" t="s">
        <v>12928</v>
      </c>
      <c r="O2410" s="8" t="s">
        <v>12929</v>
      </c>
      <c r="P2410" s="8" t="s">
        <v>405</v>
      </c>
      <c r="Q2410" s="12" t="s">
        <v>12930</v>
      </c>
      <c r="R2410" s="8" t="s">
        <v>100</v>
      </c>
      <c r="S2410" s="7" t="s">
        <v>18</v>
      </c>
      <c r="T2410" s="6"/>
      <c r="U2410" s="8"/>
    </row>
    <row r="2411" spans="1:46" ht="13.5" customHeight="1">
      <c r="A2411" s="8" t="s">
        <v>12931</v>
      </c>
      <c r="B2411" s="16">
        <v>21</v>
      </c>
      <c r="C2411" s="8" t="s">
        <v>115</v>
      </c>
      <c r="D2411" s="8" t="s">
        <v>48</v>
      </c>
      <c r="E2411" s="8" t="s">
        <v>12923</v>
      </c>
      <c r="F2411" s="17">
        <v>41609</v>
      </c>
      <c r="G2411" s="8" t="s">
        <v>12924</v>
      </c>
      <c r="H2411" s="8" t="s">
        <v>12925</v>
      </c>
      <c r="I2411" s="8" t="s">
        <v>62</v>
      </c>
      <c r="J2411" s="16" t="s">
        <v>12926</v>
      </c>
      <c r="K2411" s="2" t="s">
        <v>12925</v>
      </c>
      <c r="L2411" s="8" t="s">
        <v>12927</v>
      </c>
      <c r="M2411" s="8" t="s">
        <v>383</v>
      </c>
      <c r="N2411" s="8" t="s">
        <v>12928</v>
      </c>
      <c r="O2411" s="8" t="s">
        <v>12929</v>
      </c>
      <c r="P2411" s="8" t="s">
        <v>405</v>
      </c>
      <c r="Q2411" s="12" t="s">
        <v>12930</v>
      </c>
      <c r="R2411" s="8" t="s">
        <v>100</v>
      </c>
      <c r="S2411" s="7" t="s">
        <v>18</v>
      </c>
      <c r="T2411" s="6"/>
      <c r="U2411" s="8"/>
    </row>
    <row r="2412" spans="1:46" ht="13.5" customHeight="1">
      <c r="A2412" s="8" t="s">
        <v>12932</v>
      </c>
      <c r="B2412" s="16">
        <v>33</v>
      </c>
      <c r="C2412" s="8" t="s">
        <v>20</v>
      </c>
      <c r="D2412" s="8" t="s">
        <v>37</v>
      </c>
      <c r="E2412" s="8" t="s">
        <v>12933</v>
      </c>
      <c r="F2412" s="17">
        <v>41609</v>
      </c>
      <c r="G2412" s="8" t="s">
        <v>12934</v>
      </c>
      <c r="H2412" s="8" t="s">
        <v>12935</v>
      </c>
      <c r="I2412" s="8" t="s">
        <v>435</v>
      </c>
      <c r="J2412" s="16" t="s">
        <v>12936</v>
      </c>
      <c r="K2412" s="2" t="s">
        <v>5008</v>
      </c>
      <c r="L2412" s="8" t="s">
        <v>12937</v>
      </c>
      <c r="M2412" s="8" t="s">
        <v>27</v>
      </c>
      <c r="N2412" s="8" t="s">
        <v>12938</v>
      </c>
      <c r="O2412" s="8" t="s">
        <v>554</v>
      </c>
      <c r="P2412" s="8" t="s">
        <v>405</v>
      </c>
      <c r="Q2412" s="12" t="s">
        <v>12939</v>
      </c>
      <c r="R2412" s="8" t="s">
        <v>29</v>
      </c>
      <c r="S2412" s="7" t="s">
        <v>18</v>
      </c>
      <c r="T2412" s="6"/>
      <c r="U2412" s="8"/>
      <c r="Y2412" s="8"/>
      <c r="Z2412" s="8"/>
      <c r="AA2412" s="8"/>
      <c r="AB2412" s="8"/>
      <c r="AC2412" s="8"/>
      <c r="AD2412" s="8"/>
      <c r="AE2412" s="8"/>
      <c r="AF2412" s="8"/>
      <c r="AG2412" s="8"/>
      <c r="AH2412" s="8"/>
      <c r="AN2412" s="8"/>
      <c r="AO2412" s="8"/>
      <c r="AP2412" s="8"/>
      <c r="AQ2412" s="8"/>
      <c r="AR2412" s="8"/>
      <c r="AS2412" s="8"/>
      <c r="AT2412" s="8"/>
    </row>
    <row r="2413" spans="1:46" ht="13.5" customHeight="1">
      <c r="A2413" s="8" t="s">
        <v>12951</v>
      </c>
      <c r="B2413" s="16">
        <v>22</v>
      </c>
      <c r="C2413" s="8" t="s">
        <v>20</v>
      </c>
      <c r="D2413" s="8" t="s">
        <v>37</v>
      </c>
      <c r="E2413" s="8" t="s">
        <v>12952</v>
      </c>
      <c r="F2413" s="17">
        <v>41607</v>
      </c>
      <c r="G2413" s="8" t="s">
        <v>12953</v>
      </c>
      <c r="H2413" s="8" t="s">
        <v>12954</v>
      </c>
      <c r="I2413" s="8" t="s">
        <v>73</v>
      </c>
      <c r="J2413" s="16" t="s">
        <v>12955</v>
      </c>
      <c r="K2413" s="2" t="s">
        <v>12956</v>
      </c>
      <c r="L2413" s="8" t="s">
        <v>12957</v>
      </c>
      <c r="M2413" s="8" t="s">
        <v>27</v>
      </c>
      <c r="N2413" s="8" t="s">
        <v>12958</v>
      </c>
      <c r="O2413" s="8" t="s">
        <v>404</v>
      </c>
      <c r="P2413" s="8" t="s">
        <v>405</v>
      </c>
      <c r="Q2413" s="12" t="s">
        <v>12959</v>
      </c>
      <c r="R2413" s="8" t="s">
        <v>29</v>
      </c>
      <c r="S2413" s="7" t="s">
        <v>28</v>
      </c>
      <c r="T2413" s="6"/>
      <c r="U2413" s="8"/>
      <c r="AN2413" s="8"/>
      <c r="AO2413" s="8"/>
      <c r="AP2413" s="8"/>
      <c r="AQ2413" s="8"/>
      <c r="AR2413" s="8"/>
      <c r="AS2413" s="8"/>
      <c r="AT2413" s="8"/>
    </row>
    <row r="2414" spans="1:46" ht="13.5" customHeight="1">
      <c r="A2414" s="8" t="s">
        <v>12960</v>
      </c>
      <c r="B2414" s="16">
        <v>51</v>
      </c>
      <c r="C2414" s="8" t="s">
        <v>20</v>
      </c>
      <c r="D2414" s="8" t="s">
        <v>37</v>
      </c>
      <c r="F2414" s="17">
        <v>41607</v>
      </c>
      <c r="G2414" s="8" t="s">
        <v>12961</v>
      </c>
      <c r="H2414" s="8" t="s">
        <v>1220</v>
      </c>
      <c r="I2414" s="8" t="s">
        <v>306</v>
      </c>
      <c r="J2414" s="16" t="s">
        <v>10845</v>
      </c>
      <c r="K2414" s="2" t="s">
        <v>1221</v>
      </c>
      <c r="L2414" s="8" t="s">
        <v>1222</v>
      </c>
      <c r="M2414" s="8" t="s">
        <v>27</v>
      </c>
      <c r="N2414" s="8" t="s">
        <v>12962</v>
      </c>
      <c r="O2414" s="8" t="s">
        <v>4742</v>
      </c>
      <c r="P2414" s="8" t="s">
        <v>405</v>
      </c>
      <c r="Q2414" s="12" t="s">
        <v>12963</v>
      </c>
      <c r="R2414" s="8" t="s">
        <v>100</v>
      </c>
      <c r="S2414" s="7" t="s">
        <v>28</v>
      </c>
      <c r="T2414" s="6"/>
      <c r="U2414" s="8"/>
      <c r="AN2414" s="8"/>
      <c r="AO2414" s="8"/>
      <c r="AP2414" s="8"/>
      <c r="AQ2414" s="8"/>
      <c r="AR2414" s="8"/>
      <c r="AS2414" s="8"/>
      <c r="AT2414" s="8"/>
    </row>
    <row r="2415" spans="1:46" ht="13.5" customHeight="1">
      <c r="A2415" s="8" t="s">
        <v>12946</v>
      </c>
      <c r="B2415" s="16">
        <v>23</v>
      </c>
      <c r="C2415" s="8" t="s">
        <v>20</v>
      </c>
      <c r="D2415" s="8" t="s">
        <v>48</v>
      </c>
      <c r="F2415" s="17">
        <v>41607</v>
      </c>
      <c r="G2415" s="8" t="s">
        <v>12947</v>
      </c>
      <c r="H2415" s="8" t="s">
        <v>1683</v>
      </c>
      <c r="I2415" s="8" t="s">
        <v>45</v>
      </c>
      <c r="J2415" s="16" t="s">
        <v>1684</v>
      </c>
      <c r="K2415" s="2" t="s">
        <v>98</v>
      </c>
      <c r="L2415" s="8" t="s">
        <v>12948</v>
      </c>
      <c r="M2415" s="8" t="s">
        <v>27</v>
      </c>
      <c r="N2415" s="8" t="s">
        <v>12949</v>
      </c>
      <c r="O2415" s="8" t="s">
        <v>1018</v>
      </c>
      <c r="P2415" s="8" t="s">
        <v>405</v>
      </c>
      <c r="Q2415" s="12" t="s">
        <v>12950</v>
      </c>
      <c r="R2415" s="8" t="s">
        <v>100</v>
      </c>
      <c r="S2415" s="7" t="s">
        <v>28</v>
      </c>
      <c r="T2415" s="6"/>
      <c r="U2415" s="8"/>
      <c r="Y2415" s="8"/>
      <c r="Z2415" s="8"/>
      <c r="AA2415" s="8"/>
      <c r="AB2415" s="8"/>
      <c r="AC2415" s="8"/>
      <c r="AD2415" s="8"/>
      <c r="AE2415" s="8"/>
      <c r="AF2415" s="8"/>
      <c r="AG2415" s="8"/>
      <c r="AH2415" s="8"/>
    </row>
    <row r="2416" spans="1:46" ht="13.5" customHeight="1">
      <c r="A2416" s="8" t="s">
        <v>12976</v>
      </c>
      <c r="B2416" s="16">
        <v>42</v>
      </c>
      <c r="C2416" s="8" t="s">
        <v>20</v>
      </c>
      <c r="D2416" s="8" t="s">
        <v>48</v>
      </c>
      <c r="E2416" s="8" t="s">
        <v>12977</v>
      </c>
      <c r="F2416" s="17">
        <v>41606</v>
      </c>
      <c r="G2416" s="8" t="s">
        <v>12978</v>
      </c>
      <c r="H2416" s="8" t="s">
        <v>612</v>
      </c>
      <c r="I2416" s="8" t="s">
        <v>45</v>
      </c>
      <c r="J2416" s="16" t="s">
        <v>12979</v>
      </c>
      <c r="K2416" s="2" t="s">
        <v>613</v>
      </c>
      <c r="L2416" s="8" t="s">
        <v>735</v>
      </c>
      <c r="M2416" s="8" t="s">
        <v>27</v>
      </c>
      <c r="N2416" s="8" t="s">
        <v>12980</v>
      </c>
      <c r="O2416" s="8" t="s">
        <v>4742</v>
      </c>
      <c r="P2416" s="8" t="s">
        <v>405</v>
      </c>
      <c r="Q2416" s="12" t="s">
        <v>12981</v>
      </c>
      <c r="R2416" s="8" t="s">
        <v>100</v>
      </c>
      <c r="S2416" s="7" t="s">
        <v>383</v>
      </c>
      <c r="T2416" s="6"/>
      <c r="U2416" s="8"/>
    </row>
    <row r="2417" spans="1:46" ht="13.5" customHeight="1">
      <c r="A2417" s="8" t="s">
        <v>12994</v>
      </c>
      <c r="B2417" s="16">
        <v>61</v>
      </c>
      <c r="C2417" s="8" t="s">
        <v>20</v>
      </c>
      <c r="D2417" s="8" t="s">
        <v>37</v>
      </c>
      <c r="E2417" s="8" t="s">
        <v>12995</v>
      </c>
      <c r="F2417" s="17">
        <v>41606</v>
      </c>
      <c r="G2417" s="8" t="s">
        <v>12996</v>
      </c>
      <c r="H2417" s="8" t="s">
        <v>12997</v>
      </c>
      <c r="I2417" s="8" t="s">
        <v>62</v>
      </c>
      <c r="J2417" s="16" t="s">
        <v>12998</v>
      </c>
      <c r="K2417" s="2" t="s">
        <v>1115</v>
      </c>
      <c r="L2417" s="8" t="s">
        <v>12999</v>
      </c>
      <c r="M2417" s="8" t="s">
        <v>13000</v>
      </c>
      <c r="N2417" s="8" t="s">
        <v>13001</v>
      </c>
      <c r="O2417" s="8" t="s">
        <v>3421</v>
      </c>
      <c r="P2417" s="8" t="s">
        <v>405</v>
      </c>
      <c r="Q2417" s="12" t="s">
        <v>13002</v>
      </c>
      <c r="R2417" s="8" t="s">
        <v>100</v>
      </c>
      <c r="S2417" s="7" t="s">
        <v>18</v>
      </c>
      <c r="T2417" s="6"/>
      <c r="U2417" s="8"/>
      <c r="AN2417" s="8"/>
      <c r="AO2417" s="8"/>
      <c r="AP2417" s="8"/>
      <c r="AQ2417" s="8"/>
      <c r="AR2417" s="8"/>
      <c r="AS2417" s="8"/>
      <c r="AT2417" s="8"/>
    </row>
    <row r="2418" spans="1:46" ht="13.5" customHeight="1">
      <c r="A2418" s="8" t="s">
        <v>12973</v>
      </c>
      <c r="B2418" s="16">
        <v>20</v>
      </c>
      <c r="C2418" s="8" t="s">
        <v>20</v>
      </c>
      <c r="D2418" s="8" t="s">
        <v>85</v>
      </c>
      <c r="E2418" s="8" t="s">
        <v>12974</v>
      </c>
      <c r="F2418" s="17">
        <v>41606</v>
      </c>
      <c r="G2418" s="8" t="s">
        <v>12975</v>
      </c>
      <c r="H2418" s="8" t="s">
        <v>7661</v>
      </c>
      <c r="I2418" s="8" t="s">
        <v>62</v>
      </c>
      <c r="J2418" s="16" t="s">
        <v>12971</v>
      </c>
      <c r="K2418" s="2" t="s">
        <v>12966</v>
      </c>
      <c r="L2418" s="8" t="s">
        <v>12967</v>
      </c>
      <c r="M2418" s="8" t="s">
        <v>383</v>
      </c>
      <c r="N2418" s="8" t="s">
        <v>12972</v>
      </c>
      <c r="O2418" s="8" t="s">
        <v>1018</v>
      </c>
      <c r="P2418" s="8" t="s">
        <v>405</v>
      </c>
      <c r="Q2418" s="12" t="s">
        <v>12968</v>
      </c>
      <c r="R2418" s="8" t="s">
        <v>100</v>
      </c>
      <c r="S2418" s="7" t="s">
        <v>383</v>
      </c>
      <c r="T2418" s="6"/>
      <c r="U2418" s="8"/>
    </row>
    <row r="2419" spans="1:46" ht="13.5" customHeight="1">
      <c r="A2419" s="8" t="s">
        <v>12969</v>
      </c>
      <c r="B2419" s="16">
        <v>16</v>
      </c>
      <c r="C2419" s="8" t="s">
        <v>20</v>
      </c>
      <c r="D2419" s="8" t="s">
        <v>85</v>
      </c>
      <c r="F2419" s="17">
        <v>41606</v>
      </c>
      <c r="G2419" s="8" t="s">
        <v>12970</v>
      </c>
      <c r="H2419" s="8" t="s">
        <v>7661</v>
      </c>
      <c r="I2419" s="8" t="s">
        <v>62</v>
      </c>
      <c r="J2419" s="16" t="s">
        <v>12971</v>
      </c>
      <c r="K2419" s="2" t="s">
        <v>12966</v>
      </c>
      <c r="L2419" s="8" t="s">
        <v>12967</v>
      </c>
      <c r="M2419" s="8" t="s">
        <v>383</v>
      </c>
      <c r="N2419" s="8" t="s">
        <v>12972</v>
      </c>
      <c r="O2419" s="8" t="s">
        <v>1018</v>
      </c>
      <c r="P2419" s="8" t="s">
        <v>405</v>
      </c>
      <c r="Q2419" s="12" t="s">
        <v>12968</v>
      </c>
      <c r="R2419" s="8" t="s">
        <v>100</v>
      </c>
      <c r="S2419" s="7" t="s">
        <v>383</v>
      </c>
      <c r="T2419" s="6"/>
      <c r="U2419" s="8"/>
    </row>
    <row r="2420" spans="1:46" ht="13.5" customHeight="1">
      <c r="A2420" s="8" t="s">
        <v>12982</v>
      </c>
      <c r="B2420" s="16">
        <v>48</v>
      </c>
      <c r="C2420" s="8" t="s">
        <v>20</v>
      </c>
      <c r="D2420" s="8" t="s">
        <v>37</v>
      </c>
      <c r="E2420" s="8" t="s">
        <v>12983</v>
      </c>
      <c r="F2420" s="17">
        <v>41606</v>
      </c>
      <c r="G2420" s="8" t="s">
        <v>12984</v>
      </c>
      <c r="H2420" s="8" t="s">
        <v>1939</v>
      </c>
      <c r="I2420" s="8" t="s">
        <v>212</v>
      </c>
      <c r="J2420" s="16" t="s">
        <v>1940</v>
      </c>
      <c r="K2420" s="2" t="s">
        <v>3873</v>
      </c>
      <c r="L2420" s="8" t="s">
        <v>10338</v>
      </c>
      <c r="M2420" s="8" t="s">
        <v>27</v>
      </c>
      <c r="N2420" s="8" t="s">
        <v>12985</v>
      </c>
      <c r="O2420" s="8" t="s">
        <v>554</v>
      </c>
      <c r="P2420" s="8" t="s">
        <v>405</v>
      </c>
      <c r="Q2420" s="12" t="s">
        <v>12986</v>
      </c>
      <c r="R2420" s="8" t="s">
        <v>100</v>
      </c>
      <c r="S2420" s="7" t="s">
        <v>28</v>
      </c>
      <c r="T2420" s="6"/>
      <c r="U2420" s="8"/>
      <c r="Y2420" s="8"/>
      <c r="Z2420" s="8"/>
      <c r="AA2420" s="8"/>
      <c r="AB2420" s="8"/>
      <c r="AC2420" s="8"/>
      <c r="AD2420" s="8"/>
      <c r="AE2420" s="8"/>
      <c r="AF2420" s="8"/>
      <c r="AG2420" s="8"/>
      <c r="AH2420" s="8"/>
      <c r="AN2420" s="8"/>
      <c r="AO2420" s="8"/>
      <c r="AP2420" s="8"/>
      <c r="AQ2420" s="8"/>
      <c r="AR2420" s="8"/>
      <c r="AS2420" s="8"/>
      <c r="AT2420" s="8"/>
    </row>
    <row r="2421" spans="1:46" ht="13.5" customHeight="1">
      <c r="A2421" s="8" t="s">
        <v>12964</v>
      </c>
      <c r="B2421" s="16">
        <v>20</v>
      </c>
      <c r="C2421" s="8" t="s">
        <v>115</v>
      </c>
      <c r="D2421" s="8" t="s">
        <v>85</v>
      </c>
      <c r="E2421" s="8" t="str">
        <f>HYPERLINK("https://www.facebook.com/remembershia","https://www.facebook.com/remembershia")</f>
        <v>https://www.facebook.com/remembershia</v>
      </c>
      <c r="F2421" s="17">
        <v>41606</v>
      </c>
      <c r="G2421" s="8" t="s">
        <v>12965</v>
      </c>
      <c r="H2421" s="8" t="s">
        <v>7661</v>
      </c>
      <c r="I2421" s="8" t="s">
        <v>62</v>
      </c>
      <c r="K2421" s="2" t="s">
        <v>12966</v>
      </c>
      <c r="L2421" s="8" t="s">
        <v>12967</v>
      </c>
      <c r="M2421" s="8" t="s">
        <v>383</v>
      </c>
      <c r="P2421" s="8" t="s">
        <v>405</v>
      </c>
      <c r="Q2421" s="12" t="s">
        <v>12968</v>
      </c>
      <c r="S2421" s="7" t="s">
        <v>28</v>
      </c>
      <c r="T2421" s="6"/>
      <c r="U2421" s="8"/>
    </row>
    <row r="2422" spans="1:46" ht="13.5" customHeight="1">
      <c r="A2422" s="8" t="s">
        <v>12987</v>
      </c>
      <c r="B2422" s="16">
        <v>44</v>
      </c>
      <c r="C2422" s="8" t="s">
        <v>20</v>
      </c>
      <c r="D2422" s="8" t="s">
        <v>37</v>
      </c>
      <c r="E2422" s="8" t="s">
        <v>12988</v>
      </c>
      <c r="F2422" s="17">
        <v>41606</v>
      </c>
      <c r="G2422" s="8" t="s">
        <v>12989</v>
      </c>
      <c r="H2422" s="8" t="s">
        <v>2045</v>
      </c>
      <c r="I2422" s="8" t="s">
        <v>220</v>
      </c>
      <c r="J2422" s="16" t="s">
        <v>12990</v>
      </c>
      <c r="K2422" s="2" t="s">
        <v>4113</v>
      </c>
      <c r="L2422" s="8" t="s">
        <v>12991</v>
      </c>
      <c r="M2422" s="8" t="s">
        <v>27</v>
      </c>
      <c r="N2422" s="8" t="s">
        <v>12992</v>
      </c>
      <c r="O2422" s="8" t="s">
        <v>1018</v>
      </c>
      <c r="P2422" s="8" t="s">
        <v>405</v>
      </c>
      <c r="Q2422" s="12" t="s">
        <v>12993</v>
      </c>
      <c r="R2422" s="8" t="s">
        <v>100</v>
      </c>
      <c r="S2422" s="7" t="s">
        <v>28</v>
      </c>
      <c r="T2422" s="6"/>
      <c r="U2422" s="8"/>
      <c r="AN2422" s="8"/>
      <c r="AO2422" s="8"/>
      <c r="AP2422" s="8"/>
      <c r="AQ2422" s="8"/>
      <c r="AR2422" s="8"/>
      <c r="AS2422" s="8"/>
      <c r="AT2422" s="8"/>
    </row>
    <row r="2423" spans="1:46" ht="13.5" customHeight="1">
      <c r="A2423" s="8" t="s">
        <v>13003</v>
      </c>
      <c r="B2423" s="16">
        <v>28</v>
      </c>
      <c r="C2423" s="8" t="s">
        <v>20</v>
      </c>
      <c r="D2423" s="8" t="s">
        <v>85</v>
      </c>
      <c r="E2423" s="8" t="s">
        <v>13004</v>
      </c>
      <c r="F2423" s="17">
        <v>41605</v>
      </c>
      <c r="G2423" s="8" t="s">
        <v>13005</v>
      </c>
      <c r="H2423" s="8" t="s">
        <v>2177</v>
      </c>
      <c r="I2423" s="8" t="s">
        <v>94</v>
      </c>
      <c r="J2423" s="16" t="s">
        <v>13006</v>
      </c>
      <c r="K2423" s="2" t="s">
        <v>2179</v>
      </c>
      <c r="L2423" s="8" t="s">
        <v>13007</v>
      </c>
      <c r="M2423" s="8" t="s">
        <v>27</v>
      </c>
      <c r="N2423" s="8" t="s">
        <v>13008</v>
      </c>
      <c r="O2423" s="8" t="s">
        <v>404</v>
      </c>
      <c r="P2423" s="8" t="s">
        <v>405</v>
      </c>
      <c r="Q2423" s="12" t="str">
        <f>HYPERLINK("http://whnt.com/2013/12/02/grand-jury-to-review-shooting-involving-corrections-officer/","http://whnt.com/2013/12/02/grand-jury-to-review-shooting-involving-corrections-officer/")</f>
        <v>http://whnt.com/2013/12/02/grand-jury-to-review-shooting-involving-corrections-officer/</v>
      </c>
      <c r="R2423" s="8" t="s">
        <v>29</v>
      </c>
      <c r="S2423" s="7" t="s">
        <v>18</v>
      </c>
      <c r="T2423" s="6"/>
      <c r="U2423" s="8"/>
    </row>
    <row r="2424" spans="1:46" ht="13.5" customHeight="1">
      <c r="A2424" s="8" t="s">
        <v>13009</v>
      </c>
      <c r="B2424" s="16">
        <v>30</v>
      </c>
      <c r="C2424" s="8" t="s">
        <v>20</v>
      </c>
      <c r="D2424" s="8" t="s">
        <v>48</v>
      </c>
      <c r="E2424" s="8" t="s">
        <v>13010</v>
      </c>
      <c r="F2424" s="17">
        <v>41605</v>
      </c>
      <c r="G2424" s="8" t="s">
        <v>13011</v>
      </c>
      <c r="H2424" s="8" t="s">
        <v>1104</v>
      </c>
      <c r="I2424" s="8" t="s">
        <v>399</v>
      </c>
      <c r="J2424" s="16" t="s">
        <v>13012</v>
      </c>
      <c r="K2424" s="2" t="s">
        <v>1105</v>
      </c>
      <c r="L2424" s="8" t="s">
        <v>1106</v>
      </c>
      <c r="M2424" s="8" t="s">
        <v>27</v>
      </c>
      <c r="N2424" s="8" t="s">
        <v>13013</v>
      </c>
      <c r="O2424" s="8" t="s">
        <v>4742</v>
      </c>
      <c r="P2424" s="8" t="s">
        <v>405</v>
      </c>
      <c r="Q2424" s="12" t="s">
        <v>13014</v>
      </c>
      <c r="R2424" s="8" t="s">
        <v>100</v>
      </c>
      <c r="S2424" s="7" t="s">
        <v>28</v>
      </c>
      <c r="T2424" s="6"/>
      <c r="U2424" s="8"/>
    </row>
    <row r="2425" spans="1:46" ht="13.5" customHeight="1">
      <c r="A2425" s="8" t="s">
        <v>13021</v>
      </c>
      <c r="B2425" s="16">
        <v>31</v>
      </c>
      <c r="C2425" s="8" t="s">
        <v>20</v>
      </c>
      <c r="D2425" s="8" t="s">
        <v>37</v>
      </c>
      <c r="E2425" s="8" t="s">
        <v>13022</v>
      </c>
      <c r="F2425" s="17">
        <v>41604</v>
      </c>
      <c r="G2425" s="8" t="s">
        <v>13023</v>
      </c>
      <c r="H2425" s="8" t="s">
        <v>1069</v>
      </c>
      <c r="I2425" s="8" t="s">
        <v>62</v>
      </c>
      <c r="J2425" s="16" t="s">
        <v>13024</v>
      </c>
      <c r="K2425" s="2" t="s">
        <v>1070</v>
      </c>
      <c r="L2425" s="8" t="s">
        <v>1071</v>
      </c>
      <c r="M2425" s="8" t="s">
        <v>27</v>
      </c>
      <c r="N2425" s="8" t="s">
        <v>13025</v>
      </c>
      <c r="O2425" s="8" t="s">
        <v>4742</v>
      </c>
      <c r="P2425" s="8" t="s">
        <v>405</v>
      </c>
      <c r="Q2425" s="12" t="s">
        <v>13026</v>
      </c>
      <c r="R2425" s="8" t="s">
        <v>100</v>
      </c>
      <c r="S2425" s="7" t="s">
        <v>383</v>
      </c>
      <c r="T2425" s="6"/>
      <c r="U2425" s="8"/>
      <c r="AN2425" s="8"/>
      <c r="AO2425" s="8"/>
      <c r="AP2425" s="8"/>
      <c r="AQ2425" s="8"/>
      <c r="AR2425" s="8"/>
      <c r="AS2425" s="8"/>
      <c r="AT2425" s="8"/>
    </row>
    <row r="2426" spans="1:46" ht="13.5" customHeight="1">
      <c r="A2426" s="8" t="s">
        <v>13015</v>
      </c>
      <c r="B2426" s="16">
        <v>38</v>
      </c>
      <c r="C2426" s="8" t="s">
        <v>20</v>
      </c>
      <c r="D2426" s="8" t="s">
        <v>85</v>
      </c>
      <c r="F2426" s="17">
        <v>41604</v>
      </c>
      <c r="G2426" s="8" t="s">
        <v>13016</v>
      </c>
      <c r="H2426" s="8" t="s">
        <v>13017</v>
      </c>
      <c r="I2426" s="8" t="s">
        <v>25</v>
      </c>
      <c r="K2426" s="2" t="s">
        <v>13018</v>
      </c>
      <c r="L2426" s="8" t="s">
        <v>13019</v>
      </c>
      <c r="M2426" s="8" t="s">
        <v>395</v>
      </c>
      <c r="P2426" s="8" t="s">
        <v>405</v>
      </c>
      <c r="Q2426" s="12" t="s">
        <v>13020</v>
      </c>
      <c r="S2426" s="7" t="s">
        <v>28</v>
      </c>
      <c r="T2426" s="6"/>
      <c r="U2426" s="8"/>
    </row>
    <row r="2427" spans="1:46" ht="13.5" customHeight="1">
      <c r="A2427" s="8" t="s">
        <v>13027</v>
      </c>
      <c r="B2427" s="16">
        <v>23</v>
      </c>
      <c r="C2427" s="8" t="s">
        <v>20</v>
      </c>
      <c r="D2427" s="8" t="s">
        <v>85</v>
      </c>
      <c r="E2427" s="8" t="s">
        <v>13028</v>
      </c>
      <c r="F2427" s="17">
        <v>41603</v>
      </c>
      <c r="G2427" s="8" t="s">
        <v>13029</v>
      </c>
      <c r="H2427" s="8" t="s">
        <v>13030</v>
      </c>
      <c r="I2427" s="8" t="s">
        <v>41</v>
      </c>
      <c r="J2427" s="16" t="s">
        <v>13031</v>
      </c>
      <c r="K2427" s="2" t="s">
        <v>4944</v>
      </c>
      <c r="L2427" s="8" t="s">
        <v>13032</v>
      </c>
      <c r="M2427" s="8" t="s">
        <v>27</v>
      </c>
      <c r="N2427" s="8" t="s">
        <v>13033</v>
      </c>
      <c r="O2427" s="8" t="s">
        <v>4742</v>
      </c>
      <c r="P2427" s="8" t="s">
        <v>405</v>
      </c>
      <c r="Q2427" s="12" t="s">
        <v>13034</v>
      </c>
      <c r="R2427" s="8" t="s">
        <v>100</v>
      </c>
      <c r="S2427" s="7" t="s">
        <v>28</v>
      </c>
      <c r="T2427" s="6"/>
      <c r="U2427" s="8"/>
    </row>
    <row r="2428" spans="1:46" ht="13.5" customHeight="1">
      <c r="A2428" s="8" t="s">
        <v>13035</v>
      </c>
      <c r="B2428" s="16">
        <v>53</v>
      </c>
      <c r="C2428" s="8" t="s">
        <v>20</v>
      </c>
      <c r="D2428" s="8" t="s">
        <v>85</v>
      </c>
      <c r="F2428" s="17">
        <v>41603</v>
      </c>
      <c r="G2428" s="8" t="s">
        <v>13036</v>
      </c>
      <c r="H2428" s="8" t="s">
        <v>13037</v>
      </c>
      <c r="I2428" s="8" t="s">
        <v>175</v>
      </c>
      <c r="J2428" s="16" t="s">
        <v>13038</v>
      </c>
      <c r="K2428" s="2" t="s">
        <v>3345</v>
      </c>
      <c r="L2428" s="8" t="s">
        <v>3346</v>
      </c>
      <c r="M2428" s="8" t="s">
        <v>27</v>
      </c>
      <c r="N2428" s="8" t="s">
        <v>13039</v>
      </c>
      <c r="O2428" s="8" t="s">
        <v>1018</v>
      </c>
      <c r="P2428" s="8" t="s">
        <v>405</v>
      </c>
      <c r="Q2428" s="12" t="s">
        <v>13040</v>
      </c>
      <c r="R2428" s="8" t="s">
        <v>100</v>
      </c>
      <c r="S2428" s="7" t="s">
        <v>28</v>
      </c>
      <c r="T2428" s="6"/>
      <c r="U2428" s="8"/>
    </row>
    <row r="2429" spans="1:46" ht="13.5" customHeight="1">
      <c r="A2429" s="8" t="s">
        <v>13047</v>
      </c>
      <c r="B2429" s="16">
        <v>26</v>
      </c>
      <c r="C2429" s="8" t="s">
        <v>20</v>
      </c>
      <c r="D2429" s="8" t="s">
        <v>30</v>
      </c>
      <c r="F2429" s="17">
        <v>41603</v>
      </c>
      <c r="G2429" s="8" t="s">
        <v>13048</v>
      </c>
      <c r="H2429" s="8" t="s">
        <v>119</v>
      </c>
      <c r="I2429" s="8" t="s">
        <v>3709</v>
      </c>
      <c r="J2429" s="16" t="s">
        <v>10767</v>
      </c>
      <c r="K2429" s="2" t="s">
        <v>3711</v>
      </c>
      <c r="L2429" s="8" t="s">
        <v>19944</v>
      </c>
      <c r="M2429" s="8" t="s">
        <v>27</v>
      </c>
      <c r="N2429" s="8" t="s">
        <v>13049</v>
      </c>
      <c r="O2429" s="8" t="s">
        <v>1018</v>
      </c>
      <c r="P2429" s="8" t="s">
        <v>405</v>
      </c>
      <c r="Q2429" s="12" t="s">
        <v>13050</v>
      </c>
      <c r="R2429" s="8" t="s">
        <v>100</v>
      </c>
      <c r="S2429" s="7" t="s">
        <v>28</v>
      </c>
      <c r="T2429" s="6"/>
      <c r="U2429" s="8"/>
    </row>
    <row r="2430" spans="1:46" ht="13.5" customHeight="1">
      <c r="A2430" s="8" t="s">
        <v>13041</v>
      </c>
      <c r="B2430" s="16">
        <v>72</v>
      </c>
      <c r="C2430" s="8" t="s">
        <v>20</v>
      </c>
      <c r="D2430" s="8" t="s">
        <v>48</v>
      </c>
      <c r="F2430" s="17">
        <v>41603</v>
      </c>
      <c r="G2430" s="8" t="s">
        <v>13042</v>
      </c>
      <c r="H2430" s="8" t="s">
        <v>13043</v>
      </c>
      <c r="I2430" s="8" t="s">
        <v>45</v>
      </c>
      <c r="J2430" s="16" t="s">
        <v>13044</v>
      </c>
      <c r="K2430" s="2" t="s">
        <v>98</v>
      </c>
      <c r="L2430" s="8" t="s">
        <v>99</v>
      </c>
      <c r="M2430" s="8" t="s">
        <v>27</v>
      </c>
      <c r="N2430" s="8" t="s">
        <v>13045</v>
      </c>
      <c r="O2430" s="8" t="s">
        <v>4742</v>
      </c>
      <c r="P2430" s="8" t="s">
        <v>405</v>
      </c>
      <c r="Q2430" s="12" t="s">
        <v>13046</v>
      </c>
      <c r="R2430" s="8" t="s">
        <v>100</v>
      </c>
      <c r="S2430" s="7" t="s">
        <v>28</v>
      </c>
      <c r="T2430" s="6"/>
      <c r="U2430" s="8"/>
    </row>
    <row r="2431" spans="1:46" ht="13.5" customHeight="1">
      <c r="A2431" s="8" t="s">
        <v>13054</v>
      </c>
      <c r="B2431" s="16">
        <v>42</v>
      </c>
      <c r="C2431" s="8" t="s">
        <v>20</v>
      </c>
      <c r="D2431" s="8" t="s">
        <v>37</v>
      </c>
      <c r="F2431" s="17">
        <v>41602</v>
      </c>
      <c r="G2431" s="8" t="s">
        <v>13055</v>
      </c>
      <c r="H2431" s="8" t="s">
        <v>1004</v>
      </c>
      <c r="I2431" s="8" t="s">
        <v>212</v>
      </c>
      <c r="J2431" s="16" t="s">
        <v>13056</v>
      </c>
      <c r="K2431" s="2" t="s">
        <v>1004</v>
      </c>
      <c r="L2431" s="8" t="s">
        <v>1005</v>
      </c>
      <c r="M2431" s="8" t="s">
        <v>27</v>
      </c>
      <c r="N2431" s="8" t="s">
        <v>13057</v>
      </c>
      <c r="O2431" s="8" t="s">
        <v>554</v>
      </c>
      <c r="P2431" s="8" t="s">
        <v>405</v>
      </c>
      <c r="Q2431" s="12" t="s">
        <v>13058</v>
      </c>
      <c r="R2431" s="8" t="s">
        <v>100</v>
      </c>
      <c r="S2431" s="7" t="s">
        <v>28</v>
      </c>
      <c r="T2431" s="6"/>
      <c r="U2431" s="8"/>
      <c r="AN2431" s="8"/>
      <c r="AO2431" s="8"/>
      <c r="AP2431" s="8"/>
      <c r="AQ2431" s="8"/>
      <c r="AR2431" s="8"/>
      <c r="AS2431" s="8"/>
      <c r="AT2431" s="8"/>
    </row>
    <row r="2432" spans="1:46" ht="13.5" customHeight="1">
      <c r="A2432" s="8" t="s">
        <v>13051</v>
      </c>
      <c r="B2432" s="16">
        <v>35</v>
      </c>
      <c r="C2432" s="8" t="s">
        <v>20</v>
      </c>
      <c r="D2432" s="8" t="s">
        <v>85</v>
      </c>
      <c r="F2432" s="17">
        <v>41602</v>
      </c>
      <c r="G2432" s="8" t="s">
        <v>13052</v>
      </c>
      <c r="H2432" s="8" t="s">
        <v>13053</v>
      </c>
      <c r="I2432" s="8" t="s">
        <v>45</v>
      </c>
      <c r="K2432" s="2" t="s">
        <v>791</v>
      </c>
      <c r="L2432" s="8" t="s">
        <v>792</v>
      </c>
      <c r="M2432" s="8" t="s">
        <v>27</v>
      </c>
      <c r="P2432" s="8" t="s">
        <v>405</v>
      </c>
      <c r="Q2432" s="12" t="s">
        <v>5890</v>
      </c>
      <c r="S2432" s="7" t="s">
        <v>28</v>
      </c>
      <c r="T2432" s="6"/>
      <c r="U2432" s="8"/>
    </row>
    <row r="2433" spans="1:46" ht="13.5" customHeight="1">
      <c r="A2433" s="8" t="s">
        <v>13063</v>
      </c>
      <c r="B2433" s="16">
        <v>24</v>
      </c>
      <c r="C2433" s="8" t="s">
        <v>20</v>
      </c>
      <c r="D2433" s="8" t="s">
        <v>37</v>
      </c>
      <c r="E2433" s="8" t="s">
        <v>13064</v>
      </c>
      <c r="F2433" s="17">
        <v>41601</v>
      </c>
      <c r="G2433" s="8" t="s">
        <v>13065</v>
      </c>
      <c r="H2433" s="8" t="s">
        <v>934</v>
      </c>
      <c r="I2433" s="8" t="s">
        <v>73</v>
      </c>
      <c r="J2433" s="16" t="s">
        <v>13066</v>
      </c>
      <c r="K2433" s="2" t="s">
        <v>74</v>
      </c>
      <c r="L2433" s="8" t="s">
        <v>935</v>
      </c>
      <c r="M2433" s="8" t="s">
        <v>27</v>
      </c>
      <c r="N2433" s="8" t="s">
        <v>13067</v>
      </c>
      <c r="O2433" s="8" t="s">
        <v>554</v>
      </c>
      <c r="P2433" s="8" t="s">
        <v>405</v>
      </c>
      <c r="Q2433" s="12" t="s">
        <v>13068</v>
      </c>
      <c r="R2433" s="8" t="s">
        <v>100</v>
      </c>
      <c r="S2433" s="7" t="s">
        <v>383</v>
      </c>
      <c r="T2433" s="6"/>
      <c r="U2433" s="8"/>
      <c r="AN2433" s="8"/>
      <c r="AO2433" s="8"/>
      <c r="AP2433" s="8"/>
      <c r="AQ2433" s="8"/>
      <c r="AR2433" s="8"/>
      <c r="AS2433" s="8"/>
      <c r="AT2433" s="8"/>
    </row>
    <row r="2434" spans="1:46" ht="13.5" customHeight="1">
      <c r="A2434" s="8" t="s">
        <v>13059</v>
      </c>
      <c r="B2434" s="16">
        <v>24</v>
      </c>
      <c r="C2434" s="8" t="s">
        <v>20</v>
      </c>
      <c r="D2434" s="8" t="s">
        <v>30</v>
      </c>
      <c r="F2434" s="17">
        <v>41601</v>
      </c>
      <c r="G2434" s="8" t="s">
        <v>13060</v>
      </c>
      <c r="H2434" s="8" t="s">
        <v>3743</v>
      </c>
      <c r="I2434" s="8" t="s">
        <v>45</v>
      </c>
      <c r="J2434" s="16" t="s">
        <v>3744</v>
      </c>
      <c r="K2434" s="2" t="s">
        <v>98</v>
      </c>
      <c r="L2434" s="8" t="s">
        <v>3745</v>
      </c>
      <c r="M2434" s="8" t="s">
        <v>27</v>
      </c>
      <c r="N2434" s="8" t="s">
        <v>13061</v>
      </c>
      <c r="O2434" s="8" t="s">
        <v>4742</v>
      </c>
      <c r="P2434" s="8" t="s">
        <v>405</v>
      </c>
      <c r="Q2434" s="12" t="s">
        <v>13062</v>
      </c>
      <c r="R2434" s="8" t="s">
        <v>100</v>
      </c>
      <c r="S2434" s="7" t="s">
        <v>18</v>
      </c>
      <c r="T2434" s="6"/>
      <c r="U2434" s="8"/>
    </row>
    <row r="2435" spans="1:46" ht="13.5" customHeight="1">
      <c r="A2435" s="8" t="s">
        <v>13079</v>
      </c>
      <c r="B2435" s="16" t="s">
        <v>8822</v>
      </c>
      <c r="C2435" s="8" t="s">
        <v>20</v>
      </c>
      <c r="D2435" s="8" t="s">
        <v>48</v>
      </c>
      <c r="F2435" s="17">
        <v>41600</v>
      </c>
      <c r="G2435" s="8" t="s">
        <v>13080</v>
      </c>
      <c r="H2435" s="8" t="s">
        <v>791</v>
      </c>
      <c r="I2435" s="8" t="s">
        <v>45</v>
      </c>
      <c r="J2435" s="16" t="s">
        <v>13081</v>
      </c>
      <c r="K2435" s="2" t="s">
        <v>791</v>
      </c>
      <c r="L2435" s="8" t="s">
        <v>6009</v>
      </c>
      <c r="M2435" s="8" t="s">
        <v>27</v>
      </c>
      <c r="N2435" s="8" t="s">
        <v>13082</v>
      </c>
      <c r="O2435" s="8" t="s">
        <v>29</v>
      </c>
      <c r="P2435" s="8" t="s">
        <v>405</v>
      </c>
      <c r="Q2435" s="12" t="s">
        <v>13083</v>
      </c>
      <c r="R2435" s="8" t="s">
        <v>100</v>
      </c>
      <c r="S2435" s="7" t="s">
        <v>28</v>
      </c>
      <c r="T2435" s="6"/>
      <c r="U2435" s="8"/>
    </row>
    <row r="2436" spans="1:46" ht="13.5" customHeight="1">
      <c r="A2436" s="8" t="s">
        <v>13069</v>
      </c>
      <c r="B2436" s="16">
        <v>47</v>
      </c>
      <c r="C2436" s="8" t="s">
        <v>20</v>
      </c>
      <c r="D2436" s="8" t="s">
        <v>85</v>
      </c>
      <c r="E2436" s="8" t="s">
        <v>13070</v>
      </c>
      <c r="F2436" s="17">
        <v>41600</v>
      </c>
      <c r="G2436" s="8" t="s">
        <v>13071</v>
      </c>
      <c r="H2436" s="8" t="s">
        <v>1300</v>
      </c>
      <c r="I2436" s="8" t="s">
        <v>69</v>
      </c>
      <c r="J2436" s="16" t="s">
        <v>5094</v>
      </c>
      <c r="K2436" s="2" t="s">
        <v>1301</v>
      </c>
      <c r="L2436" s="8" t="s">
        <v>12726</v>
      </c>
      <c r="M2436" s="8" t="s">
        <v>27</v>
      </c>
      <c r="N2436" s="8" t="s">
        <v>13072</v>
      </c>
      <c r="O2436" s="8" t="s">
        <v>1018</v>
      </c>
      <c r="P2436" s="8" t="s">
        <v>405</v>
      </c>
      <c r="Q2436" s="12" t="s">
        <v>13073</v>
      </c>
      <c r="R2436" s="8" t="s">
        <v>100</v>
      </c>
      <c r="S2436" s="7" t="s">
        <v>28</v>
      </c>
      <c r="T2436" s="6"/>
      <c r="U2436" s="8"/>
    </row>
    <row r="2437" spans="1:46" ht="13.5" customHeight="1">
      <c r="A2437" s="8" t="s">
        <v>13074</v>
      </c>
      <c r="B2437" s="16">
        <v>18</v>
      </c>
      <c r="C2437" s="8" t="s">
        <v>20</v>
      </c>
      <c r="D2437" s="8" t="s">
        <v>48</v>
      </c>
      <c r="F2437" s="17">
        <v>41600</v>
      </c>
      <c r="G2437" s="8" t="s">
        <v>13075</v>
      </c>
      <c r="H2437" s="8" t="s">
        <v>98</v>
      </c>
      <c r="I2437" s="8" t="s">
        <v>45</v>
      </c>
      <c r="J2437" s="16" t="s">
        <v>13076</v>
      </c>
      <c r="K2437" s="2" t="s">
        <v>98</v>
      </c>
      <c r="L2437" s="8" t="s">
        <v>99</v>
      </c>
      <c r="M2437" s="8" t="s">
        <v>27</v>
      </c>
      <c r="N2437" s="8" t="s">
        <v>13077</v>
      </c>
      <c r="O2437" s="8" t="s">
        <v>4742</v>
      </c>
      <c r="P2437" s="8" t="s">
        <v>405</v>
      </c>
      <c r="Q2437" s="12" t="s">
        <v>13078</v>
      </c>
      <c r="R2437" s="8" t="s">
        <v>100</v>
      </c>
      <c r="S2437" s="7" t="s">
        <v>28</v>
      </c>
      <c r="T2437" s="6"/>
      <c r="U2437" s="8"/>
    </row>
    <row r="2438" spans="1:46" ht="13.5" customHeight="1">
      <c r="A2438" s="8" t="s">
        <v>13099</v>
      </c>
      <c r="B2438" s="16">
        <v>30</v>
      </c>
      <c r="C2438" s="8" t="s">
        <v>20</v>
      </c>
      <c r="D2438" s="8" t="s">
        <v>37</v>
      </c>
      <c r="E2438" s="8" t="s">
        <v>13100</v>
      </c>
      <c r="F2438" s="17">
        <v>41600</v>
      </c>
      <c r="G2438" s="8" t="s">
        <v>13101</v>
      </c>
      <c r="H2438" s="8" t="s">
        <v>13102</v>
      </c>
      <c r="I2438" s="8" t="s">
        <v>44</v>
      </c>
      <c r="J2438" s="16" t="s">
        <v>13103</v>
      </c>
      <c r="K2438" s="2" t="s">
        <v>13104</v>
      </c>
      <c r="L2438" s="8" t="s">
        <v>13105</v>
      </c>
      <c r="M2438" s="8" t="s">
        <v>27</v>
      </c>
      <c r="N2438" s="8" t="s">
        <v>13106</v>
      </c>
      <c r="O2438" s="8" t="s">
        <v>554</v>
      </c>
      <c r="P2438" s="8" t="s">
        <v>405</v>
      </c>
      <c r="Q2438" s="12" t="s">
        <v>13107</v>
      </c>
      <c r="R2438" s="8" t="s">
        <v>100</v>
      </c>
      <c r="S2438" s="7" t="s">
        <v>28</v>
      </c>
      <c r="T2438" s="6"/>
      <c r="U2438" s="8"/>
      <c r="AN2438" s="8"/>
      <c r="AO2438" s="8"/>
      <c r="AP2438" s="8"/>
      <c r="AQ2438" s="8"/>
      <c r="AR2438" s="8"/>
      <c r="AS2438" s="8"/>
      <c r="AT2438" s="8"/>
    </row>
    <row r="2439" spans="1:46" ht="13.5" customHeight="1">
      <c r="A2439" s="8" t="s">
        <v>13093</v>
      </c>
      <c r="B2439" s="16">
        <v>26</v>
      </c>
      <c r="C2439" s="8" t="s">
        <v>20</v>
      </c>
      <c r="D2439" s="8" t="s">
        <v>37</v>
      </c>
      <c r="E2439" s="8" t="s">
        <v>13094</v>
      </c>
      <c r="F2439" s="17">
        <v>41600</v>
      </c>
      <c r="G2439" s="8" t="s">
        <v>13095</v>
      </c>
      <c r="H2439" s="8" t="s">
        <v>934</v>
      </c>
      <c r="I2439" s="8" t="s">
        <v>73</v>
      </c>
      <c r="J2439" s="16" t="s">
        <v>13096</v>
      </c>
      <c r="K2439" s="2" t="s">
        <v>74</v>
      </c>
      <c r="L2439" s="8" t="s">
        <v>935</v>
      </c>
      <c r="M2439" s="8" t="s">
        <v>27</v>
      </c>
      <c r="N2439" s="8" t="s">
        <v>13097</v>
      </c>
      <c r="O2439" s="8" t="s">
        <v>554</v>
      </c>
      <c r="P2439" s="8" t="s">
        <v>405</v>
      </c>
      <c r="Q2439" s="12" t="s">
        <v>13098</v>
      </c>
      <c r="R2439" s="8" t="s">
        <v>100</v>
      </c>
      <c r="S2439" s="7" t="s">
        <v>28</v>
      </c>
      <c r="T2439" s="6"/>
      <c r="U2439" s="8"/>
      <c r="AN2439" s="8"/>
      <c r="AO2439" s="8"/>
      <c r="AP2439" s="8"/>
      <c r="AQ2439" s="8"/>
      <c r="AR2439" s="8"/>
      <c r="AS2439" s="8"/>
      <c r="AT2439" s="8"/>
    </row>
    <row r="2440" spans="1:46" ht="13.5" customHeight="1">
      <c r="A2440" s="8" t="s">
        <v>13084</v>
      </c>
      <c r="B2440" s="16">
        <v>31</v>
      </c>
      <c r="C2440" s="8" t="s">
        <v>20</v>
      </c>
      <c r="D2440" s="8" t="s">
        <v>37</v>
      </c>
      <c r="E2440" s="8" t="s">
        <v>13085</v>
      </c>
      <c r="F2440" s="17">
        <v>41600</v>
      </c>
      <c r="G2440" s="8" t="s">
        <v>13086</v>
      </c>
      <c r="H2440" s="8" t="s">
        <v>13087</v>
      </c>
      <c r="I2440" s="8" t="s">
        <v>118</v>
      </c>
      <c r="J2440" s="16" t="s">
        <v>13088</v>
      </c>
      <c r="K2440" s="2" t="s">
        <v>13089</v>
      </c>
      <c r="L2440" s="8" t="s">
        <v>13090</v>
      </c>
      <c r="M2440" s="8" t="s">
        <v>27</v>
      </c>
      <c r="N2440" s="8" t="s">
        <v>13091</v>
      </c>
      <c r="O2440" s="8" t="s">
        <v>554</v>
      </c>
      <c r="P2440" s="8" t="s">
        <v>405</v>
      </c>
      <c r="Q2440" s="12" t="s">
        <v>13092</v>
      </c>
      <c r="R2440" s="8" t="s">
        <v>100</v>
      </c>
      <c r="S2440" s="7" t="s">
        <v>18</v>
      </c>
      <c r="T2440" s="6"/>
      <c r="U2440" s="8"/>
      <c r="AN2440" s="8"/>
      <c r="AO2440" s="8"/>
      <c r="AP2440" s="8"/>
      <c r="AQ2440" s="8"/>
      <c r="AR2440" s="8"/>
      <c r="AS2440" s="8"/>
      <c r="AT2440" s="8"/>
    </row>
    <row r="2441" spans="1:46" ht="13.5" customHeight="1">
      <c r="A2441" s="8" t="s">
        <v>13108</v>
      </c>
      <c r="B2441" s="16">
        <v>28</v>
      </c>
      <c r="C2441" s="8" t="s">
        <v>20</v>
      </c>
      <c r="D2441" s="8" t="s">
        <v>37</v>
      </c>
      <c r="E2441" s="8" t="s">
        <v>13109</v>
      </c>
      <c r="F2441" s="17">
        <v>41599</v>
      </c>
      <c r="G2441" s="8" t="s">
        <v>13110</v>
      </c>
      <c r="H2441" s="8" t="s">
        <v>13111</v>
      </c>
      <c r="I2441" s="8" t="s">
        <v>81</v>
      </c>
      <c r="J2441" s="16" t="s">
        <v>13112</v>
      </c>
      <c r="K2441" s="2" t="s">
        <v>42</v>
      </c>
      <c r="L2441" s="8" t="s">
        <v>13113</v>
      </c>
      <c r="M2441" s="8" t="s">
        <v>27</v>
      </c>
      <c r="N2441" s="8" t="s">
        <v>13114</v>
      </c>
      <c r="O2441" s="8" t="s">
        <v>29</v>
      </c>
      <c r="P2441" s="8" t="s">
        <v>405</v>
      </c>
      <c r="Q2441" s="12" t="s">
        <v>13115</v>
      </c>
      <c r="R2441" s="8" t="s">
        <v>559</v>
      </c>
      <c r="S2441" s="7" t="s">
        <v>28</v>
      </c>
      <c r="T2441" s="6"/>
      <c r="U2441" s="8"/>
      <c r="AN2441" s="8"/>
      <c r="AO2441" s="8"/>
      <c r="AP2441" s="8"/>
      <c r="AQ2441" s="8"/>
      <c r="AR2441" s="8"/>
      <c r="AS2441" s="8"/>
      <c r="AT2441" s="8"/>
    </row>
    <row r="2442" spans="1:46" ht="13.5" customHeight="1">
      <c r="A2442" s="8" t="s">
        <v>13116</v>
      </c>
      <c r="B2442" s="16">
        <v>58</v>
      </c>
      <c r="C2442" s="8" t="s">
        <v>20</v>
      </c>
      <c r="D2442" s="8" t="s">
        <v>37</v>
      </c>
      <c r="E2442" s="8" t="s">
        <v>13117</v>
      </c>
      <c r="F2442" s="17">
        <v>41599</v>
      </c>
      <c r="G2442" s="8" t="s">
        <v>13118</v>
      </c>
      <c r="H2442" s="8" t="s">
        <v>4689</v>
      </c>
      <c r="I2442" s="8" t="s">
        <v>62</v>
      </c>
      <c r="J2442" s="16" t="s">
        <v>13119</v>
      </c>
      <c r="K2442" s="2" t="s">
        <v>2114</v>
      </c>
      <c r="L2442" s="8" t="s">
        <v>3428</v>
      </c>
      <c r="M2442" s="8" t="s">
        <v>27</v>
      </c>
      <c r="N2442" s="8" t="s">
        <v>13120</v>
      </c>
      <c r="O2442" s="8" t="s">
        <v>404</v>
      </c>
      <c r="P2442" s="8" t="s">
        <v>405</v>
      </c>
      <c r="Q2442" s="12" t="s">
        <v>13121</v>
      </c>
      <c r="R2442" s="8" t="s">
        <v>100</v>
      </c>
      <c r="S2442" s="7" t="s">
        <v>28</v>
      </c>
      <c r="T2442" s="6"/>
      <c r="U2442" s="8"/>
      <c r="AN2442" s="8"/>
      <c r="AO2442" s="8"/>
      <c r="AP2442" s="8"/>
      <c r="AQ2442" s="8"/>
      <c r="AR2442" s="8"/>
      <c r="AS2442" s="8"/>
      <c r="AT2442" s="8"/>
    </row>
    <row r="2443" spans="1:46" ht="13.5" customHeight="1">
      <c r="A2443" s="8" t="s">
        <v>13136</v>
      </c>
      <c r="B2443" s="16">
        <v>44</v>
      </c>
      <c r="C2443" s="8" t="s">
        <v>20</v>
      </c>
      <c r="D2443" s="8" t="s">
        <v>37</v>
      </c>
      <c r="F2443" s="17">
        <v>41598</v>
      </c>
      <c r="G2443" s="8" t="s">
        <v>13137</v>
      </c>
      <c r="H2443" s="8" t="s">
        <v>3229</v>
      </c>
      <c r="I2443" s="8" t="s">
        <v>118</v>
      </c>
      <c r="J2443" s="16" t="s">
        <v>13138</v>
      </c>
      <c r="K2443" s="2" t="s">
        <v>3231</v>
      </c>
      <c r="L2443" s="8" t="s">
        <v>3232</v>
      </c>
      <c r="M2443" s="8" t="s">
        <v>27</v>
      </c>
      <c r="N2443" s="8" t="s">
        <v>13139</v>
      </c>
      <c r="O2443" s="8" t="s">
        <v>554</v>
      </c>
      <c r="P2443" s="8" t="s">
        <v>405</v>
      </c>
      <c r="Q2443" s="12" t="s">
        <v>13140</v>
      </c>
      <c r="R2443" s="8" t="s">
        <v>29</v>
      </c>
      <c r="S2443" s="7" t="s">
        <v>28</v>
      </c>
      <c r="T2443" s="6"/>
      <c r="U2443" s="8"/>
    </row>
    <row r="2444" spans="1:46" ht="13.5" customHeight="1">
      <c r="A2444" s="8" t="s">
        <v>13129</v>
      </c>
      <c r="B2444" s="16">
        <v>25</v>
      </c>
      <c r="C2444" s="8" t="s">
        <v>20</v>
      </c>
      <c r="D2444" s="8" t="s">
        <v>85</v>
      </c>
      <c r="E2444" s="8" t="s">
        <v>13130</v>
      </c>
      <c r="F2444" s="17">
        <v>41598</v>
      </c>
      <c r="G2444" s="8" t="s">
        <v>13131</v>
      </c>
      <c r="H2444" s="8" t="s">
        <v>2144</v>
      </c>
      <c r="I2444" s="8" t="s">
        <v>427</v>
      </c>
      <c r="J2444" s="16" t="s">
        <v>13132</v>
      </c>
      <c r="K2444" s="2" t="s">
        <v>1070</v>
      </c>
      <c r="L2444" s="8" t="s">
        <v>13133</v>
      </c>
      <c r="M2444" s="8" t="s">
        <v>27</v>
      </c>
      <c r="N2444" s="8" t="s">
        <v>13134</v>
      </c>
      <c r="O2444" s="8" t="s">
        <v>554</v>
      </c>
      <c r="P2444" s="8" t="s">
        <v>405</v>
      </c>
      <c r="Q2444" s="12" t="s">
        <v>13135</v>
      </c>
      <c r="R2444" s="8" t="s">
        <v>100</v>
      </c>
      <c r="S2444" s="7" t="s">
        <v>28</v>
      </c>
      <c r="T2444" s="6"/>
      <c r="U2444" s="8"/>
    </row>
    <row r="2445" spans="1:46" ht="13.5" customHeight="1">
      <c r="A2445" s="8" t="s">
        <v>13122</v>
      </c>
      <c r="B2445" s="16">
        <v>20</v>
      </c>
      <c r="C2445" s="8" t="s">
        <v>20</v>
      </c>
      <c r="D2445" s="8" t="s">
        <v>85</v>
      </c>
      <c r="E2445" s="8" t="s">
        <v>13123</v>
      </c>
      <c r="F2445" s="17">
        <v>41598</v>
      </c>
      <c r="G2445" s="8" t="s">
        <v>13124</v>
      </c>
      <c r="H2445" s="8" t="s">
        <v>13125</v>
      </c>
      <c r="I2445" s="8" t="s">
        <v>124</v>
      </c>
      <c r="J2445" s="16" t="s">
        <v>13126</v>
      </c>
      <c r="K2445" s="2" t="s">
        <v>566</v>
      </c>
      <c r="L2445" s="8" t="s">
        <v>12910</v>
      </c>
      <c r="M2445" s="8" t="s">
        <v>27</v>
      </c>
      <c r="N2445" s="8" t="s">
        <v>13127</v>
      </c>
      <c r="O2445" s="8" t="s">
        <v>4742</v>
      </c>
      <c r="P2445" s="8" t="s">
        <v>405</v>
      </c>
      <c r="Q2445" s="12" t="s">
        <v>13128</v>
      </c>
      <c r="R2445" s="8" t="s">
        <v>559</v>
      </c>
      <c r="S2445" s="7" t="s">
        <v>28</v>
      </c>
      <c r="T2445" s="6"/>
      <c r="U2445" s="8"/>
    </row>
    <row r="2446" spans="1:46" ht="13.5" customHeight="1">
      <c r="A2446" s="8" t="s">
        <v>13145</v>
      </c>
      <c r="B2446" s="16">
        <v>17</v>
      </c>
      <c r="C2446" s="8" t="s">
        <v>20</v>
      </c>
      <c r="D2446" s="8" t="s">
        <v>48</v>
      </c>
      <c r="E2446" s="8" t="s">
        <v>13146</v>
      </c>
      <c r="F2446" s="17">
        <v>41597</v>
      </c>
      <c r="G2446" s="8" t="s">
        <v>13147</v>
      </c>
      <c r="H2446" s="8" t="s">
        <v>497</v>
      </c>
      <c r="I2446" s="8" t="s">
        <v>370</v>
      </c>
      <c r="J2446" s="16" t="s">
        <v>13148</v>
      </c>
      <c r="K2446" s="2" t="s">
        <v>497</v>
      </c>
      <c r="L2446" s="8" t="s">
        <v>499</v>
      </c>
      <c r="M2446" s="8" t="s">
        <v>27</v>
      </c>
      <c r="N2446" s="8" t="s">
        <v>13149</v>
      </c>
      <c r="O2446" s="8" t="s">
        <v>619</v>
      </c>
      <c r="P2446" s="8" t="s">
        <v>405</v>
      </c>
      <c r="Q2446" s="12" t="s">
        <v>13150</v>
      </c>
      <c r="R2446" s="8" t="s">
        <v>100</v>
      </c>
      <c r="S2446" s="7" t="s">
        <v>18</v>
      </c>
      <c r="T2446" s="6"/>
      <c r="U2446" s="8"/>
    </row>
    <row r="2447" spans="1:46" ht="13.5" customHeight="1">
      <c r="A2447" s="8" t="s">
        <v>13157</v>
      </c>
      <c r="B2447" s="16">
        <v>19</v>
      </c>
      <c r="C2447" s="8" t="s">
        <v>20</v>
      </c>
      <c r="D2447" s="8" t="s">
        <v>37</v>
      </c>
      <c r="E2447" s="8" t="s">
        <v>13158</v>
      </c>
      <c r="F2447" s="17">
        <v>41597</v>
      </c>
      <c r="G2447" s="8" t="s">
        <v>13159</v>
      </c>
      <c r="H2447" s="8" t="s">
        <v>13160</v>
      </c>
      <c r="I2447" s="8" t="s">
        <v>247</v>
      </c>
      <c r="J2447" s="16" t="s">
        <v>13161</v>
      </c>
      <c r="K2447" s="2" t="s">
        <v>13162</v>
      </c>
      <c r="L2447" s="8" t="s">
        <v>13163</v>
      </c>
      <c r="M2447" s="8" t="s">
        <v>27</v>
      </c>
      <c r="N2447" s="8" t="s">
        <v>13164</v>
      </c>
      <c r="O2447" s="8" t="s">
        <v>554</v>
      </c>
      <c r="P2447" s="8" t="s">
        <v>405</v>
      </c>
      <c r="Q2447" s="12" t="s">
        <v>13165</v>
      </c>
      <c r="R2447" s="8" t="s">
        <v>29</v>
      </c>
      <c r="S2447" s="7" t="s">
        <v>28</v>
      </c>
      <c r="T2447" s="6"/>
      <c r="U2447" s="8"/>
    </row>
    <row r="2448" spans="1:46" ht="13.5" customHeight="1">
      <c r="A2448" s="8" t="s">
        <v>13166</v>
      </c>
      <c r="B2448" s="16">
        <v>44</v>
      </c>
      <c r="C2448" s="8" t="s">
        <v>20</v>
      </c>
      <c r="D2448" s="8" t="s">
        <v>37</v>
      </c>
      <c r="E2448" s="8" t="s">
        <v>13167</v>
      </c>
      <c r="F2448" s="17">
        <v>41597</v>
      </c>
      <c r="G2448" s="8" t="s">
        <v>13168</v>
      </c>
      <c r="H2448" s="8" t="s">
        <v>526</v>
      </c>
      <c r="I2448" s="8" t="s">
        <v>124</v>
      </c>
      <c r="J2448" s="16" t="s">
        <v>13169</v>
      </c>
      <c r="K2448" s="2" t="s">
        <v>181</v>
      </c>
      <c r="L2448" s="8" t="s">
        <v>13170</v>
      </c>
      <c r="M2448" s="8" t="s">
        <v>27</v>
      </c>
      <c r="N2448" s="8" t="s">
        <v>13171</v>
      </c>
      <c r="O2448" s="8" t="s">
        <v>554</v>
      </c>
      <c r="P2448" s="8" t="s">
        <v>405</v>
      </c>
      <c r="Q2448" s="12" t="s">
        <v>13172</v>
      </c>
      <c r="R2448" s="8" t="s">
        <v>559</v>
      </c>
      <c r="S2448" s="7" t="s">
        <v>28</v>
      </c>
      <c r="T2448" s="6"/>
      <c r="U2448" s="8"/>
    </row>
    <row r="2449" spans="1:21" ht="13.5" customHeight="1">
      <c r="A2449" s="8" t="s">
        <v>13173</v>
      </c>
      <c r="B2449" s="16">
        <v>47</v>
      </c>
      <c r="C2449" s="8" t="s">
        <v>20</v>
      </c>
      <c r="D2449" s="8" t="s">
        <v>37</v>
      </c>
      <c r="E2449" s="8" t="s">
        <v>13174</v>
      </c>
      <c r="F2449" s="17">
        <v>41597</v>
      </c>
      <c r="G2449" s="8" t="s">
        <v>13175</v>
      </c>
      <c r="H2449" s="8" t="s">
        <v>10944</v>
      </c>
      <c r="I2449" s="8" t="s">
        <v>45</v>
      </c>
      <c r="J2449" s="16" t="s">
        <v>10945</v>
      </c>
      <c r="K2449" s="2" t="s">
        <v>313</v>
      </c>
      <c r="L2449" s="8" t="s">
        <v>12238</v>
      </c>
      <c r="M2449" s="8" t="s">
        <v>27</v>
      </c>
      <c r="N2449" s="8" t="s">
        <v>13176</v>
      </c>
      <c r="O2449" s="8" t="s">
        <v>1018</v>
      </c>
      <c r="P2449" s="8" t="s">
        <v>405</v>
      </c>
      <c r="Q2449" s="12" t="s">
        <v>13177</v>
      </c>
      <c r="R2449" s="8" t="s">
        <v>100</v>
      </c>
      <c r="S2449" s="7" t="s">
        <v>28</v>
      </c>
      <c r="T2449" s="6"/>
      <c r="U2449" s="8"/>
    </row>
    <row r="2450" spans="1:21" ht="13.5" customHeight="1">
      <c r="A2450" s="8" t="s">
        <v>13141</v>
      </c>
      <c r="B2450" s="16">
        <v>19</v>
      </c>
      <c r="C2450" s="8" t="s">
        <v>20</v>
      </c>
      <c r="D2450" s="8" t="s">
        <v>85</v>
      </c>
      <c r="E2450" s="8" t="s">
        <v>13142</v>
      </c>
      <c r="F2450" s="17">
        <v>41597</v>
      </c>
      <c r="G2450" s="8" t="s">
        <v>13143</v>
      </c>
      <c r="H2450" s="8" t="s">
        <v>493</v>
      </c>
      <c r="I2450" s="8" t="s">
        <v>45</v>
      </c>
      <c r="J2450" s="16" t="s">
        <v>6416</v>
      </c>
      <c r="K2450" s="2" t="s">
        <v>98</v>
      </c>
      <c r="L2450" s="8" t="s">
        <v>494</v>
      </c>
      <c r="M2450" s="8" t="s">
        <v>27</v>
      </c>
      <c r="N2450" s="8" t="s">
        <v>13144</v>
      </c>
      <c r="O2450" s="8" t="s">
        <v>1018</v>
      </c>
      <c r="P2450" s="8" t="s">
        <v>405</v>
      </c>
      <c r="Q2450" s="12"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2450" s="8" t="s">
        <v>100</v>
      </c>
      <c r="S2450" s="7" t="s">
        <v>35</v>
      </c>
      <c r="T2450" s="6"/>
      <c r="U2450" s="8"/>
    </row>
    <row r="2451" spans="1:21" ht="13.5" customHeight="1">
      <c r="A2451" s="8" t="s">
        <v>13151</v>
      </c>
      <c r="B2451" s="16">
        <v>58</v>
      </c>
      <c r="C2451" s="8" t="s">
        <v>20</v>
      </c>
      <c r="D2451" s="8" t="s">
        <v>30</v>
      </c>
      <c r="F2451" s="17">
        <v>41597</v>
      </c>
      <c r="G2451" s="8" t="s">
        <v>13152</v>
      </c>
      <c r="H2451" s="8" t="s">
        <v>13153</v>
      </c>
      <c r="I2451" s="8" t="s">
        <v>45</v>
      </c>
      <c r="J2451" s="16" t="s">
        <v>13154</v>
      </c>
      <c r="K2451" s="2" t="s">
        <v>2696</v>
      </c>
      <c r="L2451" s="8" t="s">
        <v>2697</v>
      </c>
      <c r="M2451" s="8" t="s">
        <v>27</v>
      </c>
      <c r="N2451" s="8" t="s">
        <v>13155</v>
      </c>
      <c r="O2451" s="8" t="s">
        <v>1018</v>
      </c>
      <c r="P2451" s="8" t="s">
        <v>405</v>
      </c>
      <c r="Q2451" s="12" t="s">
        <v>13156</v>
      </c>
      <c r="R2451" s="8" t="s">
        <v>972</v>
      </c>
      <c r="S2451" s="7" t="s">
        <v>28</v>
      </c>
      <c r="T2451" s="6"/>
      <c r="U2451" s="8"/>
    </row>
    <row r="2452" spans="1:21" ht="13.5" customHeight="1">
      <c r="A2452" s="8" t="s">
        <v>13178</v>
      </c>
      <c r="B2452" s="16">
        <v>27</v>
      </c>
      <c r="C2452" s="8" t="s">
        <v>20</v>
      </c>
      <c r="D2452" s="8" t="s">
        <v>85</v>
      </c>
      <c r="F2452" s="17">
        <v>41596</v>
      </c>
      <c r="G2452" s="8" t="s">
        <v>13179</v>
      </c>
      <c r="H2452" s="8" t="s">
        <v>8625</v>
      </c>
      <c r="I2452" s="8" t="s">
        <v>52</v>
      </c>
      <c r="J2452" s="16" t="s">
        <v>13180</v>
      </c>
      <c r="K2452" s="2" t="s">
        <v>1065</v>
      </c>
      <c r="L2452" s="8" t="s">
        <v>2383</v>
      </c>
      <c r="M2452" s="8" t="s">
        <v>27</v>
      </c>
      <c r="N2452" s="8" t="s">
        <v>13181</v>
      </c>
      <c r="O2452" s="8" t="s">
        <v>1018</v>
      </c>
      <c r="P2452" s="8" t="s">
        <v>405</v>
      </c>
      <c r="Q2452" s="12" t="s">
        <v>13182</v>
      </c>
      <c r="R2452" s="8" t="s">
        <v>100</v>
      </c>
      <c r="S2452" s="7" t="s">
        <v>28</v>
      </c>
      <c r="T2452" s="6"/>
      <c r="U2452" s="8"/>
    </row>
    <row r="2453" spans="1:21" ht="13.5" customHeight="1">
      <c r="A2453" s="8" t="s">
        <v>13189</v>
      </c>
      <c r="B2453" s="16">
        <v>16</v>
      </c>
      <c r="C2453" s="8" t="s">
        <v>20</v>
      </c>
      <c r="D2453" s="8" t="s">
        <v>48</v>
      </c>
      <c r="E2453" s="8" t="s">
        <v>13190</v>
      </c>
      <c r="F2453" s="17">
        <v>41596</v>
      </c>
      <c r="G2453" s="8" t="s">
        <v>13191</v>
      </c>
      <c r="H2453" s="8" t="s">
        <v>158</v>
      </c>
      <c r="I2453" s="8" t="s">
        <v>45</v>
      </c>
      <c r="J2453" s="16" t="s">
        <v>13192</v>
      </c>
      <c r="K2453" s="2" t="s">
        <v>158</v>
      </c>
      <c r="L2453" s="8" t="s">
        <v>4790</v>
      </c>
      <c r="M2453" s="8" t="s">
        <v>16278</v>
      </c>
      <c r="N2453" s="8" t="s">
        <v>13193</v>
      </c>
      <c r="O2453" s="8" t="s">
        <v>1018</v>
      </c>
      <c r="P2453" s="8" t="s">
        <v>405</v>
      </c>
      <c r="Q2453" s="12" t="s">
        <v>13194</v>
      </c>
      <c r="R2453" s="8" t="s">
        <v>972</v>
      </c>
      <c r="S2453" s="7" t="s">
        <v>18</v>
      </c>
      <c r="T2453" s="6"/>
      <c r="U2453" s="8"/>
    </row>
    <row r="2454" spans="1:21" ht="13.5" customHeight="1">
      <c r="A2454" s="8" t="s">
        <v>13195</v>
      </c>
      <c r="B2454" s="16">
        <v>55</v>
      </c>
      <c r="C2454" s="8" t="s">
        <v>37</v>
      </c>
      <c r="D2454" s="8" t="s">
        <v>37</v>
      </c>
      <c r="E2454" s="8" t="s">
        <v>13196</v>
      </c>
      <c r="F2454" s="17">
        <v>41596</v>
      </c>
      <c r="G2454" s="8" t="s">
        <v>13197</v>
      </c>
      <c r="H2454" s="8" t="s">
        <v>13198</v>
      </c>
      <c r="I2454" s="8" t="s">
        <v>62</v>
      </c>
      <c r="J2454" s="16" t="s">
        <v>13199</v>
      </c>
      <c r="K2454" s="2" t="s">
        <v>5387</v>
      </c>
      <c r="L2454" s="8" t="s">
        <v>63</v>
      </c>
      <c r="M2454" s="8" t="s">
        <v>27</v>
      </c>
      <c r="N2454" s="8" t="s">
        <v>13200</v>
      </c>
      <c r="O2454" s="8" t="s">
        <v>1018</v>
      </c>
      <c r="P2454" s="8" t="s">
        <v>405</v>
      </c>
      <c r="Q2454" s="12" t="s">
        <v>13201</v>
      </c>
      <c r="R2454" s="8" t="s">
        <v>100</v>
      </c>
      <c r="S2454" s="7" t="s">
        <v>28</v>
      </c>
      <c r="T2454" s="6"/>
      <c r="U2454" s="8"/>
    </row>
    <row r="2455" spans="1:21" ht="13.5" customHeight="1">
      <c r="A2455" s="8" t="s">
        <v>13183</v>
      </c>
      <c r="B2455" s="16">
        <v>22</v>
      </c>
      <c r="C2455" s="8" t="s">
        <v>20</v>
      </c>
      <c r="D2455" s="8" t="s">
        <v>85</v>
      </c>
      <c r="E2455" s="8" t="s">
        <v>13184</v>
      </c>
      <c r="F2455" s="17">
        <v>41596</v>
      </c>
      <c r="G2455" s="8" t="s">
        <v>13185</v>
      </c>
      <c r="H2455" s="8" t="s">
        <v>762</v>
      </c>
      <c r="I2455" s="8" t="s">
        <v>427</v>
      </c>
      <c r="J2455" s="16" t="s">
        <v>13186</v>
      </c>
      <c r="K2455" s="2" t="s">
        <v>1729</v>
      </c>
      <c r="L2455" s="8" t="s">
        <v>586</v>
      </c>
      <c r="M2455" s="8" t="s">
        <v>27</v>
      </c>
      <c r="N2455" s="8" t="s">
        <v>13187</v>
      </c>
      <c r="O2455" s="8" t="s">
        <v>29</v>
      </c>
      <c r="P2455" s="8" t="s">
        <v>405</v>
      </c>
      <c r="Q2455" s="12" t="s">
        <v>13188</v>
      </c>
      <c r="R2455" s="8" t="s">
        <v>559</v>
      </c>
      <c r="S2455" s="7" t="s">
        <v>28</v>
      </c>
      <c r="T2455" s="6"/>
      <c r="U2455" s="8"/>
    </row>
    <row r="2456" spans="1:21" ht="13.5" customHeight="1">
      <c r="A2456" s="8" t="s">
        <v>13202</v>
      </c>
      <c r="B2456" s="16">
        <v>38</v>
      </c>
      <c r="C2456" s="8" t="s">
        <v>20</v>
      </c>
      <c r="D2456" s="8" t="s">
        <v>37</v>
      </c>
      <c r="E2456" s="8" t="s">
        <v>13203</v>
      </c>
      <c r="F2456" s="17">
        <v>41596</v>
      </c>
      <c r="G2456" s="8" t="s">
        <v>13204</v>
      </c>
      <c r="H2456" s="8" t="s">
        <v>8322</v>
      </c>
      <c r="I2456" s="8" t="s">
        <v>427</v>
      </c>
      <c r="J2456" s="16" t="s">
        <v>13205</v>
      </c>
      <c r="K2456" s="2" t="s">
        <v>670</v>
      </c>
      <c r="L2456" s="8" t="s">
        <v>13206</v>
      </c>
      <c r="M2456" s="8" t="s">
        <v>27</v>
      </c>
      <c r="N2456" s="8" t="s">
        <v>13207</v>
      </c>
      <c r="O2456" s="8" t="s">
        <v>554</v>
      </c>
      <c r="P2456" s="8" t="s">
        <v>405</v>
      </c>
      <c r="Q2456" s="12" t="s">
        <v>13208</v>
      </c>
      <c r="R2456" s="8" t="s">
        <v>100</v>
      </c>
      <c r="S2456" s="7" t="s">
        <v>28</v>
      </c>
      <c r="T2456" s="6"/>
      <c r="U2456" s="8"/>
    </row>
    <row r="2457" spans="1:21" ht="13.5" customHeight="1">
      <c r="A2457" s="8" t="s">
        <v>13224</v>
      </c>
      <c r="B2457" s="16">
        <v>78</v>
      </c>
      <c r="C2457" s="8" t="s">
        <v>20</v>
      </c>
      <c r="D2457" s="8" t="s">
        <v>37</v>
      </c>
      <c r="E2457" s="8" t="s">
        <v>13225</v>
      </c>
      <c r="F2457" s="17">
        <v>41595</v>
      </c>
      <c r="G2457" s="8" t="s">
        <v>13226</v>
      </c>
      <c r="H2457" s="8" t="s">
        <v>98</v>
      </c>
      <c r="I2457" s="8" t="s">
        <v>45</v>
      </c>
      <c r="J2457" s="16" t="s">
        <v>13227</v>
      </c>
      <c r="K2457" s="2" t="s">
        <v>98</v>
      </c>
      <c r="L2457" s="8" t="s">
        <v>99</v>
      </c>
      <c r="M2457" s="8" t="s">
        <v>27</v>
      </c>
      <c r="N2457" s="8" t="s">
        <v>13228</v>
      </c>
      <c r="O2457" s="8" t="s">
        <v>1018</v>
      </c>
      <c r="P2457" s="8" t="s">
        <v>405</v>
      </c>
      <c r="Q2457" s="12" t="s">
        <v>13229</v>
      </c>
      <c r="R2457" s="8" t="s">
        <v>29</v>
      </c>
      <c r="S2457" s="7" t="s">
        <v>28</v>
      </c>
      <c r="T2457" s="6"/>
      <c r="U2457" s="8"/>
    </row>
    <row r="2458" spans="1:21" ht="13.5" customHeight="1">
      <c r="A2458" s="8" t="s">
        <v>13209</v>
      </c>
      <c r="B2458" s="16">
        <v>31</v>
      </c>
      <c r="C2458" s="8" t="s">
        <v>20</v>
      </c>
      <c r="D2458" s="8" t="s">
        <v>85</v>
      </c>
      <c r="E2458" s="8" t="s">
        <v>13210</v>
      </c>
      <c r="F2458" s="17">
        <v>41595</v>
      </c>
      <c r="G2458" s="8" t="s">
        <v>13211</v>
      </c>
      <c r="H2458" s="8" t="s">
        <v>13212</v>
      </c>
      <c r="I2458" s="8" t="s">
        <v>69</v>
      </c>
      <c r="J2458" s="16" t="s">
        <v>13213</v>
      </c>
      <c r="K2458" s="2" t="s">
        <v>1301</v>
      </c>
      <c r="L2458" s="8" t="s">
        <v>12726</v>
      </c>
      <c r="M2458" s="8" t="s">
        <v>27</v>
      </c>
      <c r="N2458" s="8" t="s">
        <v>13214</v>
      </c>
      <c r="O2458" s="8" t="s">
        <v>554</v>
      </c>
      <c r="P2458" s="8" t="s">
        <v>405</v>
      </c>
      <c r="Q2458" s="12" t="s">
        <v>13215</v>
      </c>
      <c r="R2458" s="8" t="s">
        <v>559</v>
      </c>
      <c r="S2458" s="7" t="s">
        <v>28</v>
      </c>
      <c r="T2458" s="6"/>
      <c r="U2458" s="8"/>
    </row>
    <row r="2459" spans="1:21" ht="13.5" customHeight="1">
      <c r="A2459" s="8" t="s">
        <v>13216</v>
      </c>
      <c r="B2459" s="16">
        <v>26</v>
      </c>
      <c r="C2459" s="8" t="s">
        <v>20</v>
      </c>
      <c r="D2459" s="8" t="s">
        <v>85</v>
      </c>
      <c r="E2459" s="8" t="s">
        <v>13217</v>
      </c>
      <c r="F2459" s="17">
        <v>41595</v>
      </c>
      <c r="G2459" s="8" t="s">
        <v>13218</v>
      </c>
      <c r="H2459" s="8" t="s">
        <v>13219</v>
      </c>
      <c r="I2459" s="8" t="s">
        <v>62</v>
      </c>
      <c r="J2459" s="16" t="s">
        <v>13220</v>
      </c>
      <c r="K2459" s="2" t="s">
        <v>1786</v>
      </c>
      <c r="L2459" s="8" t="s">
        <v>13221</v>
      </c>
      <c r="M2459" s="8" t="s">
        <v>27</v>
      </c>
      <c r="N2459" s="8" t="s">
        <v>13222</v>
      </c>
      <c r="O2459" s="8" t="s">
        <v>1018</v>
      </c>
      <c r="P2459" s="8" t="s">
        <v>405</v>
      </c>
      <c r="Q2459" s="12" t="s">
        <v>13223</v>
      </c>
      <c r="R2459" s="8" t="s">
        <v>100</v>
      </c>
      <c r="S2459" s="7" t="s">
        <v>28</v>
      </c>
      <c r="T2459" s="6"/>
      <c r="U2459" s="8"/>
    </row>
    <row r="2460" spans="1:21" ht="13.5" customHeight="1">
      <c r="A2460" s="8" t="s">
        <v>13235</v>
      </c>
      <c r="B2460" s="16">
        <v>61</v>
      </c>
      <c r="C2460" s="8" t="s">
        <v>115</v>
      </c>
      <c r="D2460" s="8" t="s">
        <v>37</v>
      </c>
      <c r="E2460" s="8" t="s">
        <v>13236</v>
      </c>
      <c r="F2460" s="17">
        <v>41594</v>
      </c>
      <c r="G2460" s="8" t="s">
        <v>13237</v>
      </c>
      <c r="H2460" s="8" t="s">
        <v>612</v>
      </c>
      <c r="I2460" s="8" t="s">
        <v>45</v>
      </c>
      <c r="J2460" s="16" t="s">
        <v>13238</v>
      </c>
      <c r="K2460" s="2" t="s">
        <v>613</v>
      </c>
      <c r="L2460" s="8" t="s">
        <v>12785</v>
      </c>
      <c r="M2460" s="8" t="s">
        <v>27</v>
      </c>
      <c r="N2460" s="8" t="s">
        <v>13239</v>
      </c>
      <c r="O2460" s="8" t="s">
        <v>1018</v>
      </c>
      <c r="P2460" s="8" t="s">
        <v>405</v>
      </c>
      <c r="Q2460" s="12" t="s">
        <v>13240</v>
      </c>
      <c r="R2460" s="8" t="s">
        <v>29</v>
      </c>
      <c r="S2460" s="7" t="s">
        <v>28</v>
      </c>
      <c r="T2460" s="6"/>
      <c r="U2460" s="8"/>
    </row>
    <row r="2461" spans="1:21" ht="13.5" customHeight="1">
      <c r="A2461" s="8" t="s">
        <v>13230</v>
      </c>
      <c r="B2461" s="16">
        <v>22</v>
      </c>
      <c r="C2461" s="8" t="s">
        <v>20</v>
      </c>
      <c r="D2461" s="8" t="s">
        <v>37</v>
      </c>
      <c r="E2461" s="8" t="s">
        <v>13231</v>
      </c>
      <c r="F2461" s="17">
        <v>41594</v>
      </c>
      <c r="G2461" s="8" t="s">
        <v>13232</v>
      </c>
      <c r="H2461" s="8" t="s">
        <v>434</v>
      </c>
      <c r="I2461" s="8" t="s">
        <v>367</v>
      </c>
      <c r="J2461" s="16" t="s">
        <v>11661</v>
      </c>
      <c r="K2461" s="2" t="s">
        <v>604</v>
      </c>
      <c r="L2461" s="8" t="s">
        <v>2140</v>
      </c>
      <c r="M2461" s="8" t="s">
        <v>27</v>
      </c>
      <c r="N2461" s="8" t="s">
        <v>13233</v>
      </c>
      <c r="O2461" s="8" t="s">
        <v>1018</v>
      </c>
      <c r="P2461" s="8" t="s">
        <v>405</v>
      </c>
      <c r="Q2461" s="12" t="s">
        <v>13234</v>
      </c>
      <c r="R2461" s="8" t="s">
        <v>100</v>
      </c>
      <c r="S2461" s="7" t="s">
        <v>28</v>
      </c>
      <c r="T2461" s="6"/>
      <c r="U2461" s="8"/>
    </row>
    <row r="2462" spans="1:21" ht="13.5" customHeight="1">
      <c r="A2462" s="8" t="s">
        <v>13241</v>
      </c>
      <c r="B2462" s="16">
        <v>42</v>
      </c>
      <c r="C2462" s="8" t="s">
        <v>20</v>
      </c>
      <c r="D2462" s="8" t="s">
        <v>85</v>
      </c>
      <c r="F2462" s="17">
        <v>41593</v>
      </c>
      <c r="G2462" s="8" t="s">
        <v>13242</v>
      </c>
      <c r="H2462" s="8" t="s">
        <v>2931</v>
      </c>
      <c r="I2462" s="8" t="s">
        <v>81</v>
      </c>
      <c r="J2462" s="16" t="s">
        <v>13243</v>
      </c>
      <c r="K2462" s="2" t="s">
        <v>2933</v>
      </c>
      <c r="L2462" s="8" t="s">
        <v>2934</v>
      </c>
      <c r="M2462" s="8" t="s">
        <v>27</v>
      </c>
      <c r="N2462" s="8" t="s">
        <v>13244</v>
      </c>
      <c r="O2462" s="8" t="s">
        <v>1018</v>
      </c>
      <c r="P2462" s="8" t="s">
        <v>405</v>
      </c>
      <c r="Q2462" s="12" t="s">
        <v>13245</v>
      </c>
      <c r="R2462" s="8" t="s">
        <v>29</v>
      </c>
      <c r="S2462" s="7" t="s">
        <v>28</v>
      </c>
      <c r="T2462" s="6"/>
      <c r="U2462" s="8"/>
    </row>
    <row r="2463" spans="1:21" ht="13.5" customHeight="1">
      <c r="A2463" s="8" t="s">
        <v>13246</v>
      </c>
      <c r="B2463" s="16">
        <v>21</v>
      </c>
      <c r="C2463" s="8" t="s">
        <v>20</v>
      </c>
      <c r="D2463" s="8" t="s">
        <v>48</v>
      </c>
      <c r="F2463" s="17">
        <v>41593</v>
      </c>
      <c r="G2463" s="8" t="s">
        <v>13247</v>
      </c>
      <c r="H2463" s="8" t="s">
        <v>13248</v>
      </c>
      <c r="I2463" s="8" t="s">
        <v>45</v>
      </c>
      <c r="J2463" s="16" t="s">
        <v>13249</v>
      </c>
      <c r="K2463" s="2" t="s">
        <v>98</v>
      </c>
      <c r="L2463" s="8" t="s">
        <v>5043</v>
      </c>
      <c r="M2463" s="8" t="s">
        <v>27</v>
      </c>
      <c r="N2463" s="8" t="s">
        <v>13250</v>
      </c>
      <c r="O2463" s="8" t="s">
        <v>1018</v>
      </c>
      <c r="P2463" s="8" t="s">
        <v>405</v>
      </c>
      <c r="Q2463" s="12" t="s">
        <v>13251</v>
      </c>
      <c r="R2463" s="8" t="s">
        <v>972</v>
      </c>
      <c r="S2463" s="7" t="s">
        <v>28</v>
      </c>
      <c r="T2463" s="6"/>
      <c r="U2463" s="8"/>
    </row>
    <row r="2464" spans="1:21" ht="13.5" customHeight="1">
      <c r="A2464" s="8" t="s">
        <v>13252</v>
      </c>
      <c r="B2464" s="16">
        <v>30</v>
      </c>
      <c r="C2464" s="8" t="s">
        <v>20</v>
      </c>
      <c r="D2464" s="8" t="s">
        <v>37</v>
      </c>
      <c r="E2464" s="8" t="s">
        <v>13253</v>
      </c>
      <c r="F2464" s="17">
        <v>41593</v>
      </c>
      <c r="G2464" s="8" t="s">
        <v>13254</v>
      </c>
      <c r="H2464" s="8" t="s">
        <v>13255</v>
      </c>
      <c r="I2464" s="8" t="s">
        <v>135</v>
      </c>
      <c r="J2464" s="16" t="s">
        <v>13256</v>
      </c>
      <c r="K2464" s="2" t="s">
        <v>1081</v>
      </c>
      <c r="L2464" s="8" t="s">
        <v>13257</v>
      </c>
      <c r="M2464" s="8" t="s">
        <v>27</v>
      </c>
      <c r="N2464" s="8" t="s">
        <v>13258</v>
      </c>
      <c r="O2464" s="8" t="s">
        <v>554</v>
      </c>
      <c r="P2464" s="8" t="s">
        <v>405</v>
      </c>
      <c r="Q2464" s="12" t="str">
        <f>HYPERLINK("http://www.startribune.com/local/west/232358621.html","http://www.startribune.com/local/west/232358621.html")</f>
        <v>http://www.startribune.com/local/west/232358621.html</v>
      </c>
      <c r="R2464" s="8" t="s">
        <v>100</v>
      </c>
      <c r="S2464" s="7" t="s">
        <v>28</v>
      </c>
      <c r="T2464" s="6"/>
      <c r="U2464" s="8"/>
    </row>
    <row r="2465" spans="1:21" ht="13.5" customHeight="1">
      <c r="A2465" s="8" t="s">
        <v>13252</v>
      </c>
      <c r="B2465" s="16">
        <v>30</v>
      </c>
      <c r="C2465" s="8" t="s">
        <v>20</v>
      </c>
      <c r="D2465" s="8" t="s">
        <v>37</v>
      </c>
      <c r="E2465" s="8" t="s">
        <v>13259</v>
      </c>
      <c r="F2465" s="17">
        <v>41593</v>
      </c>
      <c r="G2465" s="8" t="s">
        <v>13260</v>
      </c>
      <c r="H2465" s="8" t="s">
        <v>13255</v>
      </c>
      <c r="I2465" s="8" t="s">
        <v>135</v>
      </c>
      <c r="J2465" s="16" t="s">
        <v>13256</v>
      </c>
      <c r="K2465" s="2" t="s">
        <v>1081</v>
      </c>
      <c r="L2465" s="8" t="s">
        <v>13257</v>
      </c>
      <c r="M2465" s="8" t="s">
        <v>27</v>
      </c>
      <c r="N2465" s="8" t="s">
        <v>13261</v>
      </c>
      <c r="O2465" s="8" t="s">
        <v>554</v>
      </c>
      <c r="P2465" s="8" t="s">
        <v>405</v>
      </c>
      <c r="Q2465" s="12" t="s">
        <v>13262</v>
      </c>
      <c r="R2465" s="8" t="s">
        <v>100</v>
      </c>
      <c r="S2465" s="7" t="s">
        <v>28</v>
      </c>
      <c r="T2465" s="6"/>
      <c r="U2465" s="8"/>
    </row>
    <row r="2466" spans="1:21" ht="13.5" customHeight="1">
      <c r="A2466" s="8" t="s">
        <v>13272</v>
      </c>
      <c r="B2466" s="16">
        <v>53</v>
      </c>
      <c r="C2466" s="8" t="s">
        <v>20</v>
      </c>
      <c r="D2466" s="8" t="s">
        <v>30</v>
      </c>
      <c r="F2466" s="17">
        <v>41592</v>
      </c>
      <c r="G2466" s="8" t="s">
        <v>13273</v>
      </c>
      <c r="H2466" s="8" t="s">
        <v>579</v>
      </c>
      <c r="I2466" s="8" t="s">
        <v>73</v>
      </c>
      <c r="J2466" s="16" t="s">
        <v>13274</v>
      </c>
      <c r="K2466" s="2" t="s">
        <v>580</v>
      </c>
      <c r="L2466" s="8" t="s">
        <v>581</v>
      </c>
      <c r="M2466" s="8" t="s">
        <v>27</v>
      </c>
      <c r="N2466" s="8" t="s">
        <v>13275</v>
      </c>
      <c r="O2466" s="8" t="s">
        <v>1018</v>
      </c>
      <c r="P2466" s="8" t="s">
        <v>405</v>
      </c>
      <c r="Q2466" s="12" t="s">
        <v>13276</v>
      </c>
      <c r="R2466" s="8" t="s">
        <v>100</v>
      </c>
      <c r="S2466" s="7" t="s">
        <v>28</v>
      </c>
      <c r="T2466" s="6"/>
      <c r="U2466" s="8"/>
    </row>
    <row r="2467" spans="1:21" ht="13.5" customHeight="1">
      <c r="A2467" s="8" t="s">
        <v>13263</v>
      </c>
      <c r="B2467" s="16">
        <v>30</v>
      </c>
      <c r="C2467" s="8" t="s">
        <v>20</v>
      </c>
      <c r="D2467" s="8" t="s">
        <v>48</v>
      </c>
      <c r="F2467" s="17">
        <v>41592</v>
      </c>
      <c r="G2467" s="8" t="s">
        <v>13264</v>
      </c>
      <c r="H2467" s="8" t="s">
        <v>4767</v>
      </c>
      <c r="I2467" s="8" t="s">
        <v>73</v>
      </c>
      <c r="K2467" s="2" t="s">
        <v>4769</v>
      </c>
      <c r="L2467" s="8" t="s">
        <v>4770</v>
      </c>
      <c r="M2467" s="8" t="s">
        <v>29</v>
      </c>
      <c r="P2467" s="8" t="s">
        <v>405</v>
      </c>
      <c r="Q2467" s="12" t="s">
        <v>13265</v>
      </c>
      <c r="S2467" s="7" t="s">
        <v>28</v>
      </c>
      <c r="T2467" s="6"/>
      <c r="U2467" s="8"/>
    </row>
    <row r="2468" spans="1:21" ht="13.5" customHeight="1">
      <c r="A2468" s="8" t="s">
        <v>13266</v>
      </c>
      <c r="B2468" s="16">
        <v>49</v>
      </c>
      <c r="C2468" s="8" t="s">
        <v>20</v>
      </c>
      <c r="D2468" s="8" t="s">
        <v>30</v>
      </c>
      <c r="F2468" s="17">
        <v>41592</v>
      </c>
      <c r="G2468" s="8" t="s">
        <v>13267</v>
      </c>
      <c r="H2468" s="8" t="s">
        <v>13268</v>
      </c>
      <c r="I2468" s="8" t="s">
        <v>986</v>
      </c>
      <c r="J2468" s="16" t="s">
        <v>13269</v>
      </c>
      <c r="K2468" s="2" t="s">
        <v>5153</v>
      </c>
      <c r="L2468" s="8" t="s">
        <v>9860</v>
      </c>
      <c r="M2468" s="8" t="s">
        <v>27</v>
      </c>
      <c r="N2468" s="8" t="s">
        <v>13270</v>
      </c>
      <c r="O2468" s="8" t="s">
        <v>1018</v>
      </c>
      <c r="P2468" s="8" t="s">
        <v>405</v>
      </c>
      <c r="Q2468" s="12" t="s">
        <v>13271</v>
      </c>
      <c r="R2468" s="8" t="s">
        <v>559</v>
      </c>
      <c r="S2468" s="7" t="s">
        <v>28</v>
      </c>
      <c r="T2468" s="6"/>
      <c r="U2468" s="8"/>
    </row>
    <row r="2469" spans="1:21" ht="13.5" customHeight="1">
      <c r="A2469" s="8" t="s">
        <v>13283</v>
      </c>
      <c r="B2469" s="16">
        <v>17</v>
      </c>
      <c r="C2469" s="8" t="s">
        <v>20</v>
      </c>
      <c r="D2469" s="8" t="s">
        <v>48</v>
      </c>
      <c r="E2469" s="8" t="s">
        <v>13284</v>
      </c>
      <c r="F2469" s="17">
        <v>41591</v>
      </c>
      <c r="G2469" s="8" t="s">
        <v>13285</v>
      </c>
      <c r="H2469" s="8" t="s">
        <v>731</v>
      </c>
      <c r="I2469" s="8" t="s">
        <v>73</v>
      </c>
      <c r="J2469" s="16" t="s">
        <v>13286</v>
      </c>
      <c r="K2469" s="2" t="s">
        <v>562</v>
      </c>
      <c r="L2469" s="8" t="s">
        <v>13287</v>
      </c>
      <c r="M2469" s="8" t="s">
        <v>27</v>
      </c>
      <c r="N2469" s="8" t="s">
        <v>13288</v>
      </c>
      <c r="O2469" s="8" t="s">
        <v>554</v>
      </c>
      <c r="P2469" s="8" t="s">
        <v>405</v>
      </c>
      <c r="Q2469" s="12" t="s">
        <v>13289</v>
      </c>
      <c r="R2469" s="8" t="s">
        <v>100</v>
      </c>
      <c r="S2469" s="7" t="s">
        <v>18</v>
      </c>
      <c r="T2469" s="6"/>
      <c r="U2469" s="8"/>
    </row>
    <row r="2470" spans="1:21" ht="13.5" customHeight="1">
      <c r="A2470" s="8" t="s">
        <v>3288</v>
      </c>
      <c r="C2470" s="8" t="s">
        <v>20</v>
      </c>
      <c r="D2470" s="8" t="s">
        <v>30</v>
      </c>
      <c r="F2470" s="17">
        <v>41591</v>
      </c>
      <c r="G2470" s="8" t="s">
        <v>13290</v>
      </c>
      <c r="H2470" s="8" t="s">
        <v>3167</v>
      </c>
      <c r="I2470" s="8" t="s">
        <v>45</v>
      </c>
      <c r="J2470" s="16" t="s">
        <v>13291</v>
      </c>
      <c r="K2470" s="2" t="s">
        <v>98</v>
      </c>
      <c r="L2470" s="8" t="s">
        <v>3168</v>
      </c>
      <c r="M2470" s="8" t="s">
        <v>27</v>
      </c>
      <c r="N2470" s="8" t="s">
        <v>13292</v>
      </c>
      <c r="O2470" s="8" t="s">
        <v>1018</v>
      </c>
      <c r="P2470" s="8" t="s">
        <v>405</v>
      </c>
      <c r="Q2470" s="12" t="s">
        <v>13293</v>
      </c>
      <c r="R2470" s="8" t="s">
        <v>100</v>
      </c>
      <c r="S2470" s="7" t="s">
        <v>28</v>
      </c>
      <c r="T2470" s="6"/>
      <c r="U2470" s="8"/>
    </row>
    <row r="2471" spans="1:21" ht="13.5" customHeight="1">
      <c r="A2471" s="8" t="s">
        <v>13277</v>
      </c>
      <c r="B2471" s="16">
        <v>27</v>
      </c>
      <c r="C2471" s="8" t="s">
        <v>20</v>
      </c>
      <c r="D2471" s="8" t="s">
        <v>85</v>
      </c>
      <c r="F2471" s="17">
        <v>41591</v>
      </c>
      <c r="G2471" s="8" t="s">
        <v>13278</v>
      </c>
      <c r="H2471" s="8" t="s">
        <v>1300</v>
      </c>
      <c r="I2471" s="8" t="s">
        <v>175</v>
      </c>
      <c r="J2471" s="16" t="s">
        <v>13279</v>
      </c>
      <c r="K2471" s="2" t="s">
        <v>10909</v>
      </c>
      <c r="L2471" s="8" t="s">
        <v>13280</v>
      </c>
      <c r="M2471" s="8" t="s">
        <v>27</v>
      </c>
      <c r="N2471" s="8" t="s">
        <v>13281</v>
      </c>
      <c r="O2471" s="8" t="s">
        <v>1018</v>
      </c>
      <c r="P2471" s="8" t="s">
        <v>405</v>
      </c>
      <c r="Q2471" s="12" t="s">
        <v>13282</v>
      </c>
      <c r="R2471" s="8" t="s">
        <v>100</v>
      </c>
      <c r="S2471" s="7" t="s">
        <v>18</v>
      </c>
      <c r="T2471" s="6"/>
      <c r="U2471" s="8"/>
    </row>
    <row r="2472" spans="1:21" ht="13.5" customHeight="1">
      <c r="A2472" s="8" t="s">
        <v>13294</v>
      </c>
      <c r="B2472" s="16">
        <v>30</v>
      </c>
      <c r="C2472" s="8" t="s">
        <v>20</v>
      </c>
      <c r="D2472" s="8" t="s">
        <v>85</v>
      </c>
      <c r="E2472" s="8" t="s">
        <v>13295</v>
      </c>
      <c r="F2472" s="17">
        <v>41589</v>
      </c>
      <c r="G2472" s="8" t="s">
        <v>13296</v>
      </c>
      <c r="H2472" s="8" t="s">
        <v>13297</v>
      </c>
      <c r="I2472" s="8" t="s">
        <v>81</v>
      </c>
      <c r="J2472" s="16" t="s">
        <v>13298</v>
      </c>
      <c r="K2472" s="2" t="s">
        <v>532</v>
      </c>
      <c r="L2472" s="8" t="s">
        <v>13299</v>
      </c>
      <c r="M2472" s="8" t="s">
        <v>27</v>
      </c>
      <c r="N2472" s="8" t="s">
        <v>13300</v>
      </c>
      <c r="O2472" s="8" t="s">
        <v>404</v>
      </c>
      <c r="P2472" s="8" t="s">
        <v>405</v>
      </c>
      <c r="Q2472" s="12" t="s">
        <v>13301</v>
      </c>
      <c r="R2472" s="8" t="s">
        <v>100</v>
      </c>
      <c r="S2472" s="7" t="s">
        <v>18</v>
      </c>
      <c r="T2472" s="6"/>
      <c r="U2472" s="8"/>
    </row>
    <row r="2473" spans="1:21" ht="13.5" customHeight="1">
      <c r="A2473" s="8" t="s">
        <v>13319</v>
      </c>
      <c r="B2473" s="16">
        <v>56</v>
      </c>
      <c r="C2473" s="8" t="s">
        <v>20</v>
      </c>
      <c r="D2473" s="8" t="s">
        <v>37</v>
      </c>
      <c r="E2473" s="8" t="s">
        <v>13320</v>
      </c>
      <c r="F2473" s="17">
        <v>41589</v>
      </c>
      <c r="G2473" s="8" t="s">
        <v>13321</v>
      </c>
      <c r="H2473" s="8" t="s">
        <v>13322</v>
      </c>
      <c r="I2473" s="8" t="s">
        <v>45</v>
      </c>
      <c r="J2473" s="16" t="s">
        <v>13323</v>
      </c>
      <c r="K2473" s="2" t="s">
        <v>313</v>
      </c>
      <c r="L2473" s="8" t="s">
        <v>314</v>
      </c>
      <c r="M2473" s="8" t="s">
        <v>27</v>
      </c>
      <c r="N2473" s="8" t="s">
        <v>13324</v>
      </c>
      <c r="O2473" s="8" t="s">
        <v>554</v>
      </c>
      <c r="P2473" s="8" t="s">
        <v>405</v>
      </c>
      <c r="Q2473" s="12" t="s">
        <v>13325</v>
      </c>
      <c r="R2473" s="8" t="s">
        <v>29</v>
      </c>
      <c r="S2473" s="7" t="s">
        <v>18</v>
      </c>
      <c r="T2473" s="6"/>
      <c r="U2473" s="8"/>
    </row>
    <row r="2474" spans="1:21" ht="13.5" customHeight="1">
      <c r="A2474" s="8" t="s">
        <v>13307</v>
      </c>
      <c r="B2474" s="16">
        <v>59</v>
      </c>
      <c r="C2474" s="8" t="s">
        <v>20</v>
      </c>
      <c r="D2474" s="8" t="s">
        <v>30</v>
      </c>
      <c r="F2474" s="17">
        <v>41589</v>
      </c>
      <c r="G2474" s="8" t="s">
        <v>13308</v>
      </c>
      <c r="H2474" s="8" t="s">
        <v>1300</v>
      </c>
      <c r="I2474" s="8" t="s">
        <v>69</v>
      </c>
      <c r="J2474" s="16" t="s">
        <v>13309</v>
      </c>
      <c r="K2474" s="2" t="s">
        <v>914</v>
      </c>
      <c r="L2474" s="8" t="s">
        <v>13310</v>
      </c>
      <c r="M2474" s="8" t="s">
        <v>27</v>
      </c>
      <c r="N2474" s="8" t="s">
        <v>13311</v>
      </c>
      <c r="O2474" s="8" t="s">
        <v>1018</v>
      </c>
      <c r="P2474" s="8" t="s">
        <v>405</v>
      </c>
      <c r="Q2474" s="12" t="s">
        <v>13312</v>
      </c>
      <c r="R2474" s="8" t="s">
        <v>100</v>
      </c>
      <c r="S2474" s="7" t="s">
        <v>28</v>
      </c>
      <c r="T2474" s="6"/>
      <c r="U2474" s="8"/>
    </row>
    <row r="2475" spans="1:21" ht="13.5" customHeight="1">
      <c r="A2475" s="8" t="s">
        <v>13313</v>
      </c>
      <c r="B2475" s="16">
        <v>25</v>
      </c>
      <c r="C2475" s="8" t="s">
        <v>20</v>
      </c>
      <c r="D2475" s="8" t="s">
        <v>37</v>
      </c>
      <c r="E2475" s="8" t="s">
        <v>13314</v>
      </c>
      <c r="F2475" s="17">
        <v>41589</v>
      </c>
      <c r="G2475" s="8" t="s">
        <v>13315</v>
      </c>
      <c r="H2475" s="8" t="s">
        <v>211</v>
      </c>
      <c r="I2475" s="8" t="s">
        <v>212</v>
      </c>
      <c r="J2475" s="16" t="s">
        <v>13316</v>
      </c>
      <c r="K2475" s="2" t="s">
        <v>865</v>
      </c>
      <c r="L2475" s="8" t="s">
        <v>213</v>
      </c>
      <c r="M2475" s="8" t="s">
        <v>619</v>
      </c>
      <c r="N2475" s="8" t="s">
        <v>13317</v>
      </c>
      <c r="O2475" s="8" t="s">
        <v>554</v>
      </c>
      <c r="P2475" s="8" t="s">
        <v>405</v>
      </c>
      <c r="Q2475" s="12" t="s">
        <v>13318</v>
      </c>
      <c r="R2475" s="8" t="s">
        <v>559</v>
      </c>
      <c r="S2475" s="7" t="s">
        <v>28</v>
      </c>
      <c r="T2475" s="6"/>
      <c r="U2475" s="8"/>
    </row>
    <row r="2476" spans="1:21" ht="13.5" customHeight="1">
      <c r="A2476" s="8" t="s">
        <v>13302</v>
      </c>
      <c r="B2476" s="16">
        <v>17</v>
      </c>
      <c r="C2476" s="8" t="s">
        <v>20</v>
      </c>
      <c r="D2476" s="8" t="s">
        <v>85</v>
      </c>
      <c r="E2476" s="8" t="s">
        <v>13303</v>
      </c>
      <c r="F2476" s="17">
        <v>41589</v>
      </c>
      <c r="G2476" s="8" t="s">
        <v>13304</v>
      </c>
      <c r="H2476" s="8" t="s">
        <v>895</v>
      </c>
      <c r="I2476" s="8" t="s">
        <v>442</v>
      </c>
      <c r="J2476" s="16" t="s">
        <v>13305</v>
      </c>
      <c r="K2476" s="2" t="s">
        <v>895</v>
      </c>
      <c r="L2476" s="8" t="s">
        <v>3913</v>
      </c>
      <c r="M2476" s="8" t="s">
        <v>27</v>
      </c>
      <c r="N2476" s="8" t="s">
        <v>13306</v>
      </c>
      <c r="O2476" s="8" t="s">
        <v>1018</v>
      </c>
      <c r="P2476" s="8" t="s">
        <v>405</v>
      </c>
      <c r="Q2476" s="12" t="str">
        <f>HYPERLINK("http://www.jsonline.com/news/crime/shots-fired-in-downtown-milwaukee-b99139596z1-231430101.html","http://www.jsonline.com/news/crime/shots-fired-in-downtown-milwaukee-b99139596z1-231430101.html")</f>
        <v>http://www.jsonline.com/news/crime/shots-fired-in-downtown-milwaukee-b99139596z1-231430101.html</v>
      </c>
      <c r="R2476" s="8" t="s">
        <v>100</v>
      </c>
      <c r="S2476" s="7" t="s">
        <v>28</v>
      </c>
      <c r="T2476" s="6"/>
      <c r="U2476" s="8"/>
    </row>
    <row r="2477" spans="1:21" ht="13.5" customHeight="1">
      <c r="A2477" s="8" t="s">
        <v>13331</v>
      </c>
      <c r="B2477" s="16">
        <v>31</v>
      </c>
      <c r="C2477" s="8" t="s">
        <v>20</v>
      </c>
      <c r="D2477" s="8" t="s">
        <v>37</v>
      </c>
      <c r="E2477" s="8" t="s">
        <v>13332</v>
      </c>
      <c r="F2477" s="17">
        <v>41588</v>
      </c>
      <c r="G2477" s="8" t="s">
        <v>13333</v>
      </c>
      <c r="H2477" s="8" t="s">
        <v>7165</v>
      </c>
      <c r="I2477" s="8" t="s">
        <v>220</v>
      </c>
      <c r="J2477" s="16" t="s">
        <v>7166</v>
      </c>
      <c r="K2477" s="2" t="s">
        <v>7165</v>
      </c>
      <c r="L2477" s="8" t="s">
        <v>7167</v>
      </c>
      <c r="M2477" s="8" t="s">
        <v>27</v>
      </c>
      <c r="N2477" s="8" t="s">
        <v>13334</v>
      </c>
      <c r="O2477" s="8" t="s">
        <v>554</v>
      </c>
      <c r="P2477" s="8" t="s">
        <v>405</v>
      </c>
      <c r="Q2477" s="12" t="s">
        <v>13335</v>
      </c>
      <c r="R2477" s="8" t="s">
        <v>972</v>
      </c>
      <c r="S2477" s="7" t="s">
        <v>383</v>
      </c>
      <c r="T2477" s="6"/>
      <c r="U2477" s="8"/>
    </row>
    <row r="2478" spans="1:21" ht="13.5" customHeight="1">
      <c r="A2478" s="8" t="s">
        <v>13326</v>
      </c>
      <c r="B2478" s="16">
        <v>39</v>
      </c>
      <c r="C2478" s="8" t="s">
        <v>20</v>
      </c>
      <c r="D2478" s="8" t="s">
        <v>85</v>
      </c>
      <c r="E2478" s="8" t="s">
        <v>13327</v>
      </c>
      <c r="F2478" s="17">
        <v>41588</v>
      </c>
      <c r="G2478" s="8" t="s">
        <v>13328</v>
      </c>
      <c r="H2478" s="8" t="s">
        <v>493</v>
      </c>
      <c r="I2478" s="8" t="s">
        <v>45</v>
      </c>
      <c r="J2478" s="16" t="s">
        <v>9706</v>
      </c>
      <c r="K2478" s="2" t="s">
        <v>98</v>
      </c>
      <c r="L2478" s="8" t="s">
        <v>494</v>
      </c>
      <c r="M2478" s="8" t="s">
        <v>27</v>
      </c>
      <c r="N2478" s="8" t="s">
        <v>13329</v>
      </c>
      <c r="O2478" s="8" t="s">
        <v>29</v>
      </c>
      <c r="P2478" s="8" t="s">
        <v>405</v>
      </c>
      <c r="Q2478" s="12" t="s">
        <v>13330</v>
      </c>
      <c r="R2478" s="8" t="s">
        <v>100</v>
      </c>
      <c r="S2478" s="7" t="s">
        <v>28</v>
      </c>
      <c r="T2478" s="6"/>
      <c r="U2478" s="8"/>
    </row>
    <row r="2479" spans="1:21" ht="13.5" customHeight="1">
      <c r="A2479" s="8" t="s">
        <v>13336</v>
      </c>
      <c r="B2479" s="16">
        <v>24</v>
      </c>
      <c r="C2479" s="8" t="s">
        <v>20</v>
      </c>
      <c r="D2479" s="8" t="s">
        <v>85</v>
      </c>
      <c r="E2479" s="8" t="s">
        <v>13337</v>
      </c>
      <c r="F2479" s="17">
        <v>41586</v>
      </c>
      <c r="G2479" s="8" t="s">
        <v>13338</v>
      </c>
      <c r="H2479" s="8" t="s">
        <v>3478</v>
      </c>
      <c r="I2479" s="8" t="s">
        <v>25</v>
      </c>
      <c r="J2479" s="16" t="s">
        <v>13339</v>
      </c>
      <c r="K2479" s="2" t="s">
        <v>1795</v>
      </c>
      <c r="L2479" s="8" t="s">
        <v>12090</v>
      </c>
      <c r="M2479" s="8" t="s">
        <v>27</v>
      </c>
      <c r="N2479" s="8" t="s">
        <v>13340</v>
      </c>
      <c r="O2479" s="8" t="s">
        <v>1018</v>
      </c>
      <c r="P2479" s="8" t="s">
        <v>405</v>
      </c>
      <c r="Q2479" s="12" t="s">
        <v>13341</v>
      </c>
      <c r="R2479" s="8" t="s">
        <v>100</v>
      </c>
      <c r="S2479" s="7" t="s">
        <v>383</v>
      </c>
      <c r="T2479" s="6"/>
      <c r="U2479" s="8"/>
    </row>
    <row r="2480" spans="1:21" ht="13.5" customHeight="1">
      <c r="A2480" s="8" t="s">
        <v>13342</v>
      </c>
      <c r="B2480" s="16">
        <v>39</v>
      </c>
      <c r="C2480" s="8" t="s">
        <v>115</v>
      </c>
      <c r="D2480" s="8" t="s">
        <v>48</v>
      </c>
      <c r="E2480" s="8" t="s">
        <v>13343</v>
      </c>
      <c r="F2480" s="17">
        <v>41585</v>
      </c>
      <c r="G2480" s="8" t="s">
        <v>13344</v>
      </c>
      <c r="H2480" s="8" t="s">
        <v>634</v>
      </c>
      <c r="I2480" s="8" t="s">
        <v>198</v>
      </c>
      <c r="J2480" s="16" t="s">
        <v>13345</v>
      </c>
      <c r="K2480" s="2" t="s">
        <v>634</v>
      </c>
      <c r="L2480" s="8" t="s">
        <v>3118</v>
      </c>
      <c r="M2480" s="8" t="s">
        <v>27</v>
      </c>
      <c r="N2480" s="8" t="s">
        <v>13346</v>
      </c>
      <c r="O2480" s="8" t="s">
        <v>554</v>
      </c>
      <c r="P2480" s="8" t="s">
        <v>405</v>
      </c>
      <c r="Q2480" s="12" t="s">
        <v>13347</v>
      </c>
      <c r="R2480" s="8" t="s">
        <v>100</v>
      </c>
      <c r="S2480" s="7" t="s">
        <v>383</v>
      </c>
      <c r="T2480" s="6"/>
      <c r="U2480" s="8"/>
    </row>
    <row r="2481" spans="1:39" ht="13.5" customHeight="1">
      <c r="A2481" s="8" t="s">
        <v>13348</v>
      </c>
      <c r="B2481" s="16">
        <v>22</v>
      </c>
      <c r="C2481" s="8" t="s">
        <v>20</v>
      </c>
      <c r="D2481" s="8" t="s">
        <v>48</v>
      </c>
      <c r="E2481" s="8" t="s">
        <v>13349</v>
      </c>
      <c r="F2481" s="17">
        <v>41584</v>
      </c>
      <c r="G2481" s="8" t="s">
        <v>13350</v>
      </c>
      <c r="H2481" s="8" t="s">
        <v>530</v>
      </c>
      <c r="I2481" s="8" t="s">
        <v>81</v>
      </c>
      <c r="J2481" s="16" t="s">
        <v>13351</v>
      </c>
      <c r="K2481" s="2" t="s">
        <v>532</v>
      </c>
      <c r="L2481" s="8" t="s">
        <v>13352</v>
      </c>
      <c r="M2481" s="8" t="s">
        <v>27</v>
      </c>
      <c r="N2481" s="8" t="s">
        <v>13353</v>
      </c>
      <c r="O2481" s="8" t="s">
        <v>1018</v>
      </c>
      <c r="P2481" s="8" t="s">
        <v>405</v>
      </c>
      <c r="Q2481" s="12" t="s">
        <v>13354</v>
      </c>
      <c r="R2481" s="8" t="s">
        <v>100</v>
      </c>
      <c r="S2481" s="7" t="s">
        <v>35</v>
      </c>
      <c r="T2481" s="6"/>
      <c r="U2481" s="8"/>
    </row>
    <row r="2482" spans="1:39" ht="13.5" customHeight="1">
      <c r="A2482" s="8" t="s">
        <v>13355</v>
      </c>
      <c r="B2482" s="16">
        <v>49</v>
      </c>
      <c r="C2482" s="8" t="s">
        <v>20</v>
      </c>
      <c r="D2482" s="8" t="s">
        <v>37</v>
      </c>
      <c r="E2482" s="8" t="s">
        <v>13356</v>
      </c>
      <c r="F2482" s="17">
        <v>41584</v>
      </c>
      <c r="G2482" s="8" t="s">
        <v>13357</v>
      </c>
      <c r="H2482" s="8" t="s">
        <v>5160</v>
      </c>
      <c r="I2482" s="8" t="s">
        <v>10808</v>
      </c>
      <c r="J2482" s="16" t="s">
        <v>13358</v>
      </c>
      <c r="K2482" s="2" t="s">
        <v>13359</v>
      </c>
      <c r="L2482" s="8" t="s">
        <v>5162</v>
      </c>
      <c r="M2482" s="8" t="s">
        <v>27</v>
      </c>
      <c r="N2482" s="8" t="s">
        <v>13360</v>
      </c>
      <c r="O2482" s="8" t="s">
        <v>554</v>
      </c>
      <c r="P2482" s="8" t="s">
        <v>405</v>
      </c>
      <c r="Q2482" s="12" t="s">
        <v>13361</v>
      </c>
      <c r="R2482" s="8" t="s">
        <v>559</v>
      </c>
      <c r="S2482" s="7" t="s">
        <v>28</v>
      </c>
      <c r="T2482" s="6"/>
      <c r="U2482" s="8"/>
    </row>
    <row r="2483" spans="1:39" ht="13.5" customHeight="1">
      <c r="A2483" s="8" t="s">
        <v>13369</v>
      </c>
      <c r="B2483" s="16">
        <v>24</v>
      </c>
      <c r="C2483" s="8" t="s">
        <v>20</v>
      </c>
      <c r="D2483" s="8" t="s">
        <v>85</v>
      </c>
      <c r="E2483" s="8" t="s">
        <v>13370</v>
      </c>
      <c r="F2483" s="17">
        <v>41583</v>
      </c>
      <c r="G2483" s="8" t="s">
        <v>13371</v>
      </c>
      <c r="H2483" s="8" t="s">
        <v>4944</v>
      </c>
      <c r="I2483" s="8" t="s">
        <v>45</v>
      </c>
      <c r="J2483" s="16" t="s">
        <v>4945</v>
      </c>
      <c r="K2483" s="2" t="s">
        <v>3463</v>
      </c>
      <c r="L2483" s="8" t="s">
        <v>13372</v>
      </c>
      <c r="M2483" s="8" t="s">
        <v>27</v>
      </c>
      <c r="N2483" s="8" t="s">
        <v>13373</v>
      </c>
      <c r="O2483" s="8" t="s">
        <v>29</v>
      </c>
      <c r="P2483" s="8" t="s">
        <v>405</v>
      </c>
      <c r="Q2483" s="12" t="s">
        <v>13374</v>
      </c>
      <c r="R2483" s="8" t="s">
        <v>100</v>
      </c>
      <c r="S2483" s="7" t="s">
        <v>28</v>
      </c>
      <c r="T2483" s="6"/>
      <c r="U2483" s="8"/>
    </row>
    <row r="2484" spans="1:39" ht="13.5" customHeight="1">
      <c r="A2484" s="8" t="s">
        <v>13362</v>
      </c>
      <c r="B2484" s="16">
        <v>27</v>
      </c>
      <c r="C2484" s="8" t="s">
        <v>20</v>
      </c>
      <c r="D2484" s="8" t="s">
        <v>21</v>
      </c>
      <c r="E2484" s="8" t="s">
        <v>13363</v>
      </c>
      <c r="F2484" s="17">
        <v>41583</v>
      </c>
      <c r="G2484" s="8" t="s">
        <v>13364</v>
      </c>
      <c r="H2484" s="8" t="s">
        <v>203</v>
      </c>
      <c r="I2484" s="8" t="s">
        <v>45</v>
      </c>
      <c r="J2484" s="16" t="s">
        <v>13365</v>
      </c>
      <c r="K2484" s="2" t="s">
        <v>203</v>
      </c>
      <c r="L2484" s="8" t="s">
        <v>13366</v>
      </c>
      <c r="M2484" s="8" t="s">
        <v>27</v>
      </c>
      <c r="N2484" s="8" t="s">
        <v>13367</v>
      </c>
      <c r="O2484" s="8" t="s">
        <v>1018</v>
      </c>
      <c r="P2484" s="8" t="s">
        <v>405</v>
      </c>
      <c r="Q2484" s="12" t="s">
        <v>13368</v>
      </c>
      <c r="R2484" s="8" t="s">
        <v>100</v>
      </c>
      <c r="S2484" s="7" t="s">
        <v>28</v>
      </c>
      <c r="T2484" s="6"/>
      <c r="U2484" s="8"/>
      <c r="AI2484" s="8"/>
      <c r="AJ2484" s="8"/>
      <c r="AK2484" s="8"/>
      <c r="AL2484" s="8"/>
      <c r="AM2484" s="8"/>
    </row>
    <row r="2485" spans="1:39" ht="13.5" customHeight="1">
      <c r="A2485" s="8" t="s">
        <v>13375</v>
      </c>
      <c r="B2485" s="16">
        <v>26</v>
      </c>
      <c r="C2485" s="8" t="s">
        <v>20</v>
      </c>
      <c r="D2485" s="8" t="s">
        <v>85</v>
      </c>
      <c r="E2485" s="8" t="s">
        <v>13376</v>
      </c>
      <c r="F2485" s="17">
        <v>41582</v>
      </c>
      <c r="G2485" s="8" t="s">
        <v>13377</v>
      </c>
      <c r="H2485" s="8" t="s">
        <v>882</v>
      </c>
      <c r="I2485" s="8" t="s">
        <v>73</v>
      </c>
      <c r="J2485" s="16" t="s">
        <v>13378</v>
      </c>
      <c r="K2485" s="2" t="s">
        <v>1400</v>
      </c>
      <c r="L2485" s="8" t="s">
        <v>13379</v>
      </c>
      <c r="M2485" s="8" t="s">
        <v>27</v>
      </c>
      <c r="N2485" s="8" t="s">
        <v>13380</v>
      </c>
      <c r="O2485" s="8" t="s">
        <v>1018</v>
      </c>
      <c r="P2485" s="8" t="s">
        <v>405</v>
      </c>
      <c r="Q2485" s="12" t="s">
        <v>13381</v>
      </c>
      <c r="R2485" s="8" t="s">
        <v>559</v>
      </c>
      <c r="S2485" s="7" t="s">
        <v>28</v>
      </c>
      <c r="T2485" s="6"/>
      <c r="U2485" s="8"/>
    </row>
    <row r="2486" spans="1:39" ht="13.5" customHeight="1">
      <c r="A2486" s="8" t="s">
        <v>13382</v>
      </c>
      <c r="B2486" s="16">
        <v>23</v>
      </c>
      <c r="C2486" s="8" t="s">
        <v>20</v>
      </c>
      <c r="D2486" s="8" t="s">
        <v>85</v>
      </c>
      <c r="E2486" s="8" t="s">
        <v>13383</v>
      </c>
      <c r="F2486" s="17">
        <v>41582</v>
      </c>
      <c r="G2486" s="8" t="s">
        <v>13384</v>
      </c>
      <c r="H2486" s="8" t="s">
        <v>4299</v>
      </c>
      <c r="I2486" s="8" t="s">
        <v>62</v>
      </c>
      <c r="J2486" s="16" t="s">
        <v>13385</v>
      </c>
      <c r="K2486" s="2" t="s">
        <v>163</v>
      </c>
      <c r="L2486" s="8" t="s">
        <v>4301</v>
      </c>
      <c r="M2486" s="8" t="s">
        <v>27</v>
      </c>
      <c r="N2486" s="8" t="s">
        <v>13386</v>
      </c>
      <c r="O2486" s="8" t="s">
        <v>1018</v>
      </c>
      <c r="P2486" s="8" t="s">
        <v>405</v>
      </c>
      <c r="Q2486" s="12" t="s">
        <v>13387</v>
      </c>
      <c r="R2486" s="8" t="s">
        <v>100</v>
      </c>
      <c r="S2486" s="7" t="s">
        <v>28</v>
      </c>
      <c r="T2486" s="6"/>
      <c r="U2486" s="8"/>
    </row>
    <row r="2487" spans="1:39" ht="13.5" customHeight="1">
      <c r="A2487" s="8" t="s">
        <v>13388</v>
      </c>
      <c r="B2487" s="16">
        <v>19</v>
      </c>
      <c r="C2487" s="8" t="s">
        <v>20</v>
      </c>
      <c r="D2487" s="8" t="s">
        <v>37</v>
      </c>
      <c r="E2487" s="8" t="s">
        <v>13389</v>
      </c>
      <c r="F2487" s="17">
        <v>41582</v>
      </c>
      <c r="G2487" s="8" t="s">
        <v>13390</v>
      </c>
      <c r="H2487" s="8" t="s">
        <v>13391</v>
      </c>
      <c r="I2487" s="8" t="s">
        <v>374</v>
      </c>
      <c r="J2487" s="16" t="s">
        <v>13392</v>
      </c>
      <c r="K2487" s="2" t="s">
        <v>13393</v>
      </c>
      <c r="L2487" s="8" t="s">
        <v>13394</v>
      </c>
      <c r="M2487" s="8" t="s">
        <v>27</v>
      </c>
      <c r="N2487" s="8" t="s">
        <v>13395</v>
      </c>
      <c r="O2487" s="8" t="s">
        <v>554</v>
      </c>
      <c r="P2487" s="8" t="s">
        <v>405</v>
      </c>
      <c r="Q2487" s="12" t="s">
        <v>13396</v>
      </c>
      <c r="R2487" s="8" t="s">
        <v>100</v>
      </c>
      <c r="S2487" s="7" t="s">
        <v>383</v>
      </c>
      <c r="T2487" s="6"/>
      <c r="U2487" s="8"/>
      <c r="Y2487" s="8"/>
      <c r="Z2487" s="8"/>
      <c r="AA2487" s="8"/>
      <c r="AB2487" s="8"/>
      <c r="AC2487" s="8"/>
      <c r="AD2487" s="8"/>
      <c r="AE2487" s="8"/>
      <c r="AF2487" s="8"/>
      <c r="AG2487" s="8"/>
      <c r="AH2487" s="8"/>
    </row>
    <row r="2488" spans="1:39" ht="13.5" customHeight="1">
      <c r="A2488" s="8" t="s">
        <v>13397</v>
      </c>
      <c r="B2488" s="16">
        <v>51</v>
      </c>
      <c r="C2488" s="8" t="s">
        <v>20</v>
      </c>
      <c r="D2488" s="8" t="s">
        <v>30</v>
      </c>
      <c r="F2488" s="17">
        <v>41581</v>
      </c>
      <c r="G2488" s="8" t="s">
        <v>13398</v>
      </c>
      <c r="H2488" s="8" t="s">
        <v>638</v>
      </c>
      <c r="I2488" s="8" t="s">
        <v>124</v>
      </c>
      <c r="J2488" s="16" t="s">
        <v>13399</v>
      </c>
      <c r="K2488" s="2" t="s">
        <v>639</v>
      </c>
      <c r="L2488" s="8" t="s">
        <v>640</v>
      </c>
      <c r="M2488" s="8" t="s">
        <v>27</v>
      </c>
      <c r="N2488" s="8" t="s">
        <v>13400</v>
      </c>
      <c r="O2488" s="8" t="s">
        <v>1018</v>
      </c>
      <c r="P2488" s="8" t="s">
        <v>405</v>
      </c>
      <c r="Q2488" s="12" t="s">
        <v>13401</v>
      </c>
      <c r="R2488" s="8" t="s">
        <v>100</v>
      </c>
      <c r="S2488" s="7" t="s">
        <v>28</v>
      </c>
      <c r="T2488" s="6"/>
      <c r="U2488" s="8"/>
      <c r="V2488" s="8"/>
      <c r="W2488" s="8"/>
      <c r="X2488" s="8"/>
    </row>
    <row r="2489" spans="1:39" ht="13.5" customHeight="1">
      <c r="A2489" s="8" t="s">
        <v>13402</v>
      </c>
      <c r="B2489" s="16">
        <v>88</v>
      </c>
      <c r="C2489" s="8" t="s">
        <v>20</v>
      </c>
      <c r="D2489" s="8" t="s">
        <v>37</v>
      </c>
      <c r="E2489" s="8" t="s">
        <v>13403</v>
      </c>
      <c r="F2489" s="17">
        <v>41581</v>
      </c>
      <c r="G2489" s="8" t="s">
        <v>13404</v>
      </c>
      <c r="H2489" s="8" t="s">
        <v>13405</v>
      </c>
      <c r="I2489" s="8" t="s">
        <v>118</v>
      </c>
      <c r="J2489" s="16" t="s">
        <v>13406</v>
      </c>
      <c r="K2489" s="2" t="s">
        <v>4309</v>
      </c>
      <c r="L2489" s="8" t="s">
        <v>4310</v>
      </c>
      <c r="M2489" s="8" t="s">
        <v>619</v>
      </c>
      <c r="N2489" s="8" t="s">
        <v>13407</v>
      </c>
      <c r="O2489" s="8" t="s">
        <v>3421</v>
      </c>
      <c r="P2489" s="8" t="s">
        <v>405</v>
      </c>
      <c r="Q2489" s="12" t="s">
        <v>13408</v>
      </c>
      <c r="R2489" s="8" t="s">
        <v>29</v>
      </c>
      <c r="S2489" s="7" t="s">
        <v>28</v>
      </c>
      <c r="T2489" s="6"/>
      <c r="U2489" s="8"/>
    </row>
    <row r="2490" spans="1:39" ht="13.5" customHeight="1">
      <c r="A2490" s="8" t="s">
        <v>13409</v>
      </c>
      <c r="B2490" s="16">
        <v>64</v>
      </c>
      <c r="C2490" s="8" t="s">
        <v>115</v>
      </c>
      <c r="D2490" s="8" t="s">
        <v>37</v>
      </c>
      <c r="E2490" s="8" t="s">
        <v>13410</v>
      </c>
      <c r="F2490" s="17">
        <v>41581</v>
      </c>
      <c r="G2490" s="8" t="s">
        <v>13411</v>
      </c>
      <c r="H2490" s="8" t="s">
        <v>1253</v>
      </c>
      <c r="I2490" s="8" t="s">
        <v>323</v>
      </c>
      <c r="J2490" s="16" t="s">
        <v>13412</v>
      </c>
      <c r="K2490" s="2" t="s">
        <v>13413</v>
      </c>
      <c r="L2490" s="8" t="s">
        <v>13414</v>
      </c>
      <c r="M2490" s="8" t="s">
        <v>27</v>
      </c>
      <c r="N2490" s="8" t="s">
        <v>13415</v>
      </c>
      <c r="O2490" s="8" t="s">
        <v>1018</v>
      </c>
      <c r="P2490" s="8" t="s">
        <v>405</v>
      </c>
      <c r="Q2490" s="12" t="s">
        <v>13416</v>
      </c>
      <c r="R2490" s="8" t="s">
        <v>559</v>
      </c>
      <c r="S2490" s="7" t="s">
        <v>28</v>
      </c>
      <c r="T2490" s="6"/>
      <c r="U2490" s="8"/>
    </row>
    <row r="2491" spans="1:39" ht="13.5" customHeight="1">
      <c r="A2491" s="8" t="s">
        <v>13417</v>
      </c>
      <c r="B2491" s="16">
        <v>22</v>
      </c>
      <c r="C2491" s="8" t="s">
        <v>20</v>
      </c>
      <c r="D2491" s="8" t="s">
        <v>48</v>
      </c>
      <c r="E2491" s="8" t="s">
        <v>13418</v>
      </c>
      <c r="F2491" s="17">
        <v>41580</v>
      </c>
      <c r="G2491" s="8" t="s">
        <v>13419</v>
      </c>
      <c r="H2491" s="8" t="s">
        <v>288</v>
      </c>
      <c r="I2491" s="8" t="s">
        <v>73</v>
      </c>
      <c r="J2491" s="16" t="s">
        <v>9021</v>
      </c>
      <c r="K2491" s="2" t="s">
        <v>288</v>
      </c>
      <c r="L2491" s="8" t="s">
        <v>289</v>
      </c>
      <c r="M2491" s="8" t="s">
        <v>27</v>
      </c>
      <c r="N2491" s="8" t="s">
        <v>13420</v>
      </c>
      <c r="O2491" s="8" t="s">
        <v>1018</v>
      </c>
      <c r="P2491" s="8" t="s">
        <v>405</v>
      </c>
      <c r="Q2491" s="12" t="s">
        <v>13421</v>
      </c>
      <c r="R2491" s="8" t="s">
        <v>100</v>
      </c>
      <c r="S2491" s="7" t="s">
        <v>28</v>
      </c>
      <c r="T2491" s="6"/>
      <c r="U2491" s="8"/>
    </row>
    <row r="2492" spans="1:39" ht="13.5" customHeight="1">
      <c r="A2492" s="8" t="s">
        <v>13422</v>
      </c>
      <c r="B2492" s="16">
        <v>27</v>
      </c>
      <c r="C2492" s="8" t="s">
        <v>20</v>
      </c>
      <c r="D2492" s="8" t="s">
        <v>48</v>
      </c>
      <c r="F2492" s="17">
        <v>41579</v>
      </c>
      <c r="G2492" s="8" t="s">
        <v>13423</v>
      </c>
      <c r="H2492" s="8" t="s">
        <v>6501</v>
      </c>
      <c r="I2492" s="8" t="s">
        <v>45</v>
      </c>
      <c r="J2492" s="16" t="s">
        <v>13424</v>
      </c>
      <c r="K2492" s="2" t="s">
        <v>98</v>
      </c>
      <c r="L2492" s="8" t="s">
        <v>5043</v>
      </c>
      <c r="M2492" s="8" t="s">
        <v>27</v>
      </c>
      <c r="N2492" s="8" t="s">
        <v>13425</v>
      </c>
      <c r="O2492" s="8" t="s">
        <v>1018</v>
      </c>
      <c r="P2492" s="8" t="s">
        <v>405</v>
      </c>
      <c r="Q2492" s="12" t="s">
        <v>13426</v>
      </c>
      <c r="R2492" s="8" t="s">
        <v>100</v>
      </c>
      <c r="S2492" s="7" t="s">
        <v>28</v>
      </c>
      <c r="T2492" s="6"/>
      <c r="U2492" s="8"/>
    </row>
    <row r="2493" spans="1:39" ht="13.5" customHeight="1">
      <c r="A2493" s="8" t="s">
        <v>13427</v>
      </c>
      <c r="B2493" s="16">
        <v>50</v>
      </c>
      <c r="C2493" s="8" t="s">
        <v>115</v>
      </c>
      <c r="D2493" s="8" t="s">
        <v>48</v>
      </c>
      <c r="E2493" s="8" t="s">
        <v>13428</v>
      </c>
      <c r="F2493" s="17">
        <v>41579</v>
      </c>
      <c r="G2493" s="8" t="s">
        <v>13429</v>
      </c>
      <c r="H2493" s="8" t="s">
        <v>8028</v>
      </c>
      <c r="I2493" s="8" t="s">
        <v>73</v>
      </c>
      <c r="J2493" s="16" t="s">
        <v>10954</v>
      </c>
      <c r="K2493" s="2" t="s">
        <v>1795</v>
      </c>
      <c r="L2493" s="8" t="s">
        <v>8029</v>
      </c>
      <c r="M2493" s="8" t="s">
        <v>27</v>
      </c>
      <c r="N2493" s="8" t="s">
        <v>13430</v>
      </c>
      <c r="O2493" s="8" t="s">
        <v>1018</v>
      </c>
      <c r="P2493" s="8" t="s">
        <v>405</v>
      </c>
      <c r="Q2493" s="12" t="s">
        <v>13431</v>
      </c>
      <c r="R2493" s="8" t="s">
        <v>559</v>
      </c>
      <c r="S2493" s="7" t="s">
        <v>28</v>
      </c>
      <c r="T2493" s="6"/>
      <c r="U2493" s="8"/>
    </row>
    <row r="2494" spans="1:39" ht="13.5" customHeight="1">
      <c r="A2494" s="8" t="s">
        <v>13432</v>
      </c>
      <c r="C2494" s="8" t="s">
        <v>20</v>
      </c>
      <c r="D2494" s="8" t="s">
        <v>30</v>
      </c>
      <c r="F2494" s="17">
        <v>41578</v>
      </c>
      <c r="G2494" s="8" t="s">
        <v>13433</v>
      </c>
      <c r="H2494" s="8" t="s">
        <v>13434</v>
      </c>
      <c r="I2494" s="8" t="s">
        <v>370</v>
      </c>
      <c r="J2494" s="16" t="s">
        <v>13435</v>
      </c>
      <c r="K2494" s="2" t="s">
        <v>13436</v>
      </c>
      <c r="L2494" s="8" t="s">
        <v>13437</v>
      </c>
      <c r="M2494" s="8" t="s">
        <v>27</v>
      </c>
      <c r="N2494" s="8" t="s">
        <v>13438</v>
      </c>
      <c r="O2494" s="8" t="s">
        <v>554</v>
      </c>
      <c r="P2494" s="8" t="s">
        <v>405</v>
      </c>
      <c r="Q2494" s="12" t="s">
        <v>13439</v>
      </c>
      <c r="R2494" s="8" t="s">
        <v>559</v>
      </c>
      <c r="S2494" s="7" t="s">
        <v>28</v>
      </c>
      <c r="T2494" s="6"/>
      <c r="U2494" s="8"/>
    </row>
    <row r="2495" spans="1:39" ht="13.5" customHeight="1">
      <c r="A2495" s="8" t="s">
        <v>13451</v>
      </c>
      <c r="B2495" s="16">
        <v>28</v>
      </c>
      <c r="C2495" s="8" t="s">
        <v>20</v>
      </c>
      <c r="D2495" s="8" t="s">
        <v>37</v>
      </c>
      <c r="E2495" s="8" t="s">
        <v>13452</v>
      </c>
      <c r="F2495" s="17">
        <v>41578</v>
      </c>
      <c r="G2495" s="8" t="s">
        <v>13453</v>
      </c>
      <c r="H2495" s="8" t="s">
        <v>13454</v>
      </c>
      <c r="I2495" s="8" t="s">
        <v>435</v>
      </c>
      <c r="J2495" s="16" t="s">
        <v>13455</v>
      </c>
      <c r="K2495" s="2" t="s">
        <v>11279</v>
      </c>
      <c r="L2495" s="8" t="s">
        <v>13456</v>
      </c>
      <c r="M2495" s="8" t="s">
        <v>27</v>
      </c>
      <c r="N2495" s="8" t="s">
        <v>13457</v>
      </c>
      <c r="O2495" s="8" t="s">
        <v>554</v>
      </c>
      <c r="P2495" s="8" t="s">
        <v>405</v>
      </c>
      <c r="Q2495" s="12" t="s">
        <v>13458</v>
      </c>
      <c r="R2495" s="8" t="s">
        <v>972</v>
      </c>
      <c r="S2495" s="7" t="s">
        <v>383</v>
      </c>
      <c r="T2495" s="6"/>
      <c r="U2495" s="8"/>
    </row>
    <row r="2496" spans="1:39" ht="13.5" customHeight="1">
      <c r="A2496" s="8" t="s">
        <v>13446</v>
      </c>
      <c r="B2496" s="16">
        <v>57</v>
      </c>
      <c r="C2496" s="8" t="s">
        <v>20</v>
      </c>
      <c r="D2496" s="8" t="s">
        <v>30</v>
      </c>
      <c r="F2496" s="17">
        <v>41578</v>
      </c>
      <c r="G2496" s="8" t="s">
        <v>13447</v>
      </c>
      <c r="H2496" s="8" t="s">
        <v>5585</v>
      </c>
      <c r="I2496" s="8" t="s">
        <v>175</v>
      </c>
      <c r="J2496" s="16" t="s">
        <v>13448</v>
      </c>
      <c r="K2496" s="2" t="s">
        <v>7379</v>
      </c>
      <c r="L2496" s="8" t="s">
        <v>11868</v>
      </c>
      <c r="M2496" s="8" t="s">
        <v>27</v>
      </c>
      <c r="N2496" s="8" t="s">
        <v>13449</v>
      </c>
      <c r="O2496" s="8" t="s">
        <v>1018</v>
      </c>
      <c r="P2496" s="8" t="s">
        <v>405</v>
      </c>
      <c r="Q2496" s="12" t="s">
        <v>13450</v>
      </c>
      <c r="R2496" s="8" t="s">
        <v>29</v>
      </c>
      <c r="S2496" s="7" t="s">
        <v>28</v>
      </c>
      <c r="T2496" s="6"/>
      <c r="U2496" s="8"/>
    </row>
    <row r="2497" spans="1:34" ht="13.5" customHeight="1">
      <c r="A2497" s="8" t="s">
        <v>3288</v>
      </c>
      <c r="B2497" s="16">
        <v>26</v>
      </c>
      <c r="C2497" s="8" t="s">
        <v>20</v>
      </c>
      <c r="D2497" s="8" t="s">
        <v>30</v>
      </c>
      <c r="F2497" s="17">
        <v>41578</v>
      </c>
      <c r="G2497" s="8" t="s">
        <v>13444</v>
      </c>
      <c r="H2497" s="8" t="s">
        <v>762</v>
      </c>
      <c r="I2497" s="8" t="s">
        <v>427</v>
      </c>
      <c r="J2497" s="16" t="s">
        <v>13441</v>
      </c>
      <c r="K2497" s="2" t="s">
        <v>1861</v>
      </c>
      <c r="L2497" s="8" t="s">
        <v>586</v>
      </c>
      <c r="M2497" s="8" t="s">
        <v>27</v>
      </c>
      <c r="N2497" s="8" t="s">
        <v>13445</v>
      </c>
      <c r="O2497" s="8" t="s">
        <v>1018</v>
      </c>
      <c r="P2497" s="8" t="s">
        <v>405</v>
      </c>
      <c r="Q2497" s="12" t="s">
        <v>13443</v>
      </c>
      <c r="R2497" s="8" t="s">
        <v>29</v>
      </c>
      <c r="S2497" s="7" t="s">
        <v>28</v>
      </c>
      <c r="T2497" s="6"/>
      <c r="U2497" s="8"/>
    </row>
    <row r="2498" spans="1:34" ht="13.5" customHeight="1">
      <c r="A2498" s="8" t="s">
        <v>3288</v>
      </c>
      <c r="B2498" s="16">
        <v>26</v>
      </c>
      <c r="C2498" s="8" t="s">
        <v>20</v>
      </c>
      <c r="D2498" s="8" t="s">
        <v>30</v>
      </c>
      <c r="F2498" s="17">
        <v>41578</v>
      </c>
      <c r="G2498" s="8" t="s">
        <v>13440</v>
      </c>
      <c r="H2498" s="8" t="s">
        <v>1861</v>
      </c>
      <c r="I2498" s="8" t="s">
        <v>427</v>
      </c>
      <c r="J2498" s="16" t="s">
        <v>13441</v>
      </c>
      <c r="K2498" s="2" t="s">
        <v>762</v>
      </c>
      <c r="L2498" s="8" t="s">
        <v>586</v>
      </c>
      <c r="M2498" s="8" t="s">
        <v>27</v>
      </c>
      <c r="N2498" s="8" t="s">
        <v>13442</v>
      </c>
      <c r="O2498" s="8" t="s">
        <v>1018</v>
      </c>
      <c r="P2498" s="8" t="s">
        <v>405</v>
      </c>
      <c r="Q2498" s="12" t="s">
        <v>13443</v>
      </c>
      <c r="R2498" s="8" t="s">
        <v>100</v>
      </c>
      <c r="S2498" s="7" t="s">
        <v>28</v>
      </c>
      <c r="T2498" s="6"/>
      <c r="U2498" s="8"/>
    </row>
    <row r="2499" spans="1:34" ht="13.5" customHeight="1">
      <c r="A2499" s="8" t="s">
        <v>13466</v>
      </c>
      <c r="B2499" s="16">
        <v>28</v>
      </c>
      <c r="C2499" s="8" t="s">
        <v>20</v>
      </c>
      <c r="D2499" s="8" t="s">
        <v>85</v>
      </c>
      <c r="E2499" s="8" t="s">
        <v>13467</v>
      </c>
      <c r="F2499" s="17">
        <v>41577</v>
      </c>
      <c r="G2499" s="8" t="s">
        <v>13468</v>
      </c>
      <c r="H2499" s="8" t="s">
        <v>219</v>
      </c>
      <c r="I2499" s="8" t="s">
        <v>220</v>
      </c>
      <c r="J2499" s="16" t="s">
        <v>13469</v>
      </c>
      <c r="K2499" s="2" t="s">
        <v>424</v>
      </c>
      <c r="L2499" s="8" t="s">
        <v>221</v>
      </c>
      <c r="M2499" s="8" t="s">
        <v>27</v>
      </c>
      <c r="N2499" s="8" t="s">
        <v>13470</v>
      </c>
      <c r="O2499" s="8" t="s">
        <v>1018</v>
      </c>
      <c r="P2499" s="8" t="s">
        <v>405</v>
      </c>
      <c r="Q2499" s="12" t="s">
        <v>13471</v>
      </c>
      <c r="R2499" s="8" t="s">
        <v>100</v>
      </c>
      <c r="S2499" s="7" t="s">
        <v>28</v>
      </c>
      <c r="T2499" s="6"/>
      <c r="U2499" s="8"/>
    </row>
    <row r="2500" spans="1:34" ht="13.5" customHeight="1">
      <c r="A2500" s="8" t="s">
        <v>13459</v>
      </c>
      <c r="B2500" s="16">
        <v>30</v>
      </c>
      <c r="C2500" s="8" t="s">
        <v>20</v>
      </c>
      <c r="D2500" s="8" t="s">
        <v>85</v>
      </c>
      <c r="E2500" s="8" t="s">
        <v>13460</v>
      </c>
      <c r="F2500" s="17">
        <v>41577</v>
      </c>
      <c r="G2500" s="8" t="s">
        <v>13461</v>
      </c>
      <c r="H2500" s="8" t="s">
        <v>8863</v>
      </c>
      <c r="I2500" s="8" t="s">
        <v>408</v>
      </c>
      <c r="J2500" s="16" t="s">
        <v>13462</v>
      </c>
      <c r="K2500" s="2" t="s">
        <v>8863</v>
      </c>
      <c r="L2500" s="8" t="s">
        <v>13463</v>
      </c>
      <c r="M2500" s="8" t="s">
        <v>27</v>
      </c>
      <c r="N2500" s="8" t="s">
        <v>13464</v>
      </c>
      <c r="O2500" s="8" t="s">
        <v>554</v>
      </c>
      <c r="P2500" s="8" t="s">
        <v>405</v>
      </c>
      <c r="Q2500" s="12" t="s">
        <v>13465</v>
      </c>
      <c r="R2500" s="8" t="s">
        <v>100</v>
      </c>
      <c r="S2500" s="7" t="s">
        <v>28</v>
      </c>
      <c r="T2500" s="6"/>
      <c r="U2500" s="8"/>
    </row>
    <row r="2501" spans="1:34" ht="13.5" customHeight="1">
      <c r="A2501" s="8" t="s">
        <v>13481</v>
      </c>
      <c r="B2501" s="16">
        <v>28</v>
      </c>
      <c r="C2501" s="8" t="s">
        <v>20</v>
      </c>
      <c r="D2501" s="8" t="s">
        <v>30</v>
      </c>
      <c r="F2501" s="17">
        <v>41577</v>
      </c>
      <c r="G2501" s="8" t="s">
        <v>13482</v>
      </c>
      <c r="H2501" s="8" t="s">
        <v>13483</v>
      </c>
      <c r="I2501" s="8" t="s">
        <v>247</v>
      </c>
      <c r="J2501" s="16" t="s">
        <v>13484</v>
      </c>
      <c r="K2501" s="2" t="s">
        <v>4467</v>
      </c>
      <c r="L2501" s="8" t="s">
        <v>13485</v>
      </c>
      <c r="M2501" s="8" t="s">
        <v>27</v>
      </c>
      <c r="N2501" s="8" t="s">
        <v>13486</v>
      </c>
      <c r="O2501" s="8" t="s">
        <v>1018</v>
      </c>
      <c r="P2501" s="8" t="s">
        <v>405</v>
      </c>
      <c r="Q2501" s="12" t="s">
        <v>13487</v>
      </c>
      <c r="R2501" s="8" t="s">
        <v>100</v>
      </c>
      <c r="S2501" s="7" t="s">
        <v>28</v>
      </c>
      <c r="T2501" s="6"/>
      <c r="U2501" s="8"/>
    </row>
    <row r="2502" spans="1:34" ht="13.5" customHeight="1">
      <c r="A2502" s="8" t="s">
        <v>13472</v>
      </c>
      <c r="B2502" s="16">
        <v>24</v>
      </c>
      <c r="C2502" s="8" t="s">
        <v>20</v>
      </c>
      <c r="D2502" s="8" t="s">
        <v>141</v>
      </c>
      <c r="E2502" s="8" t="s">
        <v>13473</v>
      </c>
      <c r="F2502" s="17">
        <v>41577</v>
      </c>
      <c r="G2502" s="8" t="s">
        <v>13474</v>
      </c>
      <c r="H2502" s="8" t="s">
        <v>13475</v>
      </c>
      <c r="I2502" s="8" t="s">
        <v>145</v>
      </c>
      <c r="J2502" s="16" t="s">
        <v>13476</v>
      </c>
      <c r="K2502" s="2" t="s">
        <v>13477</v>
      </c>
      <c r="L2502" s="8" t="s">
        <v>13478</v>
      </c>
      <c r="M2502" s="8" t="s">
        <v>27</v>
      </c>
      <c r="N2502" s="8" t="s">
        <v>13479</v>
      </c>
      <c r="O2502" s="8" t="s">
        <v>1018</v>
      </c>
      <c r="P2502" s="8" t="s">
        <v>405</v>
      </c>
      <c r="Q2502" s="12" t="s">
        <v>13480</v>
      </c>
      <c r="R2502" s="8" t="s">
        <v>100</v>
      </c>
      <c r="S2502" s="7" t="s">
        <v>28</v>
      </c>
      <c r="T2502" s="6"/>
      <c r="U2502" s="8"/>
    </row>
    <row r="2503" spans="1:34" ht="13.5" customHeight="1">
      <c r="A2503" s="8" t="s">
        <v>13488</v>
      </c>
      <c r="B2503" s="16">
        <v>30</v>
      </c>
      <c r="C2503" s="8" t="s">
        <v>20</v>
      </c>
      <c r="D2503" s="8" t="s">
        <v>30</v>
      </c>
      <c r="F2503" s="17">
        <v>41577</v>
      </c>
      <c r="G2503" s="8" t="s">
        <v>13489</v>
      </c>
      <c r="H2503" s="8" t="s">
        <v>481</v>
      </c>
      <c r="I2503" s="8" t="s">
        <v>247</v>
      </c>
      <c r="J2503" s="16" t="s">
        <v>13490</v>
      </c>
      <c r="K2503" s="2" t="s">
        <v>13491</v>
      </c>
      <c r="L2503" s="8" t="s">
        <v>483</v>
      </c>
      <c r="M2503" s="8" t="s">
        <v>27</v>
      </c>
      <c r="N2503" s="8" t="s">
        <v>13492</v>
      </c>
      <c r="O2503" s="8" t="s">
        <v>1018</v>
      </c>
      <c r="P2503" s="8" t="s">
        <v>405</v>
      </c>
      <c r="Q2503" s="12" t="s">
        <v>13493</v>
      </c>
      <c r="R2503" s="8" t="s">
        <v>559</v>
      </c>
      <c r="S2503" s="7" t="s">
        <v>28</v>
      </c>
      <c r="T2503" s="6"/>
      <c r="U2503" s="8"/>
    </row>
    <row r="2504" spans="1:34" ht="13.5" customHeight="1">
      <c r="A2504" s="8" t="s">
        <v>13494</v>
      </c>
      <c r="B2504" s="16">
        <v>25</v>
      </c>
      <c r="C2504" s="8" t="s">
        <v>20</v>
      </c>
      <c r="D2504" s="8" t="s">
        <v>85</v>
      </c>
      <c r="F2504" s="17">
        <v>41576</v>
      </c>
      <c r="G2504" s="8" t="s">
        <v>13495</v>
      </c>
      <c r="H2504" s="8" t="s">
        <v>731</v>
      </c>
      <c r="I2504" s="8" t="s">
        <v>73</v>
      </c>
      <c r="J2504" s="16" t="s">
        <v>13496</v>
      </c>
      <c r="K2504" s="2" t="s">
        <v>562</v>
      </c>
      <c r="L2504" s="8" t="s">
        <v>13497</v>
      </c>
      <c r="M2504" s="8" t="s">
        <v>27</v>
      </c>
      <c r="N2504" s="8" t="s">
        <v>13498</v>
      </c>
      <c r="O2504" s="8" t="s">
        <v>554</v>
      </c>
      <c r="P2504" s="8" t="s">
        <v>405</v>
      </c>
      <c r="Q2504" s="12" t="s">
        <v>13499</v>
      </c>
      <c r="R2504" s="8" t="s">
        <v>100</v>
      </c>
      <c r="S2504" s="7" t="s">
        <v>28</v>
      </c>
      <c r="T2504" s="6"/>
      <c r="U2504" s="8"/>
    </row>
    <row r="2505" spans="1:34" ht="13.5" customHeight="1">
      <c r="A2505" s="8" t="s">
        <v>13511</v>
      </c>
      <c r="B2505" s="16">
        <v>51</v>
      </c>
      <c r="C2505" s="8" t="s">
        <v>20</v>
      </c>
      <c r="D2505" s="8" t="s">
        <v>85</v>
      </c>
      <c r="E2505" s="8" t="s">
        <v>13512</v>
      </c>
      <c r="F2505" s="17">
        <v>41576</v>
      </c>
      <c r="G2505" s="8" t="s">
        <v>13513</v>
      </c>
      <c r="H2505" s="8" t="s">
        <v>216</v>
      </c>
      <c r="I2505" s="8" t="s">
        <v>62</v>
      </c>
      <c r="J2505" s="16" t="s">
        <v>13514</v>
      </c>
      <c r="K2505" s="2" t="s">
        <v>163</v>
      </c>
      <c r="L2505" s="8" t="s">
        <v>164</v>
      </c>
      <c r="M2505" s="8" t="s">
        <v>27</v>
      </c>
      <c r="N2505" s="8" t="s">
        <v>13515</v>
      </c>
      <c r="O2505" s="8" t="s">
        <v>554</v>
      </c>
      <c r="P2505" s="8" t="s">
        <v>405</v>
      </c>
      <c r="Q2505" s="12" t="s">
        <v>13516</v>
      </c>
      <c r="R2505" s="8" t="s">
        <v>100</v>
      </c>
      <c r="S2505" s="7" t="s">
        <v>28</v>
      </c>
      <c r="T2505" s="6"/>
      <c r="U2505" s="8"/>
    </row>
    <row r="2506" spans="1:34" ht="13.5" customHeight="1">
      <c r="A2506" s="8" t="s">
        <v>13517</v>
      </c>
      <c r="B2506" s="16">
        <v>57</v>
      </c>
      <c r="C2506" s="8" t="s">
        <v>20</v>
      </c>
      <c r="D2506" s="8" t="s">
        <v>37</v>
      </c>
      <c r="E2506" s="8" t="s">
        <v>13518</v>
      </c>
      <c r="F2506" s="17">
        <v>41576</v>
      </c>
      <c r="G2506" s="8" t="s">
        <v>13519</v>
      </c>
      <c r="H2506" s="8" t="s">
        <v>5064</v>
      </c>
      <c r="I2506" s="8" t="s">
        <v>427</v>
      </c>
      <c r="J2506" s="16" t="s">
        <v>13520</v>
      </c>
      <c r="K2506" s="2" t="s">
        <v>13521</v>
      </c>
      <c r="L2506" s="8" t="s">
        <v>13522</v>
      </c>
      <c r="M2506" s="8" t="s">
        <v>27</v>
      </c>
      <c r="N2506" s="8" t="s">
        <v>13523</v>
      </c>
      <c r="O2506" s="8" t="s">
        <v>554</v>
      </c>
      <c r="P2506" s="8" t="s">
        <v>405</v>
      </c>
      <c r="Q2506" s="12" t="s">
        <v>13524</v>
      </c>
      <c r="R2506" s="8" t="s">
        <v>559</v>
      </c>
      <c r="S2506" s="7" t="s">
        <v>28</v>
      </c>
      <c r="T2506" s="6"/>
      <c r="U2506" s="8"/>
    </row>
    <row r="2507" spans="1:34" ht="13.5" customHeight="1">
      <c r="A2507" s="8" t="s">
        <v>13507</v>
      </c>
      <c r="B2507" s="16">
        <v>49</v>
      </c>
      <c r="C2507" s="8" t="s">
        <v>20</v>
      </c>
      <c r="D2507" s="8" t="s">
        <v>85</v>
      </c>
      <c r="F2507" s="17">
        <v>41576</v>
      </c>
      <c r="G2507" s="8" t="s">
        <v>13508</v>
      </c>
      <c r="H2507" s="8" t="s">
        <v>8990</v>
      </c>
      <c r="I2507" s="8" t="s">
        <v>45</v>
      </c>
      <c r="J2507" s="16" t="s">
        <v>8991</v>
      </c>
      <c r="K2507" s="2" t="s">
        <v>98</v>
      </c>
      <c r="L2507" s="8" t="s">
        <v>99</v>
      </c>
      <c r="M2507" s="8" t="s">
        <v>27</v>
      </c>
      <c r="N2507" s="8" t="s">
        <v>13509</v>
      </c>
      <c r="O2507" s="8" t="s">
        <v>554</v>
      </c>
      <c r="P2507" s="8" t="s">
        <v>405</v>
      </c>
      <c r="Q2507" s="12" t="s">
        <v>13510</v>
      </c>
      <c r="R2507" s="8" t="s">
        <v>100</v>
      </c>
      <c r="S2507" s="7" t="s">
        <v>28</v>
      </c>
      <c r="T2507" s="6"/>
      <c r="U2507" s="8"/>
    </row>
    <row r="2508" spans="1:34" ht="13.5" customHeight="1">
      <c r="A2508" s="8" t="s">
        <v>13500</v>
      </c>
      <c r="B2508" s="16">
        <v>54</v>
      </c>
      <c r="C2508" s="8" t="s">
        <v>20</v>
      </c>
      <c r="D2508" s="8" t="s">
        <v>85</v>
      </c>
      <c r="E2508" s="8" t="s">
        <v>13501</v>
      </c>
      <c r="F2508" s="17">
        <v>41576</v>
      </c>
      <c r="G2508" s="8" t="s">
        <v>13502</v>
      </c>
      <c r="H2508" s="8" t="s">
        <v>2502</v>
      </c>
      <c r="I2508" s="8" t="s">
        <v>427</v>
      </c>
      <c r="J2508" s="16" t="s">
        <v>13503</v>
      </c>
      <c r="K2508" s="2" t="s">
        <v>51</v>
      </c>
      <c r="L2508" s="8" t="s">
        <v>13504</v>
      </c>
      <c r="M2508" s="8" t="s">
        <v>3407</v>
      </c>
      <c r="N2508" s="8" t="s">
        <v>13505</v>
      </c>
      <c r="O2508" s="8" t="s">
        <v>1018</v>
      </c>
      <c r="P2508" s="8" t="s">
        <v>405</v>
      </c>
      <c r="Q2508" s="12" t="s">
        <v>13506</v>
      </c>
      <c r="R2508" s="8" t="s">
        <v>972</v>
      </c>
      <c r="S2508" s="7" t="s">
        <v>18</v>
      </c>
      <c r="T2508" s="6"/>
      <c r="U2508" s="8"/>
      <c r="Y2508" s="8"/>
      <c r="Z2508" s="8"/>
      <c r="AA2508" s="8"/>
      <c r="AB2508" s="8"/>
      <c r="AC2508" s="8"/>
      <c r="AD2508" s="8"/>
      <c r="AE2508" s="8"/>
      <c r="AF2508" s="8"/>
      <c r="AG2508" s="8"/>
      <c r="AH2508" s="8"/>
    </row>
    <row r="2509" spans="1:34" ht="13.5" customHeight="1">
      <c r="A2509" s="8" t="s">
        <v>13534</v>
      </c>
      <c r="B2509" s="16">
        <v>27</v>
      </c>
      <c r="C2509" s="8" t="s">
        <v>20</v>
      </c>
      <c r="D2509" s="8" t="s">
        <v>37</v>
      </c>
      <c r="E2509" s="8" t="s">
        <v>13535</v>
      </c>
      <c r="F2509" s="17">
        <v>41575</v>
      </c>
      <c r="G2509" s="8" t="s">
        <v>13536</v>
      </c>
      <c r="H2509" s="8" t="s">
        <v>9092</v>
      </c>
      <c r="I2509" s="8" t="s">
        <v>73</v>
      </c>
      <c r="J2509" s="16" t="s">
        <v>9093</v>
      </c>
      <c r="K2509" s="2" t="s">
        <v>288</v>
      </c>
      <c r="L2509" s="8" t="s">
        <v>13537</v>
      </c>
      <c r="M2509" s="8" t="s">
        <v>27</v>
      </c>
      <c r="N2509" s="8" t="s">
        <v>13538</v>
      </c>
      <c r="O2509" s="8" t="s">
        <v>554</v>
      </c>
      <c r="P2509" s="8" t="s">
        <v>405</v>
      </c>
      <c r="Q2509" s="12"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2509" s="8" t="s">
        <v>100</v>
      </c>
      <c r="S2509" s="7" t="s">
        <v>35</v>
      </c>
      <c r="T2509" s="6"/>
      <c r="U2509" s="8"/>
    </row>
    <row r="2510" spans="1:34" ht="13.5" customHeight="1">
      <c r="A2510" s="8" t="s">
        <v>13525</v>
      </c>
      <c r="B2510" s="16">
        <v>61</v>
      </c>
      <c r="C2510" s="8" t="s">
        <v>20</v>
      </c>
      <c r="D2510" s="8" t="s">
        <v>85</v>
      </c>
      <c r="E2510" s="8" t="s">
        <v>13526</v>
      </c>
      <c r="F2510" s="17">
        <v>41575</v>
      </c>
      <c r="G2510" s="8" t="s">
        <v>13527</v>
      </c>
      <c r="H2510" s="8" t="s">
        <v>13528</v>
      </c>
      <c r="I2510" s="8" t="s">
        <v>175</v>
      </c>
      <c r="J2510" s="16" t="s">
        <v>13529</v>
      </c>
      <c r="K2510" s="2" t="s">
        <v>13530</v>
      </c>
      <c r="L2510" s="8" t="s">
        <v>13531</v>
      </c>
      <c r="M2510" s="8" t="s">
        <v>27</v>
      </c>
      <c r="N2510" s="8" t="s">
        <v>13532</v>
      </c>
      <c r="O2510" s="8" t="s">
        <v>1018</v>
      </c>
      <c r="P2510" s="8" t="s">
        <v>405</v>
      </c>
      <c r="Q2510" s="12" t="s">
        <v>13533</v>
      </c>
      <c r="R2510" s="8" t="s">
        <v>100</v>
      </c>
      <c r="S2510" s="7" t="s">
        <v>35</v>
      </c>
      <c r="T2510" s="6"/>
      <c r="U2510" s="8"/>
    </row>
    <row r="2511" spans="1:34" ht="13.5" customHeight="1">
      <c r="A2511" s="8" t="s">
        <v>13539</v>
      </c>
      <c r="B2511" s="16">
        <v>71</v>
      </c>
      <c r="C2511" s="8" t="s">
        <v>20</v>
      </c>
      <c r="D2511" s="8" t="s">
        <v>37</v>
      </c>
      <c r="E2511" s="8" t="s">
        <v>13540</v>
      </c>
      <c r="F2511" s="17">
        <v>41575</v>
      </c>
      <c r="G2511" s="8" t="s">
        <v>13541</v>
      </c>
      <c r="H2511" s="8" t="s">
        <v>1015</v>
      </c>
      <c r="I2511" s="8" t="s">
        <v>32</v>
      </c>
      <c r="J2511" s="16" t="s">
        <v>13542</v>
      </c>
      <c r="K2511" s="2" t="s">
        <v>1015</v>
      </c>
      <c r="L2511" s="8" t="s">
        <v>2752</v>
      </c>
      <c r="M2511" s="8" t="s">
        <v>27</v>
      </c>
      <c r="N2511" s="8" t="s">
        <v>13543</v>
      </c>
      <c r="O2511" s="8" t="s">
        <v>1018</v>
      </c>
      <c r="P2511" s="8" t="s">
        <v>405</v>
      </c>
      <c r="Q2511" s="12" t="s">
        <v>13544</v>
      </c>
      <c r="R2511" s="8" t="s">
        <v>100</v>
      </c>
      <c r="S2511" s="7" t="s">
        <v>28</v>
      </c>
      <c r="T2511" s="6"/>
      <c r="U2511" s="8"/>
    </row>
    <row r="2512" spans="1:34" ht="13.5" customHeight="1">
      <c r="A2512" s="8" t="s">
        <v>13574</v>
      </c>
      <c r="B2512" s="16">
        <v>35</v>
      </c>
      <c r="C2512" s="8" t="s">
        <v>115</v>
      </c>
      <c r="D2512" s="8" t="s">
        <v>37</v>
      </c>
      <c r="E2512" s="8" t="s">
        <v>13575</v>
      </c>
      <c r="F2512" s="17">
        <v>41574</v>
      </c>
      <c r="G2512" s="8" t="s">
        <v>13576</v>
      </c>
      <c r="H2512" s="8" t="s">
        <v>453</v>
      </c>
      <c r="I2512" s="8" t="s">
        <v>198</v>
      </c>
      <c r="J2512" s="16" t="s">
        <v>13577</v>
      </c>
      <c r="K2512" s="2" t="s">
        <v>794</v>
      </c>
      <c r="L2512" s="8" t="s">
        <v>13578</v>
      </c>
      <c r="M2512" s="8" t="s">
        <v>27</v>
      </c>
      <c r="N2512" s="8" t="s">
        <v>13579</v>
      </c>
      <c r="O2512" s="8" t="s">
        <v>554</v>
      </c>
      <c r="P2512" s="8" t="s">
        <v>405</v>
      </c>
      <c r="Q2512" s="12" t="s">
        <v>13580</v>
      </c>
      <c r="R2512" s="8" t="s">
        <v>972</v>
      </c>
      <c r="S2512" s="7" t="s">
        <v>18</v>
      </c>
      <c r="T2512" s="6"/>
      <c r="U2512" s="8"/>
    </row>
    <row r="2513" spans="1:34" ht="13.5" customHeight="1">
      <c r="A2513" s="8" t="s">
        <v>13573</v>
      </c>
      <c r="B2513" s="16">
        <v>27</v>
      </c>
      <c r="C2513" s="8" t="s">
        <v>20</v>
      </c>
      <c r="D2513" s="8" t="s">
        <v>37</v>
      </c>
      <c r="E2513" s="8" t="s">
        <v>13568</v>
      </c>
      <c r="F2513" s="17">
        <v>41574</v>
      </c>
      <c r="G2513" s="8" t="s">
        <v>13569</v>
      </c>
      <c r="H2513" s="8" t="s">
        <v>1608</v>
      </c>
      <c r="I2513" s="8" t="s">
        <v>52</v>
      </c>
      <c r="J2513" s="16" t="s">
        <v>13570</v>
      </c>
      <c r="K2513" s="2" t="s">
        <v>4755</v>
      </c>
      <c r="L2513" s="8" t="s">
        <v>2799</v>
      </c>
      <c r="M2513" s="8" t="s">
        <v>27</v>
      </c>
      <c r="N2513" s="8" t="s">
        <v>13571</v>
      </c>
      <c r="O2513" s="8" t="s">
        <v>1018</v>
      </c>
      <c r="P2513" s="8" t="s">
        <v>405</v>
      </c>
      <c r="Q2513" s="12" t="s">
        <v>13572</v>
      </c>
      <c r="R2513" s="8" t="s">
        <v>100</v>
      </c>
      <c r="S2513" s="7" t="s">
        <v>18</v>
      </c>
      <c r="T2513" s="6"/>
      <c r="U2513" s="8"/>
    </row>
    <row r="2514" spans="1:34" ht="13.5" customHeight="1">
      <c r="A2514" s="8" t="s">
        <v>13556</v>
      </c>
      <c r="B2514" s="16">
        <v>51</v>
      </c>
      <c r="C2514" s="8" t="s">
        <v>20</v>
      </c>
      <c r="D2514" s="8" t="s">
        <v>48</v>
      </c>
      <c r="E2514" s="8" t="s">
        <v>13557</v>
      </c>
      <c r="F2514" s="17">
        <v>41574</v>
      </c>
      <c r="G2514" s="8" t="s">
        <v>13558</v>
      </c>
      <c r="H2514" s="8" t="s">
        <v>6521</v>
      </c>
      <c r="I2514" s="8" t="s">
        <v>62</v>
      </c>
      <c r="J2514" s="16" t="s">
        <v>11539</v>
      </c>
      <c r="K2514" s="2" t="s">
        <v>163</v>
      </c>
      <c r="L2514" s="8" t="s">
        <v>6522</v>
      </c>
      <c r="M2514" s="8" t="s">
        <v>27</v>
      </c>
      <c r="N2514" s="8" t="s">
        <v>13559</v>
      </c>
      <c r="O2514" s="8" t="s">
        <v>1018</v>
      </c>
      <c r="P2514" s="8" t="s">
        <v>405</v>
      </c>
      <c r="Q2514" s="12" t="s">
        <v>13560</v>
      </c>
      <c r="R2514" s="8" t="s">
        <v>100</v>
      </c>
      <c r="S2514" s="7" t="s">
        <v>28</v>
      </c>
      <c r="T2514" s="6"/>
      <c r="U2514" s="8"/>
    </row>
    <row r="2515" spans="1:34" ht="13.5" customHeight="1">
      <c r="A2515" s="8" t="s">
        <v>13581</v>
      </c>
      <c r="B2515" s="16">
        <v>26</v>
      </c>
      <c r="C2515" s="8" t="s">
        <v>20</v>
      </c>
      <c r="D2515" s="8" t="s">
        <v>37</v>
      </c>
      <c r="E2515" s="8" t="s">
        <v>13582</v>
      </c>
      <c r="F2515" s="17">
        <v>41574</v>
      </c>
      <c r="G2515" s="8" t="s">
        <v>13583</v>
      </c>
      <c r="H2515" s="8" t="s">
        <v>13584</v>
      </c>
      <c r="I2515" s="8" t="s">
        <v>323</v>
      </c>
      <c r="J2515" s="16" t="s">
        <v>13585</v>
      </c>
      <c r="K2515" s="2" t="s">
        <v>13413</v>
      </c>
      <c r="L2515" s="8" t="s">
        <v>13586</v>
      </c>
      <c r="M2515" s="8" t="s">
        <v>27</v>
      </c>
      <c r="N2515" s="8" t="s">
        <v>13587</v>
      </c>
      <c r="O2515" s="8" t="s">
        <v>554</v>
      </c>
      <c r="P2515" s="8" t="s">
        <v>405</v>
      </c>
      <c r="Q2515" s="12" t="s">
        <v>13588</v>
      </c>
      <c r="R2515" s="8" t="s">
        <v>100</v>
      </c>
      <c r="S2515" s="7" t="s">
        <v>28</v>
      </c>
      <c r="T2515" s="6"/>
      <c r="U2515" s="8"/>
    </row>
    <row r="2516" spans="1:34" ht="13.5" customHeight="1">
      <c r="A2516" s="8" t="s">
        <v>13545</v>
      </c>
      <c r="B2516" s="16">
        <v>28</v>
      </c>
      <c r="C2516" s="8" t="s">
        <v>20</v>
      </c>
      <c r="D2516" s="8" t="s">
        <v>85</v>
      </c>
      <c r="E2516" s="8" t="s">
        <v>13546</v>
      </c>
      <c r="F2516" s="17">
        <v>41574</v>
      </c>
      <c r="G2516" s="8" t="s">
        <v>13547</v>
      </c>
      <c r="H2516" s="8" t="s">
        <v>657</v>
      </c>
      <c r="I2516" s="8" t="s">
        <v>62</v>
      </c>
      <c r="J2516" s="16" t="s">
        <v>13548</v>
      </c>
      <c r="K2516" s="2" t="s">
        <v>658</v>
      </c>
      <c r="L2516" s="8" t="s">
        <v>659</v>
      </c>
      <c r="M2516" s="8" t="s">
        <v>27</v>
      </c>
      <c r="N2516" s="8" t="s">
        <v>13549</v>
      </c>
      <c r="O2516" s="8" t="s">
        <v>1018</v>
      </c>
      <c r="P2516" s="8" t="s">
        <v>405</v>
      </c>
      <c r="Q2516" s="12" t="s">
        <v>13550</v>
      </c>
      <c r="R2516" s="8" t="s">
        <v>100</v>
      </c>
      <c r="S2516" s="7" t="s">
        <v>28</v>
      </c>
      <c r="T2516" s="6"/>
      <c r="U2516" s="8"/>
    </row>
    <row r="2517" spans="1:34" ht="13.5" customHeight="1">
      <c r="A2517" s="8" t="s">
        <v>13561</v>
      </c>
      <c r="B2517" s="16">
        <v>34</v>
      </c>
      <c r="C2517" s="8" t="s">
        <v>115</v>
      </c>
      <c r="D2517" s="8" t="s">
        <v>48</v>
      </c>
      <c r="F2517" s="17">
        <v>41574</v>
      </c>
      <c r="G2517" s="8" t="s">
        <v>13562</v>
      </c>
      <c r="H2517" s="8" t="s">
        <v>690</v>
      </c>
      <c r="I2517" s="8" t="s">
        <v>367</v>
      </c>
      <c r="J2517" s="16" t="s">
        <v>13563</v>
      </c>
      <c r="K2517" s="2" t="s">
        <v>691</v>
      </c>
      <c r="L2517" s="8" t="s">
        <v>13564</v>
      </c>
      <c r="M2517" s="8" t="s">
        <v>383</v>
      </c>
      <c r="N2517" s="8" t="s">
        <v>13565</v>
      </c>
      <c r="O2517" s="8" t="s">
        <v>1018</v>
      </c>
      <c r="P2517" s="8" t="s">
        <v>405</v>
      </c>
      <c r="Q2517" s="12" t="s">
        <v>13566</v>
      </c>
      <c r="R2517" s="8" t="s">
        <v>100</v>
      </c>
      <c r="S2517" s="7" t="s">
        <v>18</v>
      </c>
      <c r="T2517" s="6"/>
      <c r="U2517" s="8"/>
      <c r="V2517" s="8"/>
      <c r="W2517" s="8"/>
      <c r="X2517" s="8"/>
    </row>
    <row r="2518" spans="1:34" ht="13.5" customHeight="1">
      <c r="A2518" s="8" t="s">
        <v>13567</v>
      </c>
      <c r="B2518" s="16">
        <v>26</v>
      </c>
      <c r="C2518" s="8" t="s">
        <v>115</v>
      </c>
      <c r="D2518" s="8" t="s">
        <v>37</v>
      </c>
      <c r="E2518" s="8" t="s">
        <v>13568</v>
      </c>
      <c r="F2518" s="17">
        <v>41574</v>
      </c>
      <c r="G2518" s="8" t="s">
        <v>13569</v>
      </c>
      <c r="H2518" s="8" t="s">
        <v>1608</v>
      </c>
      <c r="I2518" s="8" t="s">
        <v>52</v>
      </c>
      <c r="J2518" s="16" t="s">
        <v>13570</v>
      </c>
      <c r="K2518" s="2" t="s">
        <v>4755</v>
      </c>
      <c r="L2518" s="8" t="s">
        <v>2799</v>
      </c>
      <c r="M2518" s="8" t="s">
        <v>27</v>
      </c>
      <c r="N2518" s="8" t="s">
        <v>13571</v>
      </c>
      <c r="O2518" s="8" t="s">
        <v>1018</v>
      </c>
      <c r="P2518" s="8" t="s">
        <v>405</v>
      </c>
      <c r="Q2518" s="12" t="s">
        <v>13572</v>
      </c>
      <c r="R2518" s="8" t="s">
        <v>100</v>
      </c>
      <c r="S2518" s="7" t="s">
        <v>18</v>
      </c>
      <c r="T2518" s="6"/>
      <c r="U2518" s="8"/>
    </row>
    <row r="2519" spans="1:34" ht="13.5" customHeight="1">
      <c r="A2519" s="8" t="s">
        <v>13551</v>
      </c>
      <c r="B2519" s="16">
        <v>57</v>
      </c>
      <c r="C2519" s="8" t="s">
        <v>20</v>
      </c>
      <c r="D2519" s="8" t="s">
        <v>85</v>
      </c>
      <c r="F2519" s="17">
        <v>41574</v>
      </c>
      <c r="G2519" s="8" t="s">
        <v>13552</v>
      </c>
      <c r="H2519" s="8" t="s">
        <v>13553</v>
      </c>
      <c r="I2519" s="8" t="s">
        <v>45</v>
      </c>
      <c r="J2519" s="16" t="s">
        <v>7876</v>
      </c>
      <c r="K2519" s="2" t="s">
        <v>98</v>
      </c>
      <c r="L2519" s="8" t="s">
        <v>5043</v>
      </c>
      <c r="M2519" s="8" t="s">
        <v>27</v>
      </c>
      <c r="N2519" s="8" t="s">
        <v>13554</v>
      </c>
      <c r="O2519" s="8" t="s">
        <v>1018</v>
      </c>
      <c r="P2519" s="8" t="s">
        <v>405</v>
      </c>
      <c r="Q2519" s="12" t="s">
        <v>13555</v>
      </c>
      <c r="R2519" s="8" t="s">
        <v>559</v>
      </c>
      <c r="S2519" s="7" t="s">
        <v>18</v>
      </c>
      <c r="T2519" s="6"/>
      <c r="U2519" s="8"/>
    </row>
    <row r="2520" spans="1:34" ht="13.5" customHeight="1">
      <c r="A2520" s="8" t="s">
        <v>13607</v>
      </c>
      <c r="B2520" s="16" t="s">
        <v>13608</v>
      </c>
      <c r="C2520" s="8" t="s">
        <v>20</v>
      </c>
      <c r="D2520" s="8" t="s">
        <v>37</v>
      </c>
      <c r="E2520" s="8" t="s">
        <v>13609</v>
      </c>
      <c r="F2520" s="17">
        <v>41573</v>
      </c>
      <c r="G2520" s="8" t="s">
        <v>13610</v>
      </c>
      <c r="H2520" s="8" t="s">
        <v>930</v>
      </c>
      <c r="I2520" s="8" t="s">
        <v>198</v>
      </c>
      <c r="J2520" s="16" t="s">
        <v>13611</v>
      </c>
      <c r="K2520" s="2" t="s">
        <v>471</v>
      </c>
      <c r="L2520" s="8" t="s">
        <v>5024</v>
      </c>
      <c r="M2520" s="8" t="s">
        <v>27</v>
      </c>
      <c r="N2520" s="8" t="s">
        <v>13612</v>
      </c>
      <c r="O2520" s="8" t="s">
        <v>29</v>
      </c>
      <c r="P2520" s="8" t="s">
        <v>405</v>
      </c>
      <c r="Q2520" s="12" t="s">
        <v>10223</v>
      </c>
      <c r="R2520" s="8" t="s">
        <v>100</v>
      </c>
      <c r="S2520" s="7" t="s">
        <v>28</v>
      </c>
      <c r="T2520" s="6"/>
      <c r="U2520" s="8"/>
      <c r="Y2520" s="8"/>
      <c r="Z2520" s="8"/>
      <c r="AA2520" s="8"/>
      <c r="AB2520" s="8"/>
      <c r="AC2520" s="8"/>
      <c r="AD2520" s="8"/>
      <c r="AE2520" s="8"/>
      <c r="AF2520" s="8"/>
      <c r="AG2520" s="8"/>
      <c r="AH2520" s="8"/>
    </row>
    <row r="2521" spans="1:34" ht="13.5" customHeight="1">
      <c r="A2521" s="8" t="s">
        <v>13613</v>
      </c>
      <c r="B2521" s="16">
        <v>69</v>
      </c>
      <c r="C2521" s="8" t="s">
        <v>20</v>
      </c>
      <c r="D2521" s="8" t="s">
        <v>37</v>
      </c>
      <c r="E2521" s="8" t="s">
        <v>13614</v>
      </c>
      <c r="F2521" s="17">
        <v>41573</v>
      </c>
      <c r="G2521" s="8" t="s">
        <v>13615</v>
      </c>
      <c r="H2521" s="8" t="s">
        <v>9936</v>
      </c>
      <c r="I2521" s="8" t="s">
        <v>62</v>
      </c>
      <c r="J2521" s="16" t="s">
        <v>13616</v>
      </c>
      <c r="K2521" s="2" t="s">
        <v>2331</v>
      </c>
      <c r="L2521" s="8" t="s">
        <v>13617</v>
      </c>
      <c r="M2521" s="8" t="s">
        <v>27</v>
      </c>
      <c r="N2521" s="8" t="s">
        <v>13618</v>
      </c>
      <c r="O2521" s="8" t="s">
        <v>554</v>
      </c>
      <c r="P2521" s="8" t="s">
        <v>405</v>
      </c>
      <c r="Q2521" s="12" t="s">
        <v>13619</v>
      </c>
      <c r="R2521" s="8" t="s">
        <v>559</v>
      </c>
      <c r="S2521" s="7" t="s">
        <v>28</v>
      </c>
      <c r="T2521" s="6"/>
      <c r="U2521" s="8"/>
    </row>
    <row r="2522" spans="1:34" ht="13.5" customHeight="1">
      <c r="A2522" s="8" t="s">
        <v>13589</v>
      </c>
      <c r="B2522" s="16">
        <v>24</v>
      </c>
      <c r="C2522" s="8" t="s">
        <v>20</v>
      </c>
      <c r="D2522" s="8" t="s">
        <v>85</v>
      </c>
      <c r="E2522" s="8" t="s">
        <v>13590</v>
      </c>
      <c r="F2522" s="17">
        <v>41573</v>
      </c>
      <c r="G2522" s="8" t="s">
        <v>13591</v>
      </c>
      <c r="H2522" s="8" t="s">
        <v>61</v>
      </c>
      <c r="I2522" s="8" t="s">
        <v>62</v>
      </c>
      <c r="J2522" s="16" t="s">
        <v>13592</v>
      </c>
      <c r="K2522" s="2" t="s">
        <v>5387</v>
      </c>
      <c r="L2522" s="8" t="s">
        <v>7757</v>
      </c>
      <c r="M2522" s="8" t="s">
        <v>27</v>
      </c>
      <c r="N2522" s="8" t="s">
        <v>13593</v>
      </c>
      <c r="O2522" s="8" t="s">
        <v>1018</v>
      </c>
      <c r="P2522" s="8" t="s">
        <v>405</v>
      </c>
      <c r="Q2522" s="12" t="s">
        <v>13594</v>
      </c>
      <c r="R2522" s="8" t="s">
        <v>100</v>
      </c>
      <c r="S2522" s="7" t="s">
        <v>28</v>
      </c>
      <c r="T2522" s="6"/>
      <c r="U2522" s="8"/>
    </row>
    <row r="2523" spans="1:34" ht="13.5" customHeight="1">
      <c r="A2523" s="8" t="s">
        <v>13602</v>
      </c>
      <c r="B2523" s="16">
        <v>32</v>
      </c>
      <c r="C2523" s="8" t="s">
        <v>20</v>
      </c>
      <c r="D2523" s="8" t="s">
        <v>30</v>
      </c>
      <c r="F2523" s="17">
        <v>41573</v>
      </c>
      <c r="G2523" s="8" t="s">
        <v>13603</v>
      </c>
      <c r="H2523" s="8" t="s">
        <v>9882</v>
      </c>
      <c r="I2523" s="8" t="s">
        <v>247</v>
      </c>
      <c r="J2523" s="16" t="s">
        <v>9883</v>
      </c>
      <c r="K2523" s="2" t="s">
        <v>9884</v>
      </c>
      <c r="L2523" s="8" t="s">
        <v>13604</v>
      </c>
      <c r="M2523" s="8" t="s">
        <v>27</v>
      </c>
      <c r="N2523" s="8" t="s">
        <v>13605</v>
      </c>
      <c r="O2523" s="8" t="s">
        <v>554</v>
      </c>
      <c r="P2523" s="8" t="s">
        <v>405</v>
      </c>
      <c r="Q2523" s="12" t="s">
        <v>13606</v>
      </c>
      <c r="R2523" s="8" t="s">
        <v>100</v>
      </c>
      <c r="S2523" s="7" t="s">
        <v>28</v>
      </c>
      <c r="T2523" s="6"/>
      <c r="U2523" s="8"/>
    </row>
    <row r="2524" spans="1:34" ht="13.5" customHeight="1">
      <c r="A2524" s="8" t="s">
        <v>13620</v>
      </c>
      <c r="B2524" s="16" t="s">
        <v>13621</v>
      </c>
      <c r="C2524" s="8" t="s">
        <v>20</v>
      </c>
      <c r="D2524" s="8" t="s">
        <v>37</v>
      </c>
      <c r="E2524" s="8" t="s">
        <v>13622</v>
      </c>
      <c r="F2524" s="17">
        <v>41573</v>
      </c>
      <c r="G2524" s="8" t="s">
        <v>13623</v>
      </c>
      <c r="H2524" s="8" t="s">
        <v>13624</v>
      </c>
      <c r="I2524" s="8" t="s">
        <v>124</v>
      </c>
      <c r="J2524" s="16" t="s">
        <v>13625</v>
      </c>
      <c r="K2524" s="2" t="s">
        <v>13624</v>
      </c>
      <c r="L2524" s="8" t="s">
        <v>13626</v>
      </c>
      <c r="M2524" s="8" t="s">
        <v>27</v>
      </c>
      <c r="N2524" s="8" t="s">
        <v>13627</v>
      </c>
      <c r="O2524" s="8" t="s">
        <v>29</v>
      </c>
      <c r="P2524" s="8" t="s">
        <v>405</v>
      </c>
      <c r="Q2524" s="12" t="s">
        <v>13628</v>
      </c>
      <c r="R2524" s="8" t="s">
        <v>100</v>
      </c>
      <c r="S2524" s="7" t="s">
        <v>28</v>
      </c>
      <c r="T2524" s="6"/>
      <c r="U2524" s="8"/>
      <c r="V2524" s="8"/>
      <c r="W2524" s="8"/>
      <c r="X2524" s="8"/>
    </row>
    <row r="2525" spans="1:34" ht="13.5" customHeight="1">
      <c r="A2525" s="8" t="s">
        <v>13595</v>
      </c>
      <c r="B2525" s="16">
        <v>32</v>
      </c>
      <c r="C2525" s="8" t="s">
        <v>20</v>
      </c>
      <c r="D2525" s="8" t="s">
        <v>48</v>
      </c>
      <c r="F2525" s="17">
        <v>41573</v>
      </c>
      <c r="G2525" s="8" t="s">
        <v>13596</v>
      </c>
      <c r="H2525" s="8" t="s">
        <v>13597</v>
      </c>
      <c r="I2525" s="8" t="s">
        <v>45</v>
      </c>
      <c r="J2525" s="16" t="s">
        <v>13598</v>
      </c>
      <c r="K2525" s="2" t="s">
        <v>791</v>
      </c>
      <c r="L2525" s="8" t="s">
        <v>13599</v>
      </c>
      <c r="M2525" s="8" t="s">
        <v>27</v>
      </c>
      <c r="N2525" s="8" t="s">
        <v>13600</v>
      </c>
      <c r="O2525" s="8" t="s">
        <v>1018</v>
      </c>
      <c r="P2525" s="8" t="s">
        <v>405</v>
      </c>
      <c r="Q2525" s="12" t="s">
        <v>13601</v>
      </c>
      <c r="R2525" s="8" t="s">
        <v>100</v>
      </c>
      <c r="S2525" s="7" t="s">
        <v>28</v>
      </c>
      <c r="T2525" s="6"/>
      <c r="U2525" s="8"/>
    </row>
    <row r="2526" spans="1:34" ht="13.5" customHeight="1">
      <c r="A2526" s="8" t="s">
        <v>13629</v>
      </c>
      <c r="B2526" s="16">
        <v>34</v>
      </c>
      <c r="C2526" s="8" t="s">
        <v>20</v>
      </c>
      <c r="D2526" s="8" t="s">
        <v>85</v>
      </c>
      <c r="F2526" s="17">
        <v>41572</v>
      </c>
      <c r="G2526" s="8" t="s">
        <v>13630</v>
      </c>
      <c r="H2526" s="8" t="s">
        <v>717</v>
      </c>
      <c r="I2526" s="8" t="s">
        <v>435</v>
      </c>
      <c r="J2526" s="16" t="s">
        <v>13631</v>
      </c>
      <c r="K2526" s="2" t="s">
        <v>717</v>
      </c>
      <c r="L2526" s="8" t="s">
        <v>4572</v>
      </c>
      <c r="M2526" s="8" t="s">
        <v>27</v>
      </c>
      <c r="N2526" s="8" t="s">
        <v>13632</v>
      </c>
      <c r="O2526" s="8" t="s">
        <v>1018</v>
      </c>
      <c r="P2526" s="8" t="s">
        <v>405</v>
      </c>
      <c r="Q2526" s="12" t="s">
        <v>13633</v>
      </c>
      <c r="R2526" s="8" t="s">
        <v>29</v>
      </c>
      <c r="S2526" s="7" t="s">
        <v>28</v>
      </c>
      <c r="T2526" s="6"/>
      <c r="U2526" s="8"/>
    </row>
    <row r="2527" spans="1:34" ht="13.5" customHeight="1">
      <c r="A2527" s="8" t="s">
        <v>13664</v>
      </c>
      <c r="B2527" s="16">
        <v>43</v>
      </c>
      <c r="C2527" s="8" t="s">
        <v>115</v>
      </c>
      <c r="D2527" s="8" t="s">
        <v>30</v>
      </c>
      <c r="F2527" s="17">
        <v>41572</v>
      </c>
      <c r="G2527" s="8" t="s">
        <v>13665</v>
      </c>
      <c r="H2527" s="8" t="s">
        <v>3589</v>
      </c>
      <c r="I2527" s="8" t="s">
        <v>69</v>
      </c>
      <c r="J2527" s="16" t="s">
        <v>13666</v>
      </c>
      <c r="K2527" s="2" t="s">
        <v>1301</v>
      </c>
      <c r="L2527" s="8" t="s">
        <v>12726</v>
      </c>
      <c r="M2527" s="8" t="s">
        <v>27</v>
      </c>
      <c r="N2527" s="8" t="s">
        <v>13667</v>
      </c>
      <c r="O2527" s="8" t="s">
        <v>554</v>
      </c>
      <c r="P2527" s="8" t="s">
        <v>405</v>
      </c>
      <c r="Q2527" s="12" t="s">
        <v>13668</v>
      </c>
      <c r="R2527" s="8" t="s">
        <v>559</v>
      </c>
      <c r="S2527" s="7" t="s">
        <v>28</v>
      </c>
      <c r="T2527" s="6"/>
      <c r="U2527" s="8"/>
    </row>
    <row r="2528" spans="1:34" ht="13.5" customHeight="1">
      <c r="A2528" s="8" t="s">
        <v>13669</v>
      </c>
      <c r="B2528" s="16">
        <v>73</v>
      </c>
      <c r="C2528" s="8" t="s">
        <v>20</v>
      </c>
      <c r="D2528" s="8" t="s">
        <v>37</v>
      </c>
      <c r="E2528" s="8" t="s">
        <v>13670</v>
      </c>
      <c r="F2528" s="17">
        <v>41572</v>
      </c>
      <c r="G2528" s="8" t="s">
        <v>13671</v>
      </c>
      <c r="H2528" s="8" t="s">
        <v>13672</v>
      </c>
      <c r="I2528" s="8" t="s">
        <v>62</v>
      </c>
      <c r="J2528" s="16">
        <v>33036</v>
      </c>
      <c r="K2528" s="2" t="s">
        <v>1115</v>
      </c>
      <c r="L2528" s="8" t="s">
        <v>13673</v>
      </c>
      <c r="M2528" s="8" t="s">
        <v>27</v>
      </c>
      <c r="N2528" s="8" t="s">
        <v>13674</v>
      </c>
      <c r="O2528" s="8" t="s">
        <v>554</v>
      </c>
      <c r="P2528" s="8" t="s">
        <v>405</v>
      </c>
      <c r="Q2528" s="12" t="s">
        <v>13675</v>
      </c>
      <c r="R2528" s="8" t="s">
        <v>100</v>
      </c>
      <c r="S2528" s="7" t="s">
        <v>28</v>
      </c>
      <c r="T2528" s="6"/>
      <c r="U2528" s="8"/>
    </row>
    <row r="2529" spans="1:24" ht="13.5" customHeight="1">
      <c r="A2529" s="8" t="s">
        <v>13634</v>
      </c>
      <c r="B2529" s="16">
        <v>18</v>
      </c>
      <c r="C2529" s="8" t="s">
        <v>20</v>
      </c>
      <c r="D2529" s="8" t="s">
        <v>85</v>
      </c>
      <c r="F2529" s="17">
        <v>41572</v>
      </c>
      <c r="G2529" s="8" t="s">
        <v>13635</v>
      </c>
      <c r="H2529" s="8" t="s">
        <v>227</v>
      </c>
      <c r="I2529" s="8" t="s">
        <v>370</v>
      </c>
      <c r="J2529" s="16" t="s">
        <v>13636</v>
      </c>
      <c r="K2529" s="2" t="s">
        <v>8681</v>
      </c>
      <c r="L2529" s="8" t="s">
        <v>229</v>
      </c>
      <c r="M2529" s="8" t="s">
        <v>27</v>
      </c>
      <c r="N2529" s="8" t="s">
        <v>13637</v>
      </c>
      <c r="O2529" s="8" t="s">
        <v>554</v>
      </c>
      <c r="P2529" s="8" t="s">
        <v>405</v>
      </c>
      <c r="Q2529" s="12" t="s">
        <v>13638</v>
      </c>
      <c r="R2529" s="8" t="s">
        <v>100</v>
      </c>
      <c r="S2529" s="7" t="s">
        <v>28</v>
      </c>
      <c r="T2529" s="6"/>
      <c r="U2529" s="8"/>
      <c r="V2529" s="8"/>
      <c r="W2529" s="8"/>
      <c r="X2529" s="8"/>
    </row>
    <row r="2530" spans="1:24" ht="13.5" customHeight="1">
      <c r="A2530" s="8" t="s">
        <v>13650</v>
      </c>
      <c r="B2530" s="16">
        <v>39</v>
      </c>
      <c r="C2530" s="8" t="s">
        <v>20</v>
      </c>
      <c r="D2530" s="8" t="s">
        <v>48</v>
      </c>
      <c r="E2530" s="8" t="s">
        <v>13651</v>
      </c>
      <c r="F2530" s="17">
        <v>41572</v>
      </c>
      <c r="G2530" s="8" t="s">
        <v>13652</v>
      </c>
      <c r="H2530" s="8" t="s">
        <v>13653</v>
      </c>
      <c r="I2530" s="8" t="s">
        <v>45</v>
      </c>
      <c r="J2530" s="16" t="s">
        <v>13654</v>
      </c>
      <c r="K2530" s="2" t="s">
        <v>687</v>
      </c>
      <c r="L2530" s="8" t="s">
        <v>755</v>
      </c>
      <c r="M2530" s="8" t="s">
        <v>27</v>
      </c>
      <c r="N2530" s="8" t="s">
        <v>13655</v>
      </c>
      <c r="O2530" s="8" t="s">
        <v>29</v>
      </c>
      <c r="P2530" s="8" t="s">
        <v>405</v>
      </c>
      <c r="Q2530" s="12" t="s">
        <v>13656</v>
      </c>
      <c r="R2530" s="8" t="s">
        <v>100</v>
      </c>
      <c r="S2530" s="7" t="s">
        <v>28</v>
      </c>
      <c r="T2530" s="6"/>
      <c r="U2530" s="8"/>
    </row>
    <row r="2531" spans="1:24" ht="13.5" customHeight="1">
      <c r="A2531" s="8" t="s">
        <v>13639</v>
      </c>
      <c r="B2531" s="16">
        <v>20</v>
      </c>
      <c r="C2531" s="8" t="s">
        <v>20</v>
      </c>
      <c r="D2531" s="8" t="s">
        <v>85</v>
      </c>
      <c r="F2531" s="17">
        <v>41572</v>
      </c>
      <c r="G2531" s="8" t="s">
        <v>13640</v>
      </c>
      <c r="H2531" s="8" t="s">
        <v>227</v>
      </c>
      <c r="I2531" s="8" t="s">
        <v>370</v>
      </c>
      <c r="J2531" s="16" t="s">
        <v>13636</v>
      </c>
      <c r="K2531" s="2" t="s">
        <v>8681</v>
      </c>
      <c r="L2531" s="8" t="s">
        <v>229</v>
      </c>
      <c r="M2531" s="8" t="s">
        <v>27</v>
      </c>
      <c r="N2531" s="8" t="s">
        <v>13641</v>
      </c>
      <c r="O2531" s="8" t="s">
        <v>554</v>
      </c>
      <c r="P2531" s="8" t="s">
        <v>405</v>
      </c>
      <c r="Q2531" s="12" t="s">
        <v>13642</v>
      </c>
      <c r="R2531" s="8" t="s">
        <v>100</v>
      </c>
      <c r="S2531" s="7" t="s">
        <v>28</v>
      </c>
      <c r="T2531" s="6"/>
      <c r="U2531" s="8"/>
      <c r="V2531" s="8"/>
      <c r="W2531" s="8"/>
      <c r="X2531" s="8"/>
    </row>
    <row r="2532" spans="1:24" ht="13.5" customHeight="1">
      <c r="A2532" s="8" t="s">
        <v>13643</v>
      </c>
      <c r="B2532" s="16">
        <v>30</v>
      </c>
      <c r="C2532" s="8" t="s">
        <v>20</v>
      </c>
      <c r="D2532" s="8" t="s">
        <v>48</v>
      </c>
      <c r="F2532" s="17">
        <v>41572</v>
      </c>
      <c r="G2532" s="8" t="s">
        <v>13644</v>
      </c>
      <c r="H2532" s="8" t="s">
        <v>13645</v>
      </c>
      <c r="I2532" s="8" t="s">
        <v>118</v>
      </c>
      <c r="J2532" s="16" t="s">
        <v>13646</v>
      </c>
      <c r="K2532" s="2" t="s">
        <v>119</v>
      </c>
      <c r="L2532" s="8" t="s">
        <v>13647</v>
      </c>
      <c r="M2532" s="8" t="s">
        <v>27</v>
      </c>
      <c r="N2532" s="8" t="s">
        <v>13648</v>
      </c>
      <c r="O2532" s="8" t="s">
        <v>1018</v>
      </c>
      <c r="P2532" s="8" t="s">
        <v>405</v>
      </c>
      <c r="Q2532" s="12" t="s">
        <v>13649</v>
      </c>
      <c r="R2532" s="8" t="s">
        <v>100</v>
      </c>
      <c r="S2532" s="7" t="s">
        <v>28</v>
      </c>
      <c r="T2532" s="6"/>
      <c r="U2532" s="8"/>
    </row>
    <row r="2533" spans="1:24" ht="13.5" customHeight="1">
      <c r="A2533" s="8" t="s">
        <v>13657</v>
      </c>
      <c r="B2533" s="16">
        <v>68</v>
      </c>
      <c r="C2533" s="8" t="s">
        <v>20</v>
      </c>
      <c r="D2533" s="8" t="s">
        <v>30</v>
      </c>
      <c r="F2533" s="17">
        <v>41572</v>
      </c>
      <c r="G2533" s="8" t="s">
        <v>13658</v>
      </c>
      <c r="H2533" s="8" t="s">
        <v>13659</v>
      </c>
      <c r="I2533" s="8" t="s">
        <v>62</v>
      </c>
      <c r="J2533" s="16" t="s">
        <v>13660</v>
      </c>
      <c r="K2533" s="2" t="s">
        <v>2331</v>
      </c>
      <c r="L2533" s="8" t="s">
        <v>13661</v>
      </c>
      <c r="M2533" s="8" t="s">
        <v>27</v>
      </c>
      <c r="N2533" s="8" t="s">
        <v>13662</v>
      </c>
      <c r="O2533" s="8" t="s">
        <v>1018</v>
      </c>
      <c r="P2533" s="8" t="s">
        <v>405</v>
      </c>
      <c r="Q2533" s="12" t="s">
        <v>13663</v>
      </c>
      <c r="R2533" s="8" t="s">
        <v>29</v>
      </c>
      <c r="S2533" s="7" t="s">
        <v>28</v>
      </c>
      <c r="T2533" s="6"/>
      <c r="U2533" s="8"/>
    </row>
    <row r="2534" spans="1:24" ht="13.5" customHeight="1">
      <c r="A2534" s="8" t="s">
        <v>13676</v>
      </c>
      <c r="B2534" s="16">
        <v>60</v>
      </c>
      <c r="C2534" s="8" t="s">
        <v>115</v>
      </c>
      <c r="D2534" s="8" t="s">
        <v>85</v>
      </c>
      <c r="E2534" s="8" t="s">
        <v>13677</v>
      </c>
      <c r="F2534" s="17">
        <v>41571</v>
      </c>
      <c r="G2534" s="8" t="s">
        <v>13678</v>
      </c>
      <c r="H2534" s="8" t="s">
        <v>87</v>
      </c>
      <c r="I2534" s="8" t="s">
        <v>44</v>
      </c>
      <c r="J2534" s="16">
        <v>60628</v>
      </c>
      <c r="K2534" s="2" t="s">
        <v>88</v>
      </c>
      <c r="L2534" s="8" t="s">
        <v>89</v>
      </c>
      <c r="M2534" s="8" t="s">
        <v>27</v>
      </c>
      <c r="N2534" s="8" t="s">
        <v>13679</v>
      </c>
      <c r="O2534" s="8" t="s">
        <v>29</v>
      </c>
      <c r="P2534" s="8" t="s">
        <v>405</v>
      </c>
      <c r="Q2534" s="12" t="s">
        <v>13680</v>
      </c>
      <c r="R2534" s="8" t="s">
        <v>29</v>
      </c>
      <c r="S2534" s="7" t="s">
        <v>28</v>
      </c>
      <c r="T2534" s="6"/>
      <c r="U2534" s="8"/>
    </row>
    <row r="2535" spans="1:24" ht="13.5" customHeight="1">
      <c r="A2535" s="8" t="s">
        <v>13681</v>
      </c>
      <c r="B2535" s="16">
        <v>22</v>
      </c>
      <c r="C2535" s="8" t="s">
        <v>20</v>
      </c>
      <c r="D2535" s="8" t="s">
        <v>85</v>
      </c>
      <c r="E2535" s="8" t="s">
        <v>13682</v>
      </c>
      <c r="F2535" s="17">
        <v>41571</v>
      </c>
      <c r="G2535" s="8" t="s">
        <v>13683</v>
      </c>
      <c r="H2535" s="8" t="s">
        <v>731</v>
      </c>
      <c r="I2535" s="8" t="s">
        <v>73</v>
      </c>
      <c r="J2535" s="16">
        <v>77051</v>
      </c>
      <c r="K2535" s="2" t="s">
        <v>562</v>
      </c>
      <c r="L2535" s="8" t="s">
        <v>732</v>
      </c>
      <c r="M2535" s="8" t="s">
        <v>27</v>
      </c>
      <c r="N2535" s="8" t="s">
        <v>13684</v>
      </c>
      <c r="O2535" s="8" t="s">
        <v>29</v>
      </c>
      <c r="P2535" s="8" t="s">
        <v>405</v>
      </c>
      <c r="Q2535" s="12" t="s">
        <v>13685</v>
      </c>
      <c r="R2535" s="8" t="s">
        <v>100</v>
      </c>
      <c r="S2535" s="7" t="s">
        <v>28</v>
      </c>
      <c r="T2535" s="6"/>
      <c r="U2535" s="8"/>
    </row>
    <row r="2536" spans="1:24" ht="13.5" customHeight="1">
      <c r="A2536" s="8" t="s">
        <v>13686</v>
      </c>
      <c r="B2536" s="16">
        <v>47</v>
      </c>
      <c r="C2536" s="8" t="s">
        <v>20</v>
      </c>
      <c r="D2536" s="8" t="s">
        <v>37</v>
      </c>
      <c r="E2536" s="8" t="s">
        <v>13687</v>
      </c>
      <c r="F2536" s="17">
        <v>41571</v>
      </c>
      <c r="G2536" s="8" t="s">
        <v>13688</v>
      </c>
      <c r="H2536" s="8" t="s">
        <v>1933</v>
      </c>
      <c r="I2536" s="8" t="s">
        <v>175</v>
      </c>
      <c r="J2536" s="16" t="s">
        <v>13689</v>
      </c>
      <c r="K2536" s="2" t="s">
        <v>1807</v>
      </c>
      <c r="L2536" s="8" t="s">
        <v>13690</v>
      </c>
      <c r="M2536" s="8" t="s">
        <v>27</v>
      </c>
      <c r="N2536" s="8" t="s">
        <v>13691</v>
      </c>
      <c r="O2536" s="8" t="s">
        <v>4742</v>
      </c>
      <c r="P2536" s="8" t="s">
        <v>405</v>
      </c>
      <c r="Q2536" s="12" t="s">
        <v>13692</v>
      </c>
      <c r="R2536" s="8" t="s">
        <v>100</v>
      </c>
      <c r="S2536" s="7" t="s">
        <v>18</v>
      </c>
      <c r="T2536" s="6"/>
      <c r="U2536" s="8"/>
    </row>
    <row r="2537" spans="1:24" ht="13.5" customHeight="1">
      <c r="A2537" s="8" t="s">
        <v>13693</v>
      </c>
      <c r="B2537" s="16">
        <v>32</v>
      </c>
      <c r="C2537" s="8" t="s">
        <v>20</v>
      </c>
      <c r="D2537" s="8" t="s">
        <v>37</v>
      </c>
      <c r="E2537" s="8" t="s">
        <v>13694</v>
      </c>
      <c r="F2537" s="17">
        <v>41571</v>
      </c>
      <c r="G2537" s="8" t="s">
        <v>13695</v>
      </c>
      <c r="H2537" s="8" t="s">
        <v>13696</v>
      </c>
      <c r="I2537" s="8" t="s">
        <v>45</v>
      </c>
      <c r="J2537" s="16" t="s">
        <v>13697</v>
      </c>
      <c r="K2537" s="2" t="s">
        <v>964</v>
      </c>
      <c r="L2537" s="8" t="s">
        <v>13698</v>
      </c>
      <c r="M2537" s="8" t="s">
        <v>27</v>
      </c>
      <c r="N2537" s="8" t="s">
        <v>13699</v>
      </c>
      <c r="O2537" s="8" t="s">
        <v>29</v>
      </c>
      <c r="P2537" s="8" t="s">
        <v>405</v>
      </c>
      <c r="Q2537" s="12" t="s">
        <v>13700</v>
      </c>
      <c r="R2537" s="8" t="s">
        <v>29</v>
      </c>
      <c r="S2537" s="7" t="s">
        <v>35</v>
      </c>
      <c r="T2537" s="6"/>
      <c r="U2537" s="8"/>
    </row>
    <row r="2538" spans="1:24" ht="13.5" customHeight="1">
      <c r="A2538" s="8" t="s">
        <v>13701</v>
      </c>
      <c r="B2538" s="16" t="s">
        <v>13702</v>
      </c>
      <c r="C2538" s="8" t="s">
        <v>20</v>
      </c>
      <c r="D2538" s="8" t="s">
        <v>30</v>
      </c>
      <c r="F2538" s="17">
        <v>41570</v>
      </c>
      <c r="G2538" s="8" t="s">
        <v>13703</v>
      </c>
      <c r="H2538" s="8" t="s">
        <v>13704</v>
      </c>
      <c r="I2538" s="8" t="s">
        <v>272</v>
      </c>
      <c r="J2538" s="16" t="s">
        <v>13705</v>
      </c>
      <c r="K2538" s="2" t="s">
        <v>5479</v>
      </c>
      <c r="L2538" s="8" t="s">
        <v>13706</v>
      </c>
      <c r="M2538" s="8" t="s">
        <v>27</v>
      </c>
      <c r="N2538" s="8" t="s">
        <v>13707</v>
      </c>
      <c r="O2538" s="8" t="s">
        <v>29</v>
      </c>
      <c r="P2538" s="8" t="s">
        <v>405</v>
      </c>
      <c r="Q2538" s="12" t="s">
        <v>13708</v>
      </c>
      <c r="R2538" s="8" t="s">
        <v>29</v>
      </c>
      <c r="S2538" s="7" t="s">
        <v>28</v>
      </c>
      <c r="T2538" s="6"/>
      <c r="U2538" s="8"/>
      <c r="V2538" s="13"/>
      <c r="W2538" s="13"/>
      <c r="X2538" s="13"/>
    </row>
    <row r="2539" spans="1:24" ht="13.5" customHeight="1">
      <c r="A2539" s="8" t="s">
        <v>13709</v>
      </c>
      <c r="B2539" s="16">
        <v>28</v>
      </c>
      <c r="C2539" s="8" t="s">
        <v>20</v>
      </c>
      <c r="D2539" s="8" t="s">
        <v>37</v>
      </c>
      <c r="E2539" s="8" t="s">
        <v>13710</v>
      </c>
      <c r="F2539" s="17">
        <v>41570</v>
      </c>
      <c r="G2539" s="8" t="s">
        <v>13711</v>
      </c>
      <c r="H2539" s="8" t="s">
        <v>12686</v>
      </c>
      <c r="I2539" s="8" t="s">
        <v>41</v>
      </c>
      <c r="J2539" s="16" t="s">
        <v>13712</v>
      </c>
      <c r="K2539" s="2" t="s">
        <v>3646</v>
      </c>
      <c r="L2539" s="8" t="s">
        <v>43</v>
      </c>
      <c r="M2539" s="8" t="s">
        <v>27</v>
      </c>
      <c r="N2539" s="8" t="s">
        <v>13713</v>
      </c>
      <c r="O2539" s="8" t="s">
        <v>554</v>
      </c>
      <c r="P2539" s="8" t="s">
        <v>405</v>
      </c>
      <c r="Q2539" s="12" t="s">
        <v>13714</v>
      </c>
      <c r="R2539" s="8" t="s">
        <v>100</v>
      </c>
      <c r="S2539" s="7" t="s">
        <v>28</v>
      </c>
      <c r="T2539" s="6"/>
      <c r="U2539" s="8"/>
    </row>
    <row r="2540" spans="1:24" ht="13.5" customHeight="1">
      <c r="A2540" s="8" t="s">
        <v>13715</v>
      </c>
      <c r="B2540" s="16" t="s">
        <v>13716</v>
      </c>
      <c r="C2540" s="8" t="s">
        <v>20</v>
      </c>
      <c r="D2540" s="8" t="s">
        <v>37</v>
      </c>
      <c r="E2540" s="8" t="s">
        <v>13717</v>
      </c>
      <c r="F2540" s="17">
        <v>41570</v>
      </c>
      <c r="G2540" s="8" t="s">
        <v>13718</v>
      </c>
      <c r="H2540" s="8" t="s">
        <v>13719</v>
      </c>
      <c r="I2540" s="8" t="s">
        <v>135</v>
      </c>
      <c r="J2540" s="16" t="s">
        <v>13720</v>
      </c>
      <c r="K2540" s="2" t="s">
        <v>1081</v>
      </c>
      <c r="L2540" s="8" t="s">
        <v>13721</v>
      </c>
      <c r="M2540" s="8" t="s">
        <v>27</v>
      </c>
      <c r="N2540" s="8" t="s">
        <v>13722</v>
      </c>
      <c r="O2540" s="8" t="s">
        <v>554</v>
      </c>
      <c r="P2540" s="8" t="s">
        <v>405</v>
      </c>
      <c r="Q2540" s="12" t="s">
        <v>13723</v>
      </c>
      <c r="R2540" s="8" t="s">
        <v>100</v>
      </c>
      <c r="S2540" s="7" t="s">
        <v>28</v>
      </c>
      <c r="T2540" s="6"/>
      <c r="U2540" s="8"/>
    </row>
    <row r="2541" spans="1:24" ht="13.5" customHeight="1">
      <c r="A2541" s="8" t="s">
        <v>13734</v>
      </c>
      <c r="B2541" s="16">
        <v>13</v>
      </c>
      <c r="C2541" s="8" t="s">
        <v>20</v>
      </c>
      <c r="D2541" s="8" t="s">
        <v>48</v>
      </c>
      <c r="E2541" s="8" t="s">
        <v>13735</v>
      </c>
      <c r="F2541" s="17">
        <v>41569</v>
      </c>
      <c r="G2541" s="8" t="s">
        <v>13736</v>
      </c>
      <c r="H2541" s="8" t="s">
        <v>3009</v>
      </c>
      <c r="I2541" s="8" t="s">
        <v>45</v>
      </c>
      <c r="J2541" s="16" t="s">
        <v>13737</v>
      </c>
      <c r="K2541" s="2" t="s">
        <v>2696</v>
      </c>
      <c r="L2541" s="8" t="s">
        <v>13738</v>
      </c>
      <c r="M2541" s="8" t="s">
        <v>27</v>
      </c>
      <c r="N2541" s="8" t="s">
        <v>13739</v>
      </c>
      <c r="O2541" s="8" t="s">
        <v>29</v>
      </c>
      <c r="P2541" s="8" t="s">
        <v>405</v>
      </c>
      <c r="Q2541" s="12" t="s">
        <v>13740</v>
      </c>
      <c r="R2541" s="8" t="s">
        <v>100</v>
      </c>
      <c r="S2541" s="7" t="s">
        <v>18</v>
      </c>
      <c r="T2541" s="6"/>
      <c r="U2541" s="8"/>
    </row>
    <row r="2542" spans="1:24" ht="13.5" customHeight="1">
      <c r="A2542" s="8" t="s">
        <v>13741</v>
      </c>
      <c r="B2542" s="16">
        <v>32</v>
      </c>
      <c r="C2542" s="8" t="s">
        <v>20</v>
      </c>
      <c r="D2542" s="8" t="s">
        <v>37</v>
      </c>
      <c r="E2542" s="8" t="s">
        <v>13742</v>
      </c>
      <c r="F2542" s="17">
        <v>41569</v>
      </c>
      <c r="G2542" s="8" t="s">
        <v>13743</v>
      </c>
      <c r="H2542" s="8" t="s">
        <v>288</v>
      </c>
      <c r="I2542" s="8" t="s">
        <v>73</v>
      </c>
      <c r="J2542" s="16" t="s">
        <v>7648</v>
      </c>
      <c r="K2542" s="2" t="s">
        <v>288</v>
      </c>
      <c r="L2542" s="8" t="s">
        <v>289</v>
      </c>
      <c r="M2542" s="8" t="s">
        <v>11547</v>
      </c>
      <c r="N2542" s="8" t="s">
        <v>13744</v>
      </c>
      <c r="O2542" s="8" t="s">
        <v>1018</v>
      </c>
      <c r="P2542" s="8" t="s">
        <v>405</v>
      </c>
      <c r="Q2542" s="12" t="s">
        <v>13745</v>
      </c>
      <c r="S2542" s="7" t="s">
        <v>18</v>
      </c>
      <c r="T2542" s="6"/>
      <c r="U2542" s="8"/>
    </row>
    <row r="2543" spans="1:24" ht="13.5" customHeight="1">
      <c r="A2543" s="8" t="s">
        <v>13746</v>
      </c>
      <c r="B2543" s="16">
        <v>57</v>
      </c>
      <c r="C2543" s="8" t="s">
        <v>20</v>
      </c>
      <c r="D2543" s="8" t="s">
        <v>37</v>
      </c>
      <c r="E2543" s="8" t="s">
        <v>13747</v>
      </c>
      <c r="F2543" s="17">
        <v>41569</v>
      </c>
      <c r="G2543" s="8" t="s">
        <v>13748</v>
      </c>
      <c r="H2543" s="8" t="s">
        <v>1917</v>
      </c>
      <c r="I2543" s="8" t="s">
        <v>62</v>
      </c>
      <c r="J2543" s="16" t="s">
        <v>13749</v>
      </c>
      <c r="K2543" s="2" t="s">
        <v>1919</v>
      </c>
      <c r="L2543" s="8" t="s">
        <v>1920</v>
      </c>
      <c r="M2543" s="8" t="s">
        <v>27</v>
      </c>
      <c r="N2543" s="8" t="s">
        <v>13750</v>
      </c>
      <c r="O2543" s="8" t="s">
        <v>1018</v>
      </c>
      <c r="P2543" s="8" t="s">
        <v>405</v>
      </c>
      <c r="Q2543" s="12" t="s">
        <v>13751</v>
      </c>
      <c r="R2543" s="8" t="s">
        <v>100</v>
      </c>
      <c r="S2543" s="7" t="s">
        <v>28</v>
      </c>
      <c r="T2543" s="6"/>
      <c r="U2543" s="8"/>
    </row>
    <row r="2544" spans="1:24" ht="13.5" customHeight="1">
      <c r="A2544" s="8" t="s">
        <v>13728</v>
      </c>
      <c r="B2544" s="16">
        <v>25</v>
      </c>
      <c r="C2544" s="8" t="s">
        <v>20</v>
      </c>
      <c r="D2544" s="8" t="s">
        <v>48</v>
      </c>
      <c r="E2544" s="8" t="s">
        <v>13729</v>
      </c>
      <c r="F2544" s="17">
        <v>41569</v>
      </c>
      <c r="G2544" s="8" t="s">
        <v>13730</v>
      </c>
      <c r="H2544" s="8" t="s">
        <v>4688</v>
      </c>
      <c r="I2544" s="8" t="s">
        <v>45</v>
      </c>
      <c r="J2544" s="16" t="s">
        <v>13731</v>
      </c>
      <c r="K2544" s="2" t="s">
        <v>4689</v>
      </c>
      <c r="L2544" s="8" t="s">
        <v>13732</v>
      </c>
      <c r="M2544" s="8" t="s">
        <v>27</v>
      </c>
      <c r="N2544" s="8" t="s">
        <v>13733</v>
      </c>
      <c r="O2544" s="8" t="s">
        <v>554</v>
      </c>
      <c r="P2544" s="8" t="s">
        <v>405</v>
      </c>
      <c r="Q2544" s="12" t="str">
        <f>HYPERLINK("http://sfappeal.com/2013/10/sf-man-shot-to-death-by-san-mateo-police/","http://sfappeal.com/2013/10/sf-man-shot-to-death-by-san-mateo-police/")</f>
        <v>http://sfappeal.com/2013/10/sf-man-shot-to-death-by-san-mateo-police/</v>
      </c>
      <c r="R2544" s="8" t="s">
        <v>100</v>
      </c>
      <c r="S2544" s="7" t="s">
        <v>18</v>
      </c>
      <c r="T2544" s="6"/>
      <c r="U2544" s="8"/>
    </row>
    <row r="2545" spans="1:21" ht="13.5" customHeight="1">
      <c r="A2545" s="8" t="s">
        <v>13724</v>
      </c>
      <c r="B2545" s="16">
        <v>40</v>
      </c>
      <c r="C2545" s="8" t="s">
        <v>20</v>
      </c>
      <c r="D2545" s="8" t="s">
        <v>85</v>
      </c>
      <c r="F2545" s="17">
        <v>41569</v>
      </c>
      <c r="G2545" s="8" t="s">
        <v>13725</v>
      </c>
      <c r="H2545" s="8" t="s">
        <v>87</v>
      </c>
      <c r="I2545" s="8" t="s">
        <v>44</v>
      </c>
      <c r="J2545" s="16" t="s">
        <v>11794</v>
      </c>
      <c r="K2545" s="2" t="s">
        <v>88</v>
      </c>
      <c r="L2545" s="8" t="s">
        <v>89</v>
      </c>
      <c r="M2545" s="8" t="s">
        <v>27</v>
      </c>
      <c r="N2545" s="8" t="s">
        <v>13726</v>
      </c>
      <c r="O2545" s="8" t="s">
        <v>1018</v>
      </c>
      <c r="P2545" s="8" t="s">
        <v>405</v>
      </c>
      <c r="Q2545" s="12" t="s">
        <v>13727</v>
      </c>
      <c r="R2545" s="8" t="s">
        <v>100</v>
      </c>
      <c r="S2545" s="7" t="s">
        <v>28</v>
      </c>
      <c r="T2545" s="6"/>
      <c r="U2545" s="8"/>
    </row>
    <row r="2546" spans="1:21" ht="13.5" customHeight="1">
      <c r="A2546" s="8" t="s">
        <v>13759</v>
      </c>
      <c r="B2546" s="16">
        <v>30</v>
      </c>
      <c r="C2546" s="8" t="s">
        <v>20</v>
      </c>
      <c r="D2546" s="8" t="s">
        <v>48</v>
      </c>
      <c r="E2546" s="8" t="s">
        <v>13760</v>
      </c>
      <c r="F2546" s="17">
        <v>41568</v>
      </c>
      <c r="G2546" s="8" t="s">
        <v>13761</v>
      </c>
      <c r="H2546" s="8" t="s">
        <v>939</v>
      </c>
      <c r="I2546" s="8" t="s">
        <v>198</v>
      </c>
      <c r="J2546" s="16" t="s">
        <v>13762</v>
      </c>
      <c r="K2546" s="2" t="s">
        <v>13763</v>
      </c>
      <c r="L2546" s="8" t="s">
        <v>3118</v>
      </c>
      <c r="M2546" s="8" t="s">
        <v>27</v>
      </c>
      <c r="N2546" s="8" t="s">
        <v>13764</v>
      </c>
      <c r="O2546" s="8" t="s">
        <v>1018</v>
      </c>
      <c r="P2546" s="8" t="s">
        <v>405</v>
      </c>
      <c r="Q2546" s="12" t="str">
        <f>HYPERLINK("http://www.koat.com/news/fatal-roswell-shootout-caught-on-camera/22577824","http://www.koat.com/news/fatal-roswell-shootout-caught-on-camera/22577824")</f>
        <v>http://www.koat.com/news/fatal-roswell-shootout-caught-on-camera/22577824</v>
      </c>
      <c r="R2546" s="8" t="s">
        <v>100</v>
      </c>
      <c r="S2546" s="7" t="s">
        <v>28</v>
      </c>
      <c r="T2546" s="6"/>
      <c r="U2546" s="8"/>
    </row>
    <row r="2547" spans="1:21" ht="13.5" customHeight="1">
      <c r="A2547" s="8" t="s">
        <v>13774</v>
      </c>
      <c r="B2547" s="16">
        <v>55</v>
      </c>
      <c r="C2547" s="8" t="s">
        <v>20</v>
      </c>
      <c r="D2547" s="8" t="s">
        <v>37</v>
      </c>
      <c r="E2547" s="8" t="s">
        <v>13775</v>
      </c>
      <c r="F2547" s="17">
        <v>41568</v>
      </c>
      <c r="G2547" s="8" t="s">
        <v>13776</v>
      </c>
      <c r="H2547" s="8" t="s">
        <v>13777</v>
      </c>
      <c r="I2547" s="8" t="s">
        <v>306</v>
      </c>
      <c r="J2547" s="16" t="s">
        <v>13778</v>
      </c>
      <c r="K2547" s="2" t="s">
        <v>2169</v>
      </c>
      <c r="L2547" s="8" t="s">
        <v>2171</v>
      </c>
      <c r="M2547" s="8" t="s">
        <v>383</v>
      </c>
      <c r="N2547" s="8" t="s">
        <v>13779</v>
      </c>
      <c r="O2547" s="8" t="s">
        <v>554</v>
      </c>
      <c r="P2547" s="8" t="s">
        <v>405</v>
      </c>
      <c r="Q2547" s="12" t="s">
        <v>13780</v>
      </c>
      <c r="R2547" s="8" t="s">
        <v>972</v>
      </c>
      <c r="S2547" s="7" t="s">
        <v>383</v>
      </c>
      <c r="T2547" s="6"/>
      <c r="U2547" s="8"/>
    </row>
    <row r="2548" spans="1:21" ht="13.5" customHeight="1">
      <c r="A2548" s="8" t="s">
        <v>13765</v>
      </c>
      <c r="B2548" s="16" t="s">
        <v>13766</v>
      </c>
      <c r="C2548" s="8" t="s">
        <v>20</v>
      </c>
      <c r="D2548" s="8" t="s">
        <v>48</v>
      </c>
      <c r="E2548" s="8" t="s">
        <v>13767</v>
      </c>
      <c r="F2548" s="17">
        <v>41568</v>
      </c>
      <c r="G2548" s="8" t="s">
        <v>13768</v>
      </c>
      <c r="H2548" s="8" t="s">
        <v>13769</v>
      </c>
      <c r="I2548" s="8" t="s">
        <v>45</v>
      </c>
      <c r="J2548" s="16" t="s">
        <v>13770</v>
      </c>
      <c r="K2548" s="2" t="s">
        <v>608</v>
      </c>
      <c r="L2548" s="8" t="s">
        <v>13771</v>
      </c>
      <c r="M2548" s="8" t="s">
        <v>27</v>
      </c>
      <c r="N2548" s="8" t="s">
        <v>13772</v>
      </c>
      <c r="O2548" s="8" t="s">
        <v>29</v>
      </c>
      <c r="P2548" s="8" t="s">
        <v>405</v>
      </c>
      <c r="Q2548" s="12" t="s">
        <v>13773</v>
      </c>
      <c r="R2548" s="8" t="s">
        <v>100</v>
      </c>
      <c r="S2548" s="7" t="s">
        <v>28</v>
      </c>
      <c r="T2548" s="6"/>
      <c r="U2548" s="8"/>
    </row>
    <row r="2549" spans="1:21" ht="13.5" customHeight="1">
      <c r="A2549" s="8" t="s">
        <v>13752</v>
      </c>
      <c r="B2549" s="16">
        <v>42</v>
      </c>
      <c r="C2549" s="8" t="s">
        <v>20</v>
      </c>
      <c r="D2549" s="8" t="s">
        <v>85</v>
      </c>
      <c r="E2549" s="8" t="s">
        <v>13753</v>
      </c>
      <c r="F2549" s="17">
        <v>41568</v>
      </c>
      <c r="G2549" s="8" t="s">
        <v>13754</v>
      </c>
      <c r="H2549" s="8" t="s">
        <v>12288</v>
      </c>
      <c r="I2549" s="8" t="s">
        <v>175</v>
      </c>
      <c r="J2549" s="16" t="s">
        <v>13755</v>
      </c>
      <c r="K2549" s="2" t="s">
        <v>5608</v>
      </c>
      <c r="L2549" s="8" t="s">
        <v>13756</v>
      </c>
      <c r="M2549" s="8" t="s">
        <v>27</v>
      </c>
      <c r="N2549" s="8" t="s">
        <v>13757</v>
      </c>
      <c r="O2549" s="8" t="s">
        <v>554</v>
      </c>
      <c r="P2549" s="8" t="s">
        <v>405</v>
      </c>
      <c r="Q2549" s="12" t="s">
        <v>13758</v>
      </c>
      <c r="R2549" s="8" t="s">
        <v>100</v>
      </c>
      <c r="S2549" s="7" t="s">
        <v>18</v>
      </c>
      <c r="T2549" s="6"/>
      <c r="U2549" s="8"/>
    </row>
    <row r="2550" spans="1:21" ht="13.5" customHeight="1">
      <c r="A2550" s="8" t="s">
        <v>13789</v>
      </c>
      <c r="B2550" s="16">
        <v>44</v>
      </c>
      <c r="C2550" s="8" t="s">
        <v>20</v>
      </c>
      <c r="D2550" s="8" t="s">
        <v>85</v>
      </c>
      <c r="F2550" s="17">
        <v>41567</v>
      </c>
      <c r="G2550" s="8" t="s">
        <v>13790</v>
      </c>
      <c r="H2550" s="8" t="s">
        <v>717</v>
      </c>
      <c r="I2550" s="8" t="s">
        <v>435</v>
      </c>
      <c r="J2550" s="16" t="s">
        <v>2827</v>
      </c>
      <c r="K2550" s="2" t="s">
        <v>717</v>
      </c>
      <c r="L2550" s="8" t="s">
        <v>13791</v>
      </c>
      <c r="M2550" s="8" t="s">
        <v>27</v>
      </c>
      <c r="N2550" s="8" t="s">
        <v>13792</v>
      </c>
      <c r="O2550" s="8" t="s">
        <v>619</v>
      </c>
      <c r="P2550" s="8" t="s">
        <v>405</v>
      </c>
      <c r="Q2550" s="12" t="s">
        <v>13793</v>
      </c>
      <c r="R2550" s="8" t="s">
        <v>100</v>
      </c>
      <c r="S2550" s="7" t="s">
        <v>18</v>
      </c>
      <c r="T2550" s="6"/>
      <c r="U2550" s="8"/>
    </row>
    <row r="2551" spans="1:21" ht="13.5" customHeight="1">
      <c r="A2551" s="8" t="s">
        <v>13781</v>
      </c>
      <c r="B2551" s="16">
        <v>42</v>
      </c>
      <c r="C2551" s="8" t="s">
        <v>20</v>
      </c>
      <c r="D2551" s="8" t="s">
        <v>85</v>
      </c>
      <c r="F2551" s="17">
        <v>41567</v>
      </c>
      <c r="G2551" s="8" t="s">
        <v>13782</v>
      </c>
      <c r="H2551" s="8" t="s">
        <v>13783</v>
      </c>
      <c r="I2551" s="8" t="s">
        <v>675</v>
      </c>
      <c r="J2551" s="16" t="s">
        <v>13784</v>
      </c>
      <c r="K2551" s="2" t="s">
        <v>13785</v>
      </c>
      <c r="L2551" s="8" t="s">
        <v>13786</v>
      </c>
      <c r="M2551" s="8" t="s">
        <v>27</v>
      </c>
      <c r="N2551" s="8" t="s">
        <v>13787</v>
      </c>
      <c r="O2551" s="8" t="s">
        <v>1018</v>
      </c>
      <c r="P2551" s="8" t="s">
        <v>405</v>
      </c>
      <c r="Q2551" s="12" t="s">
        <v>13788</v>
      </c>
      <c r="R2551" s="8" t="s">
        <v>100</v>
      </c>
      <c r="S2551" s="7" t="s">
        <v>28</v>
      </c>
      <c r="T2551" s="6"/>
      <c r="U2551" s="8"/>
    </row>
    <row r="2552" spans="1:21" ht="13.5" customHeight="1">
      <c r="A2552" s="8" t="s">
        <v>13794</v>
      </c>
      <c r="B2552" s="16">
        <v>41</v>
      </c>
      <c r="C2552" s="8" t="s">
        <v>20</v>
      </c>
      <c r="D2552" s="8" t="s">
        <v>37</v>
      </c>
      <c r="E2552" s="8" t="s">
        <v>13795</v>
      </c>
      <c r="F2552" s="17">
        <v>41567</v>
      </c>
      <c r="G2552" s="8" t="s">
        <v>13796</v>
      </c>
      <c r="H2552" s="8" t="s">
        <v>10873</v>
      </c>
      <c r="I2552" s="8" t="s">
        <v>62</v>
      </c>
      <c r="J2552" s="16" t="s">
        <v>13797</v>
      </c>
      <c r="K2552" s="2" t="s">
        <v>5387</v>
      </c>
      <c r="L2552" s="8" t="s">
        <v>13798</v>
      </c>
      <c r="M2552" s="8" t="s">
        <v>27</v>
      </c>
      <c r="N2552" s="8" t="s">
        <v>13799</v>
      </c>
      <c r="O2552" s="8" t="s">
        <v>29</v>
      </c>
      <c r="P2552" s="8" t="s">
        <v>405</v>
      </c>
      <c r="Q2552" s="12" t="s">
        <v>13800</v>
      </c>
      <c r="R2552" s="8" t="s">
        <v>100</v>
      </c>
      <c r="S2552" s="7" t="s">
        <v>28</v>
      </c>
      <c r="T2552" s="6"/>
      <c r="U2552" s="8"/>
    </row>
    <row r="2553" spans="1:21" ht="13.5" customHeight="1">
      <c r="A2553" s="8" t="s">
        <v>13801</v>
      </c>
      <c r="B2553" s="16">
        <v>53</v>
      </c>
      <c r="C2553" s="8" t="s">
        <v>20</v>
      </c>
      <c r="D2553" s="8" t="s">
        <v>37</v>
      </c>
      <c r="E2553" s="8" t="s">
        <v>13802</v>
      </c>
      <c r="F2553" s="17">
        <v>41567</v>
      </c>
      <c r="G2553" s="8" t="s">
        <v>13803</v>
      </c>
      <c r="H2553" s="8" t="s">
        <v>13804</v>
      </c>
      <c r="I2553" s="8" t="s">
        <v>45</v>
      </c>
      <c r="J2553" s="16" t="s">
        <v>13805</v>
      </c>
      <c r="K2553" s="2" t="s">
        <v>13806</v>
      </c>
      <c r="L2553" s="8" t="s">
        <v>13807</v>
      </c>
      <c r="M2553" s="8" t="s">
        <v>27</v>
      </c>
      <c r="N2553" s="8" t="s">
        <v>13808</v>
      </c>
      <c r="O2553" s="8" t="s">
        <v>554</v>
      </c>
      <c r="P2553" s="8" t="s">
        <v>405</v>
      </c>
      <c r="Q2553" s="12" t="s">
        <v>13809</v>
      </c>
      <c r="R2553" s="8" t="s">
        <v>559</v>
      </c>
      <c r="S2553" s="7" t="s">
        <v>28</v>
      </c>
      <c r="T2553" s="6"/>
      <c r="U2553" s="8"/>
    </row>
    <row r="2554" spans="1:21" ht="13.5" customHeight="1">
      <c r="A2554" s="8" t="s">
        <v>13817</v>
      </c>
      <c r="B2554" s="16">
        <v>38</v>
      </c>
      <c r="C2554" s="8" t="s">
        <v>20</v>
      </c>
      <c r="D2554" s="8" t="s">
        <v>48</v>
      </c>
      <c r="F2554" s="17">
        <v>41566</v>
      </c>
      <c r="G2554" s="8" t="s">
        <v>13818</v>
      </c>
      <c r="H2554" s="8" t="s">
        <v>13819</v>
      </c>
      <c r="I2554" s="8" t="s">
        <v>45</v>
      </c>
      <c r="J2554" s="16" t="s">
        <v>11641</v>
      </c>
      <c r="K2554" s="2" t="s">
        <v>158</v>
      </c>
      <c r="L2554" s="8" t="s">
        <v>4790</v>
      </c>
      <c r="M2554" s="8" t="s">
        <v>27</v>
      </c>
      <c r="N2554" s="8" t="s">
        <v>13820</v>
      </c>
      <c r="O2554" s="8" t="s">
        <v>1018</v>
      </c>
      <c r="P2554" s="8" t="s">
        <v>405</v>
      </c>
      <c r="Q2554" s="12" t="s">
        <v>13821</v>
      </c>
      <c r="R2554" s="8" t="s">
        <v>100</v>
      </c>
      <c r="S2554" s="7" t="s">
        <v>383</v>
      </c>
      <c r="T2554" s="6"/>
      <c r="U2554" s="8"/>
    </row>
    <row r="2555" spans="1:21" ht="13.5" customHeight="1">
      <c r="A2555" s="8" t="s">
        <v>3288</v>
      </c>
      <c r="C2555" s="8" t="s">
        <v>20</v>
      </c>
      <c r="D2555" s="8" t="s">
        <v>30</v>
      </c>
      <c r="F2555" s="17">
        <v>41566</v>
      </c>
      <c r="G2555" s="8" t="s">
        <v>13822</v>
      </c>
      <c r="H2555" s="8" t="s">
        <v>158</v>
      </c>
      <c r="I2555" s="8" t="s">
        <v>45</v>
      </c>
      <c r="J2555" s="16" t="s">
        <v>11641</v>
      </c>
      <c r="K2555" s="2" t="s">
        <v>158</v>
      </c>
      <c r="L2555" s="8" t="s">
        <v>4790</v>
      </c>
      <c r="M2555" s="8" t="s">
        <v>27</v>
      </c>
      <c r="N2555" s="8" t="s">
        <v>13823</v>
      </c>
      <c r="O2555" s="8" t="s">
        <v>4742</v>
      </c>
      <c r="P2555" s="8" t="s">
        <v>405</v>
      </c>
      <c r="Q2555" s="12" t="s">
        <v>13821</v>
      </c>
      <c r="R2555" s="8" t="s">
        <v>100</v>
      </c>
      <c r="S2555" s="7" t="s">
        <v>383</v>
      </c>
      <c r="T2555" s="6"/>
      <c r="U2555" s="8"/>
    </row>
    <row r="2556" spans="1:21" ht="13.5" customHeight="1">
      <c r="A2556" s="8" t="s">
        <v>13810</v>
      </c>
      <c r="B2556" s="16">
        <v>24</v>
      </c>
      <c r="C2556" s="8" t="s">
        <v>20</v>
      </c>
      <c r="D2556" s="8" t="s">
        <v>85</v>
      </c>
      <c r="E2556" s="8" t="s">
        <v>13811</v>
      </c>
      <c r="F2556" s="17">
        <v>41566</v>
      </c>
      <c r="G2556" s="8" t="s">
        <v>13812</v>
      </c>
      <c r="H2556" s="8" t="s">
        <v>6039</v>
      </c>
      <c r="I2556" s="8" t="s">
        <v>69</v>
      </c>
      <c r="J2556" s="16" t="s">
        <v>13813</v>
      </c>
      <c r="K2556" s="2" t="s">
        <v>1275</v>
      </c>
      <c r="L2556" s="8" t="s">
        <v>13814</v>
      </c>
      <c r="M2556" s="8" t="s">
        <v>27</v>
      </c>
      <c r="N2556" s="8" t="s">
        <v>13815</v>
      </c>
      <c r="O2556" s="8" t="s">
        <v>1018</v>
      </c>
      <c r="P2556" s="8" t="s">
        <v>405</v>
      </c>
      <c r="Q2556" s="12" t="s">
        <v>13816</v>
      </c>
      <c r="R2556" s="8" t="s">
        <v>100</v>
      </c>
      <c r="S2556" s="7" t="s">
        <v>28</v>
      </c>
      <c r="T2556" s="6"/>
      <c r="U2556" s="8"/>
    </row>
    <row r="2557" spans="1:21" ht="13.5" customHeight="1">
      <c r="A2557" s="8" t="s">
        <v>13824</v>
      </c>
      <c r="B2557" s="16">
        <v>33</v>
      </c>
      <c r="C2557" s="8" t="s">
        <v>20</v>
      </c>
      <c r="D2557" s="8" t="s">
        <v>85</v>
      </c>
      <c r="F2557" s="17">
        <v>41565</v>
      </c>
      <c r="G2557" s="8" t="s">
        <v>13825</v>
      </c>
      <c r="H2557" s="8" t="s">
        <v>51</v>
      </c>
      <c r="I2557" s="8" t="s">
        <v>32</v>
      </c>
      <c r="J2557" s="16" t="s">
        <v>13826</v>
      </c>
      <c r="K2557" s="2" t="s">
        <v>2615</v>
      </c>
      <c r="L2557" s="8" t="s">
        <v>11202</v>
      </c>
      <c r="M2557" s="8" t="s">
        <v>27</v>
      </c>
      <c r="N2557" s="8" t="s">
        <v>13827</v>
      </c>
      <c r="O2557" s="8" t="s">
        <v>4742</v>
      </c>
      <c r="P2557" s="8" t="s">
        <v>405</v>
      </c>
      <c r="Q2557" s="12" t="s">
        <v>13828</v>
      </c>
      <c r="R2557" s="8" t="s">
        <v>100</v>
      </c>
      <c r="S2557" s="7" t="s">
        <v>383</v>
      </c>
      <c r="T2557" s="6"/>
      <c r="U2557" s="8"/>
    </row>
    <row r="2558" spans="1:21" ht="13.5" customHeight="1">
      <c r="A2558" s="8" t="s">
        <v>13829</v>
      </c>
      <c r="B2558" s="16">
        <v>44</v>
      </c>
      <c r="C2558" s="8" t="s">
        <v>20</v>
      </c>
      <c r="D2558" s="8" t="s">
        <v>48</v>
      </c>
      <c r="F2558" s="17">
        <v>41565</v>
      </c>
      <c r="G2558" s="8" t="s">
        <v>13830</v>
      </c>
      <c r="H2558" s="8" t="s">
        <v>87</v>
      </c>
      <c r="I2558" s="8" t="s">
        <v>44</v>
      </c>
      <c r="J2558" s="16" t="s">
        <v>13831</v>
      </c>
      <c r="K2558" s="2" t="s">
        <v>88</v>
      </c>
      <c r="L2558" s="8" t="s">
        <v>89</v>
      </c>
      <c r="M2558" s="8" t="s">
        <v>27</v>
      </c>
      <c r="N2558" s="8" t="s">
        <v>13832</v>
      </c>
      <c r="O2558" s="8" t="s">
        <v>4742</v>
      </c>
      <c r="P2558" s="8" t="s">
        <v>405</v>
      </c>
      <c r="Q2558" s="12" t="s">
        <v>13833</v>
      </c>
      <c r="R2558" s="8" t="s">
        <v>100</v>
      </c>
      <c r="S2558" s="7" t="s">
        <v>28</v>
      </c>
      <c r="T2558" s="6"/>
      <c r="U2558" s="8"/>
    </row>
    <row r="2559" spans="1:21" ht="13.5" customHeight="1">
      <c r="A2559" s="8" t="s">
        <v>13834</v>
      </c>
      <c r="B2559" s="16">
        <v>25</v>
      </c>
      <c r="C2559" s="8" t="s">
        <v>20</v>
      </c>
      <c r="D2559" s="8" t="s">
        <v>37</v>
      </c>
      <c r="E2559" s="8" t="s">
        <v>13835</v>
      </c>
      <c r="F2559" s="17">
        <v>41565</v>
      </c>
      <c r="G2559" s="8" t="s">
        <v>13836</v>
      </c>
      <c r="H2559" s="8" t="s">
        <v>1764</v>
      </c>
      <c r="I2559" s="8" t="s">
        <v>45</v>
      </c>
      <c r="J2559" s="16" t="s">
        <v>1765</v>
      </c>
      <c r="K2559" s="2" t="s">
        <v>1175</v>
      </c>
      <c r="L2559" s="8" t="s">
        <v>1766</v>
      </c>
      <c r="M2559" s="8" t="s">
        <v>27</v>
      </c>
      <c r="N2559" s="8" t="s">
        <v>13837</v>
      </c>
      <c r="O2559" s="8" t="s">
        <v>1018</v>
      </c>
      <c r="P2559" s="8" t="s">
        <v>405</v>
      </c>
      <c r="Q2559" s="12" t="s">
        <v>13838</v>
      </c>
      <c r="R2559" s="8" t="s">
        <v>559</v>
      </c>
      <c r="S2559" s="7" t="s">
        <v>28</v>
      </c>
      <c r="T2559" s="6"/>
      <c r="U2559" s="8"/>
    </row>
    <row r="2560" spans="1:21" ht="13.5" customHeight="1">
      <c r="A2560" s="8" t="s">
        <v>13850</v>
      </c>
      <c r="B2560" s="16">
        <v>31</v>
      </c>
      <c r="C2560" s="8" t="s">
        <v>20</v>
      </c>
      <c r="D2560" s="8" t="s">
        <v>37</v>
      </c>
      <c r="E2560" s="8" t="s">
        <v>13851</v>
      </c>
      <c r="F2560" s="17">
        <v>41564</v>
      </c>
      <c r="G2560" s="8" t="s">
        <v>13852</v>
      </c>
      <c r="H2560" s="8" t="s">
        <v>2329</v>
      </c>
      <c r="I2560" s="8" t="s">
        <v>62</v>
      </c>
      <c r="J2560" s="16" t="s">
        <v>13853</v>
      </c>
      <c r="K2560" s="2" t="s">
        <v>2331</v>
      </c>
      <c r="L2560" s="8" t="s">
        <v>2332</v>
      </c>
      <c r="M2560" s="8" t="s">
        <v>27</v>
      </c>
      <c r="N2560" s="8" t="s">
        <v>13854</v>
      </c>
      <c r="O2560" s="8" t="s">
        <v>554</v>
      </c>
      <c r="P2560" s="8" t="s">
        <v>405</v>
      </c>
      <c r="Q2560" s="12" t="s">
        <v>13855</v>
      </c>
      <c r="R2560" s="8" t="s">
        <v>100</v>
      </c>
      <c r="S2560" s="7" t="s">
        <v>28</v>
      </c>
      <c r="T2560" s="6"/>
      <c r="U2560" s="8"/>
    </row>
    <row r="2561" spans="1:34" ht="13.5" customHeight="1">
      <c r="A2561" s="8" t="s">
        <v>13844</v>
      </c>
      <c r="B2561" s="16">
        <v>36</v>
      </c>
      <c r="C2561" s="8" t="s">
        <v>20</v>
      </c>
      <c r="D2561" s="8" t="s">
        <v>48</v>
      </c>
      <c r="F2561" s="17">
        <v>41564</v>
      </c>
      <c r="G2561" s="8" t="s">
        <v>13845</v>
      </c>
      <c r="H2561" s="8" t="s">
        <v>219</v>
      </c>
      <c r="I2561" s="8" t="s">
        <v>220</v>
      </c>
      <c r="J2561" s="16" t="s">
        <v>13846</v>
      </c>
      <c r="K2561" s="2" t="s">
        <v>424</v>
      </c>
      <c r="L2561" s="8" t="s">
        <v>13847</v>
      </c>
      <c r="M2561" s="8" t="s">
        <v>27</v>
      </c>
      <c r="N2561" s="8" t="s">
        <v>13848</v>
      </c>
      <c r="O2561" s="8" t="s">
        <v>4742</v>
      </c>
      <c r="P2561" s="8" t="s">
        <v>405</v>
      </c>
      <c r="Q2561" s="12" t="s">
        <v>13849</v>
      </c>
      <c r="R2561" s="8" t="s">
        <v>100</v>
      </c>
      <c r="S2561" s="7" t="s">
        <v>28</v>
      </c>
      <c r="T2561" s="6"/>
      <c r="U2561" s="8"/>
    </row>
    <row r="2562" spans="1:34" ht="13.5" customHeight="1">
      <c r="A2562" s="8" t="s">
        <v>13839</v>
      </c>
      <c r="B2562" s="16">
        <v>40</v>
      </c>
      <c r="C2562" s="8" t="s">
        <v>20</v>
      </c>
      <c r="D2562" s="8" t="s">
        <v>85</v>
      </c>
      <c r="F2562" s="17">
        <v>41564</v>
      </c>
      <c r="G2562" s="8" t="s">
        <v>13840</v>
      </c>
      <c r="H2562" s="8" t="s">
        <v>1608</v>
      </c>
      <c r="I2562" s="8" t="s">
        <v>52</v>
      </c>
      <c r="J2562" s="16" t="s">
        <v>12233</v>
      </c>
      <c r="K2562" s="2" t="s">
        <v>4755</v>
      </c>
      <c r="L2562" s="8" t="s">
        <v>2799</v>
      </c>
      <c r="M2562" s="8" t="s">
        <v>27</v>
      </c>
      <c r="N2562" s="8" t="s">
        <v>13841</v>
      </c>
      <c r="O2562" s="8" t="s">
        <v>13842</v>
      </c>
      <c r="P2562" s="8" t="s">
        <v>405</v>
      </c>
      <c r="Q2562" s="12" t="s">
        <v>13843</v>
      </c>
      <c r="R2562" s="8" t="s">
        <v>100</v>
      </c>
      <c r="S2562" s="7" t="s">
        <v>383</v>
      </c>
      <c r="T2562" s="6"/>
      <c r="U2562" s="8"/>
    </row>
    <row r="2563" spans="1:34" ht="13.5" customHeight="1">
      <c r="A2563" s="8" t="s">
        <v>13856</v>
      </c>
      <c r="B2563" s="16">
        <v>22</v>
      </c>
      <c r="C2563" s="8" t="s">
        <v>20</v>
      </c>
      <c r="D2563" s="8" t="s">
        <v>48</v>
      </c>
      <c r="F2563" s="17">
        <v>41563</v>
      </c>
      <c r="G2563" s="8" t="s">
        <v>13857</v>
      </c>
      <c r="H2563" s="8" t="s">
        <v>13858</v>
      </c>
      <c r="I2563" s="8" t="s">
        <v>306</v>
      </c>
      <c r="J2563" s="16" t="s">
        <v>13859</v>
      </c>
      <c r="K2563" s="2" t="s">
        <v>13860</v>
      </c>
      <c r="L2563" s="8" t="s">
        <v>13861</v>
      </c>
      <c r="M2563" s="8" t="s">
        <v>27</v>
      </c>
      <c r="N2563" s="8" t="s">
        <v>13862</v>
      </c>
      <c r="O2563" s="8" t="s">
        <v>554</v>
      </c>
      <c r="P2563" s="8" t="s">
        <v>405</v>
      </c>
      <c r="Q2563" s="12" t="s">
        <v>13863</v>
      </c>
      <c r="R2563" s="8" t="s">
        <v>100</v>
      </c>
      <c r="S2563" s="7" t="s">
        <v>28</v>
      </c>
      <c r="T2563" s="6"/>
      <c r="U2563" s="8"/>
      <c r="V2563" s="8"/>
      <c r="W2563" s="8"/>
      <c r="X2563" s="8"/>
    </row>
    <row r="2564" spans="1:34" ht="13.5" customHeight="1">
      <c r="A2564" s="8" t="s">
        <v>13864</v>
      </c>
      <c r="B2564" s="16">
        <v>37</v>
      </c>
      <c r="C2564" s="8" t="s">
        <v>20</v>
      </c>
      <c r="D2564" s="8" t="s">
        <v>30</v>
      </c>
      <c r="F2564" s="17">
        <v>41563</v>
      </c>
      <c r="G2564" s="8" t="s">
        <v>13865</v>
      </c>
      <c r="H2564" s="8" t="s">
        <v>3009</v>
      </c>
      <c r="I2564" s="8" t="s">
        <v>45</v>
      </c>
      <c r="J2564" s="16" t="s">
        <v>13866</v>
      </c>
      <c r="K2564" s="2" t="s">
        <v>2696</v>
      </c>
      <c r="L2564" s="8" t="s">
        <v>10773</v>
      </c>
      <c r="M2564" s="8" t="s">
        <v>3407</v>
      </c>
      <c r="N2564" s="8" t="s">
        <v>13867</v>
      </c>
      <c r="O2564" s="8" t="s">
        <v>4742</v>
      </c>
      <c r="P2564" s="8" t="s">
        <v>405</v>
      </c>
      <c r="Q2564" s="12" t="s">
        <v>13868</v>
      </c>
      <c r="R2564" s="8" t="s">
        <v>559</v>
      </c>
      <c r="S2564" s="7" t="s">
        <v>18</v>
      </c>
      <c r="T2564" s="6"/>
      <c r="U2564" s="8"/>
    </row>
    <row r="2565" spans="1:34" ht="13.5" customHeight="1">
      <c r="A2565" s="8" t="s">
        <v>13869</v>
      </c>
      <c r="B2565" s="16">
        <v>35</v>
      </c>
      <c r="C2565" s="8" t="s">
        <v>20</v>
      </c>
      <c r="D2565" s="8" t="s">
        <v>37</v>
      </c>
      <c r="E2565" s="8" t="s">
        <v>13870</v>
      </c>
      <c r="F2565" s="17">
        <v>41563</v>
      </c>
      <c r="G2565" s="8" t="s">
        <v>13871</v>
      </c>
      <c r="H2565" s="8" t="s">
        <v>7269</v>
      </c>
      <c r="I2565" s="8" t="s">
        <v>367</v>
      </c>
      <c r="J2565" s="16" t="s">
        <v>13872</v>
      </c>
      <c r="K2565" s="2" t="s">
        <v>13873</v>
      </c>
      <c r="L2565" s="8" t="s">
        <v>13874</v>
      </c>
      <c r="M2565" s="8" t="s">
        <v>27</v>
      </c>
      <c r="N2565" s="8" t="s">
        <v>13875</v>
      </c>
      <c r="O2565" s="8" t="s">
        <v>4742</v>
      </c>
      <c r="P2565" s="8" t="s">
        <v>405</v>
      </c>
      <c r="Q2565" s="12" t="s">
        <v>13876</v>
      </c>
      <c r="R2565" s="8" t="s">
        <v>559</v>
      </c>
      <c r="S2565" s="7" t="s">
        <v>28</v>
      </c>
      <c r="T2565" s="6"/>
      <c r="U2565" s="8"/>
    </row>
    <row r="2566" spans="1:34" ht="13.5" customHeight="1">
      <c r="A2566" s="8" t="s">
        <v>13884</v>
      </c>
      <c r="B2566" s="16" t="s">
        <v>13885</v>
      </c>
      <c r="C2566" s="8" t="s">
        <v>20</v>
      </c>
      <c r="D2566" s="8" t="s">
        <v>85</v>
      </c>
      <c r="E2566" s="8" t="s">
        <v>13886</v>
      </c>
      <c r="F2566" s="17">
        <v>41562</v>
      </c>
      <c r="G2566" s="8" t="s">
        <v>13887</v>
      </c>
      <c r="H2566" s="8" t="s">
        <v>1204</v>
      </c>
      <c r="I2566" s="8" t="s">
        <v>323</v>
      </c>
      <c r="J2566" s="16">
        <v>38114</v>
      </c>
      <c r="K2566" s="2" t="s">
        <v>1205</v>
      </c>
      <c r="L2566" s="8" t="s">
        <v>1206</v>
      </c>
      <c r="M2566" s="8" t="s">
        <v>13888</v>
      </c>
      <c r="N2566" s="8" t="s">
        <v>13889</v>
      </c>
      <c r="O2566" s="8" t="s">
        <v>29</v>
      </c>
      <c r="P2566" s="8" t="s">
        <v>405</v>
      </c>
      <c r="Q2566" s="12" t="str">
        <f>HYPERLINK("http://www.myfoxmemphis.com/story/24329596/medical-examiner-rules-cause-of-death-aaron-dumas","http://www.myfoxmemphis.com/story/24329596/medical-examiner-rules-cause-of-death-aaron-dumas")</f>
        <v>http://www.myfoxmemphis.com/story/24329596/medical-examiner-rules-cause-of-death-aaron-dumas</v>
      </c>
      <c r="R2566" s="8" t="s">
        <v>100</v>
      </c>
      <c r="S2566" s="7" t="s">
        <v>28</v>
      </c>
      <c r="T2566" s="6"/>
      <c r="U2566" s="8"/>
    </row>
    <row r="2567" spans="1:34" ht="13.5" customHeight="1">
      <c r="A2567" s="8" t="s">
        <v>13877</v>
      </c>
      <c r="B2567" s="16" t="s">
        <v>8868</v>
      </c>
      <c r="C2567" s="8" t="s">
        <v>20</v>
      </c>
      <c r="D2567" s="8" t="s">
        <v>85</v>
      </c>
      <c r="E2567" s="8" t="s">
        <v>13878</v>
      </c>
      <c r="F2567" s="17">
        <v>41562</v>
      </c>
      <c r="G2567" s="8" t="s">
        <v>13879</v>
      </c>
      <c r="H2567" s="8" t="s">
        <v>13880</v>
      </c>
      <c r="I2567" s="8" t="s">
        <v>94</v>
      </c>
      <c r="J2567" s="16">
        <v>36027</v>
      </c>
      <c r="K2567" s="2" t="s">
        <v>13881</v>
      </c>
      <c r="L2567" s="8" t="s">
        <v>13882</v>
      </c>
      <c r="M2567" s="8" t="s">
        <v>27</v>
      </c>
      <c r="N2567" s="8" t="s">
        <v>13883</v>
      </c>
      <c r="O2567" s="8" t="s">
        <v>554</v>
      </c>
      <c r="P2567" s="8" t="s">
        <v>405</v>
      </c>
      <c r="Q2567" s="12" t="str">
        <f>HYPERLINK("http://www.wrbl.com/story/24805046/eufaula-grand-jury-will-not-meet-today-in-cameron-massey-case","http://www.wrbl.com/story/24805046/eufaula-grand-jury-will-not-meet-today-in-cameron-massey-case")</f>
        <v>http://www.wrbl.com/story/24805046/eufaula-grand-jury-will-not-meet-today-in-cameron-massey-case</v>
      </c>
      <c r="R2567" s="8" t="s">
        <v>100</v>
      </c>
      <c r="S2567" s="7" t="s">
        <v>383</v>
      </c>
      <c r="T2567" s="6"/>
      <c r="U2567" s="8"/>
    </row>
    <row r="2568" spans="1:34" ht="13.5" customHeight="1">
      <c r="A2568" s="8" t="s">
        <v>13890</v>
      </c>
      <c r="B2568" s="16">
        <v>58</v>
      </c>
      <c r="C2568" s="8" t="s">
        <v>20</v>
      </c>
      <c r="D2568" s="8" t="s">
        <v>37</v>
      </c>
      <c r="E2568" s="8" t="s">
        <v>13891</v>
      </c>
      <c r="F2568" s="17">
        <v>41562</v>
      </c>
      <c r="G2568" s="8" t="s">
        <v>13892</v>
      </c>
      <c r="H2568" s="8" t="s">
        <v>463</v>
      </c>
      <c r="I2568" s="8" t="s">
        <v>25</v>
      </c>
      <c r="J2568" s="16" t="s">
        <v>13893</v>
      </c>
      <c r="K2568" s="2" t="s">
        <v>5980</v>
      </c>
      <c r="L2568" s="8" t="s">
        <v>464</v>
      </c>
      <c r="M2568" s="8" t="s">
        <v>27</v>
      </c>
      <c r="N2568" s="8" t="s">
        <v>13894</v>
      </c>
      <c r="O2568" s="8" t="s">
        <v>554</v>
      </c>
      <c r="P2568" s="8" t="s">
        <v>405</v>
      </c>
      <c r="Q2568" s="12" t="s">
        <v>13895</v>
      </c>
      <c r="R2568" s="8" t="s">
        <v>972</v>
      </c>
      <c r="S2568" s="7" t="s">
        <v>28</v>
      </c>
      <c r="T2568" s="6"/>
      <c r="U2568" s="8"/>
    </row>
    <row r="2569" spans="1:34" ht="13.5" customHeight="1">
      <c r="A2569" s="8" t="s">
        <v>13896</v>
      </c>
      <c r="B2569" s="16">
        <v>24</v>
      </c>
      <c r="C2569" s="8" t="s">
        <v>20</v>
      </c>
      <c r="D2569" s="8" t="s">
        <v>37</v>
      </c>
      <c r="E2569" s="8" t="s">
        <v>13897</v>
      </c>
      <c r="F2569" s="17">
        <v>41561</v>
      </c>
      <c r="G2569" s="8" t="s">
        <v>13898</v>
      </c>
      <c r="H2569" s="8" t="s">
        <v>255</v>
      </c>
      <c r="I2569" s="8" t="s">
        <v>32</v>
      </c>
      <c r="J2569" s="16" t="s">
        <v>13899</v>
      </c>
      <c r="K2569" s="2" t="s">
        <v>255</v>
      </c>
      <c r="L2569" s="8" t="s">
        <v>5770</v>
      </c>
      <c r="M2569" s="8" t="s">
        <v>27</v>
      </c>
      <c r="N2569" s="8" t="s">
        <v>13900</v>
      </c>
      <c r="O2569" s="8" t="s">
        <v>1018</v>
      </c>
      <c r="P2569" s="8" t="s">
        <v>405</v>
      </c>
      <c r="Q2569" s="12" t="s">
        <v>13901</v>
      </c>
      <c r="R2569" s="8" t="s">
        <v>100</v>
      </c>
      <c r="S2569" s="7" t="s">
        <v>28</v>
      </c>
      <c r="T2569" s="6"/>
      <c r="U2569" s="8"/>
      <c r="Y2569" s="8"/>
      <c r="Z2569" s="8"/>
      <c r="AA2569" s="8"/>
      <c r="AB2569" s="8"/>
      <c r="AC2569" s="8"/>
      <c r="AD2569" s="8"/>
      <c r="AE2569" s="8"/>
      <c r="AF2569" s="8"/>
      <c r="AG2569" s="8"/>
      <c r="AH2569" s="8"/>
    </row>
    <row r="2570" spans="1:34" ht="13.5" customHeight="1">
      <c r="A2570" s="8" t="s">
        <v>13902</v>
      </c>
      <c r="B2570" s="16">
        <v>83</v>
      </c>
      <c r="C2570" s="8" t="s">
        <v>20</v>
      </c>
      <c r="D2570" s="8" t="s">
        <v>37</v>
      </c>
      <c r="E2570" s="8" t="s">
        <v>13903</v>
      </c>
      <c r="F2570" s="17">
        <v>41561</v>
      </c>
      <c r="G2570" s="8" t="s">
        <v>13904</v>
      </c>
      <c r="H2570" s="8" t="s">
        <v>13905</v>
      </c>
      <c r="I2570" s="8" t="s">
        <v>94</v>
      </c>
      <c r="J2570" s="16" t="s">
        <v>13906</v>
      </c>
      <c r="K2570" s="2" t="s">
        <v>13907</v>
      </c>
      <c r="L2570" s="8" t="s">
        <v>13908</v>
      </c>
      <c r="M2570" s="8" t="s">
        <v>27</v>
      </c>
      <c r="N2570" s="8" t="s">
        <v>13909</v>
      </c>
      <c r="O2570" s="8" t="s">
        <v>554</v>
      </c>
      <c r="P2570" s="8" t="s">
        <v>405</v>
      </c>
      <c r="Q2570" s="12" t="s">
        <v>13910</v>
      </c>
      <c r="R2570" s="8" t="s">
        <v>559</v>
      </c>
      <c r="S2570" s="7" t="s">
        <v>28</v>
      </c>
      <c r="T2570" s="6"/>
      <c r="U2570" s="8"/>
    </row>
    <row r="2571" spans="1:34" ht="13.5" customHeight="1">
      <c r="A2571" s="8" t="s">
        <v>13911</v>
      </c>
      <c r="B2571" s="16">
        <v>22</v>
      </c>
      <c r="C2571" s="8" t="s">
        <v>20</v>
      </c>
      <c r="D2571" s="8" t="s">
        <v>37</v>
      </c>
      <c r="E2571" s="8" t="s">
        <v>13912</v>
      </c>
      <c r="F2571" s="17">
        <v>41561</v>
      </c>
      <c r="G2571" s="8" t="s">
        <v>13913</v>
      </c>
      <c r="H2571" s="8" t="s">
        <v>13914</v>
      </c>
      <c r="I2571" s="8" t="s">
        <v>145</v>
      </c>
      <c r="J2571" s="16" t="s">
        <v>13915</v>
      </c>
      <c r="K2571" s="2" t="s">
        <v>13916</v>
      </c>
      <c r="L2571" s="8" t="s">
        <v>13917</v>
      </c>
      <c r="M2571" s="8" t="s">
        <v>27</v>
      </c>
      <c r="N2571" s="8" t="s">
        <v>13918</v>
      </c>
      <c r="O2571" s="8" t="s">
        <v>29</v>
      </c>
      <c r="P2571" s="8" t="s">
        <v>405</v>
      </c>
      <c r="Q2571" s="12" t="s">
        <v>13919</v>
      </c>
      <c r="R2571" s="8" t="s">
        <v>559</v>
      </c>
      <c r="S2571" s="7" t="s">
        <v>28</v>
      </c>
      <c r="T2571" s="6"/>
      <c r="U2571" s="8"/>
    </row>
    <row r="2572" spans="1:34" ht="13.5" customHeight="1">
      <c r="A2572" s="8" t="s">
        <v>13965</v>
      </c>
      <c r="B2572" s="16">
        <v>59</v>
      </c>
      <c r="C2572" s="8" t="s">
        <v>20</v>
      </c>
      <c r="D2572" s="8" t="s">
        <v>37</v>
      </c>
      <c r="E2572" s="8" t="s">
        <v>13966</v>
      </c>
      <c r="F2572" s="17">
        <v>41560</v>
      </c>
      <c r="G2572" s="8" t="s">
        <v>13967</v>
      </c>
      <c r="H2572" s="8" t="s">
        <v>13968</v>
      </c>
      <c r="I2572" s="8" t="s">
        <v>319</v>
      </c>
      <c r="J2572" s="16" t="s">
        <v>13969</v>
      </c>
      <c r="K2572" s="2" t="s">
        <v>13970</v>
      </c>
      <c r="L2572" s="8" t="s">
        <v>3406</v>
      </c>
      <c r="M2572" s="8" t="s">
        <v>27</v>
      </c>
      <c r="N2572" s="8" t="s">
        <v>13971</v>
      </c>
      <c r="O2572" s="8" t="s">
        <v>1018</v>
      </c>
      <c r="P2572" s="8" t="s">
        <v>405</v>
      </c>
      <c r="Q2572" s="12" t="s">
        <v>13972</v>
      </c>
      <c r="R2572" s="8" t="s">
        <v>559</v>
      </c>
      <c r="S2572" s="7" t="s">
        <v>18</v>
      </c>
      <c r="T2572" s="6"/>
      <c r="U2572" s="8"/>
    </row>
    <row r="2573" spans="1:34" ht="13.5" customHeight="1">
      <c r="A2573" s="8" t="s">
        <v>13959</v>
      </c>
      <c r="B2573" s="16">
        <v>31</v>
      </c>
      <c r="C2573" s="8" t="s">
        <v>20</v>
      </c>
      <c r="D2573" s="8" t="s">
        <v>37</v>
      </c>
      <c r="E2573" s="8" t="s">
        <v>13960</v>
      </c>
      <c r="F2573" s="17">
        <v>41560</v>
      </c>
      <c r="G2573" s="8" t="s">
        <v>13961</v>
      </c>
      <c r="H2573" s="8" t="s">
        <v>4810</v>
      </c>
      <c r="I2573" s="8" t="s">
        <v>32</v>
      </c>
      <c r="J2573" s="16" t="s">
        <v>13962</v>
      </c>
      <c r="K2573" s="2" t="s">
        <v>255</v>
      </c>
      <c r="L2573" s="8" t="s">
        <v>5770</v>
      </c>
      <c r="M2573" s="8" t="s">
        <v>3407</v>
      </c>
      <c r="N2573" s="8" t="s">
        <v>13963</v>
      </c>
      <c r="O2573" s="8" t="s">
        <v>1018</v>
      </c>
      <c r="P2573" s="8" t="s">
        <v>405</v>
      </c>
      <c r="Q2573" s="12" t="s">
        <v>13964</v>
      </c>
      <c r="R2573" s="8" t="s">
        <v>972</v>
      </c>
      <c r="S2573" s="7" t="s">
        <v>18</v>
      </c>
      <c r="T2573" s="6"/>
      <c r="U2573" s="8"/>
      <c r="Y2573" s="8"/>
      <c r="Z2573" s="8"/>
      <c r="AA2573" s="8"/>
      <c r="AB2573" s="8"/>
      <c r="AC2573" s="8"/>
      <c r="AD2573" s="8"/>
      <c r="AE2573" s="8"/>
      <c r="AF2573" s="8"/>
      <c r="AG2573" s="8"/>
      <c r="AH2573" s="8"/>
    </row>
    <row r="2574" spans="1:34" ht="13.5" customHeight="1">
      <c r="A2574" s="8" t="s">
        <v>13933</v>
      </c>
      <c r="B2574" s="16">
        <v>30</v>
      </c>
      <c r="C2574" s="8" t="s">
        <v>20</v>
      </c>
      <c r="D2574" s="8" t="s">
        <v>85</v>
      </c>
      <c r="E2574" s="8" t="s">
        <v>13934</v>
      </c>
      <c r="F2574" s="17">
        <v>41560</v>
      </c>
      <c r="G2574" s="8" t="s">
        <v>13935</v>
      </c>
      <c r="H2574" s="8" t="s">
        <v>227</v>
      </c>
      <c r="I2574" s="8" t="s">
        <v>370</v>
      </c>
      <c r="J2574" s="16" t="s">
        <v>13636</v>
      </c>
      <c r="K2574" s="2" t="s">
        <v>8681</v>
      </c>
      <c r="L2574" s="8" t="s">
        <v>13936</v>
      </c>
      <c r="M2574" s="8" t="s">
        <v>27</v>
      </c>
      <c r="N2574" s="8" t="s">
        <v>13937</v>
      </c>
      <c r="O2574" s="8" t="s">
        <v>554</v>
      </c>
      <c r="P2574" s="8" t="s">
        <v>405</v>
      </c>
      <c r="Q2574" s="12" t="s">
        <v>13938</v>
      </c>
      <c r="R2574" s="8" t="s">
        <v>100</v>
      </c>
      <c r="S2574" s="7" t="s">
        <v>18</v>
      </c>
      <c r="T2574" s="6"/>
      <c r="U2574" s="8"/>
      <c r="V2574" s="8"/>
      <c r="W2574" s="8"/>
      <c r="X2574" s="8"/>
    </row>
    <row r="2575" spans="1:34" ht="13.5" customHeight="1">
      <c r="A2575" s="8" t="s">
        <v>13945</v>
      </c>
      <c r="B2575" s="16">
        <v>36</v>
      </c>
      <c r="C2575" s="8" t="s">
        <v>20</v>
      </c>
      <c r="D2575" s="8" t="s">
        <v>48</v>
      </c>
      <c r="E2575" s="8" t="s">
        <v>13946</v>
      </c>
      <c r="F2575" s="17">
        <v>41560</v>
      </c>
      <c r="G2575" s="8" t="s">
        <v>13947</v>
      </c>
      <c r="H2575" s="8" t="s">
        <v>865</v>
      </c>
      <c r="I2575" s="8" t="s">
        <v>73</v>
      </c>
      <c r="J2575" s="16" t="s">
        <v>13948</v>
      </c>
      <c r="K2575" s="2" t="s">
        <v>865</v>
      </c>
      <c r="L2575" s="8" t="s">
        <v>866</v>
      </c>
      <c r="M2575" s="8" t="s">
        <v>3407</v>
      </c>
      <c r="N2575" s="8" t="s">
        <v>13949</v>
      </c>
      <c r="O2575" s="8" t="s">
        <v>3421</v>
      </c>
      <c r="P2575" s="8" t="s">
        <v>405</v>
      </c>
      <c r="Q2575" s="12" t="s">
        <v>13950</v>
      </c>
      <c r="R2575" s="8" t="s">
        <v>972</v>
      </c>
      <c r="S2575" s="7" t="s">
        <v>18</v>
      </c>
      <c r="T2575" s="6"/>
      <c r="U2575" s="8"/>
    </row>
    <row r="2576" spans="1:34" ht="13.5" customHeight="1">
      <c r="A2576" s="8" t="s">
        <v>13939</v>
      </c>
      <c r="B2576" s="16">
        <v>43</v>
      </c>
      <c r="C2576" s="8" t="s">
        <v>20</v>
      </c>
      <c r="D2576" s="8" t="s">
        <v>85</v>
      </c>
      <c r="E2576" s="8" t="s">
        <v>13940</v>
      </c>
      <c r="F2576" s="17">
        <v>41560</v>
      </c>
      <c r="G2576" s="8" t="s">
        <v>13941</v>
      </c>
      <c r="H2576" s="8" t="s">
        <v>2020</v>
      </c>
      <c r="I2576" s="8" t="s">
        <v>427</v>
      </c>
      <c r="J2576" s="16" t="s">
        <v>13942</v>
      </c>
      <c r="K2576" s="2" t="s">
        <v>1115</v>
      </c>
      <c r="L2576" s="8" t="s">
        <v>2033</v>
      </c>
      <c r="M2576" s="8" t="s">
        <v>27</v>
      </c>
      <c r="N2576" s="8" t="s">
        <v>13943</v>
      </c>
      <c r="O2576" s="8" t="s">
        <v>1018</v>
      </c>
      <c r="P2576" s="8" t="s">
        <v>405</v>
      </c>
      <c r="Q2576" s="12" t="s">
        <v>13944</v>
      </c>
      <c r="R2576" s="8" t="s">
        <v>100</v>
      </c>
      <c r="S2576" s="7" t="s">
        <v>28</v>
      </c>
      <c r="T2576" s="6"/>
      <c r="U2576" s="8"/>
    </row>
    <row r="2577" spans="1:24" ht="13.5" customHeight="1">
      <c r="A2577" s="8" t="s">
        <v>13951</v>
      </c>
      <c r="B2577" s="16">
        <v>26</v>
      </c>
      <c r="C2577" s="8" t="s">
        <v>20</v>
      </c>
      <c r="D2577" s="8" t="s">
        <v>48</v>
      </c>
      <c r="E2577" s="8" t="s">
        <v>13952</v>
      </c>
      <c r="F2577" s="17">
        <v>41560</v>
      </c>
      <c r="G2577" s="8" t="s">
        <v>13953</v>
      </c>
      <c r="H2577" s="8" t="s">
        <v>13954</v>
      </c>
      <c r="I2577" s="8" t="s">
        <v>408</v>
      </c>
      <c r="J2577" s="16" t="s">
        <v>13955</v>
      </c>
      <c r="K2577" s="2" t="s">
        <v>820</v>
      </c>
      <c r="L2577" s="8" t="s">
        <v>13956</v>
      </c>
      <c r="M2577" s="8" t="s">
        <v>27</v>
      </c>
      <c r="N2577" s="8" t="s">
        <v>13957</v>
      </c>
      <c r="O2577" s="8" t="s">
        <v>554</v>
      </c>
      <c r="P2577" s="8" t="s">
        <v>405</v>
      </c>
      <c r="Q2577" s="12" t="s">
        <v>13958</v>
      </c>
      <c r="R2577" s="8" t="s">
        <v>100</v>
      </c>
      <c r="S2577" s="7" t="s">
        <v>35</v>
      </c>
      <c r="T2577" s="6"/>
      <c r="U2577" s="8"/>
    </row>
    <row r="2578" spans="1:24" ht="13.5" customHeight="1">
      <c r="A2578" s="8" t="s">
        <v>13973</v>
      </c>
      <c r="B2578" s="16" t="s">
        <v>13974</v>
      </c>
      <c r="C2578" s="8" t="s">
        <v>115</v>
      </c>
      <c r="D2578" s="8" t="s">
        <v>37</v>
      </c>
      <c r="F2578" s="17">
        <v>41560</v>
      </c>
      <c r="G2578" s="8" t="s">
        <v>13975</v>
      </c>
      <c r="H2578" s="8" t="s">
        <v>13976</v>
      </c>
      <c r="I2578" s="8" t="s">
        <v>272</v>
      </c>
      <c r="J2578" s="16" t="s">
        <v>13977</v>
      </c>
      <c r="K2578" s="2" t="s">
        <v>6321</v>
      </c>
      <c r="L2578" s="8" t="s">
        <v>13978</v>
      </c>
      <c r="M2578" s="8" t="s">
        <v>27</v>
      </c>
      <c r="N2578" s="8" t="s">
        <v>13979</v>
      </c>
      <c r="O2578" s="8" t="s">
        <v>29</v>
      </c>
      <c r="P2578" s="8" t="s">
        <v>405</v>
      </c>
      <c r="Q2578" s="12" t="s">
        <v>13980</v>
      </c>
      <c r="R2578" s="8" t="s">
        <v>559</v>
      </c>
      <c r="S2578" s="7" t="s">
        <v>28</v>
      </c>
      <c r="T2578" s="6"/>
      <c r="U2578" s="8"/>
    </row>
    <row r="2579" spans="1:24" ht="13.5" customHeight="1">
      <c r="A2579" s="8" t="s">
        <v>13920</v>
      </c>
      <c r="B2579" s="16">
        <v>16</v>
      </c>
      <c r="C2579" s="8" t="s">
        <v>20</v>
      </c>
      <c r="D2579" s="8" t="s">
        <v>85</v>
      </c>
      <c r="E2579" s="8" t="s">
        <v>13921</v>
      </c>
      <c r="F2579" s="17">
        <v>41560</v>
      </c>
      <c r="G2579" s="8" t="s">
        <v>13922</v>
      </c>
      <c r="H2579" s="8" t="s">
        <v>6022</v>
      </c>
      <c r="I2579" s="8" t="s">
        <v>370</v>
      </c>
      <c r="J2579" s="16" t="s">
        <v>6495</v>
      </c>
      <c r="K2579" s="2" t="s">
        <v>3187</v>
      </c>
      <c r="L2579" s="8" t="s">
        <v>6024</v>
      </c>
      <c r="M2579" s="8" t="s">
        <v>27</v>
      </c>
      <c r="N2579" s="8" t="s">
        <v>13923</v>
      </c>
      <c r="O2579" s="8" t="s">
        <v>554</v>
      </c>
      <c r="P2579" s="8" t="s">
        <v>405</v>
      </c>
      <c r="Q2579" s="12" t="s">
        <v>13924</v>
      </c>
      <c r="R2579" s="8" t="s">
        <v>100</v>
      </c>
      <c r="S2579" s="7" t="s">
        <v>28</v>
      </c>
      <c r="T2579" s="6"/>
      <c r="U2579" s="8"/>
    </row>
    <row r="2580" spans="1:24" ht="13.5" customHeight="1">
      <c r="A2580" s="8" t="s">
        <v>13925</v>
      </c>
      <c r="B2580" s="16">
        <v>32</v>
      </c>
      <c r="C2580" s="8" t="s">
        <v>20</v>
      </c>
      <c r="D2580" s="8" t="s">
        <v>85</v>
      </c>
      <c r="E2580" s="8" t="s">
        <v>13926</v>
      </c>
      <c r="F2580" s="17">
        <v>41560</v>
      </c>
      <c r="G2580" s="8" t="s">
        <v>13927</v>
      </c>
      <c r="H2580" s="8" t="s">
        <v>13928</v>
      </c>
      <c r="I2580" s="8" t="s">
        <v>69</v>
      </c>
      <c r="J2580" s="16" t="s">
        <v>13929</v>
      </c>
      <c r="K2580" s="2" t="s">
        <v>13928</v>
      </c>
      <c r="L2580" s="8" t="s">
        <v>13930</v>
      </c>
      <c r="M2580" s="8" t="s">
        <v>1706</v>
      </c>
      <c r="N2580" s="8" t="s">
        <v>13931</v>
      </c>
      <c r="O2580" s="8" t="s">
        <v>1018</v>
      </c>
      <c r="P2580" s="8" t="s">
        <v>405</v>
      </c>
      <c r="Q2580" s="12" t="s">
        <v>13932</v>
      </c>
      <c r="R2580" s="8" t="s">
        <v>100</v>
      </c>
      <c r="S2580" s="7" t="s">
        <v>18</v>
      </c>
      <c r="T2580" s="6"/>
      <c r="U2580" s="8"/>
    </row>
    <row r="2581" spans="1:24" ht="13.5" customHeight="1">
      <c r="A2581" s="8" t="s">
        <v>13981</v>
      </c>
      <c r="B2581" s="16">
        <v>60</v>
      </c>
      <c r="C2581" s="8" t="s">
        <v>20</v>
      </c>
      <c r="D2581" s="8" t="s">
        <v>37</v>
      </c>
      <c r="E2581" s="8" t="s">
        <v>13982</v>
      </c>
      <c r="F2581" s="17">
        <v>41559</v>
      </c>
      <c r="G2581" s="8" t="s">
        <v>13983</v>
      </c>
      <c r="H2581" s="8" t="s">
        <v>13984</v>
      </c>
      <c r="I2581" s="8" t="s">
        <v>427</v>
      </c>
      <c r="J2581" s="16" t="s">
        <v>13985</v>
      </c>
      <c r="K2581" s="2" t="s">
        <v>1716</v>
      </c>
      <c r="L2581" s="8" t="s">
        <v>3391</v>
      </c>
      <c r="M2581" s="8" t="s">
        <v>3407</v>
      </c>
      <c r="N2581" s="8" t="s">
        <v>13986</v>
      </c>
      <c r="O2581" s="8" t="s">
        <v>1018</v>
      </c>
      <c r="P2581" s="8" t="s">
        <v>405</v>
      </c>
      <c r="Q2581" s="12" t="s">
        <v>13987</v>
      </c>
      <c r="R2581" s="8" t="s">
        <v>100</v>
      </c>
      <c r="S2581" s="7" t="s">
        <v>18</v>
      </c>
      <c r="T2581" s="6"/>
      <c r="U2581" s="8"/>
    </row>
    <row r="2582" spans="1:24" ht="13.5" customHeight="1">
      <c r="A2582" s="8" t="s">
        <v>14008</v>
      </c>
      <c r="B2582" s="16">
        <v>47</v>
      </c>
      <c r="C2582" s="8" t="s">
        <v>20</v>
      </c>
      <c r="D2582" s="8" t="s">
        <v>37</v>
      </c>
      <c r="E2582" s="8" t="s">
        <v>14009</v>
      </c>
      <c r="F2582" s="17">
        <v>41558</v>
      </c>
      <c r="G2582" s="8" t="s">
        <v>14010</v>
      </c>
      <c r="H2582" s="8" t="s">
        <v>6645</v>
      </c>
      <c r="I2582" s="8" t="s">
        <v>323</v>
      </c>
      <c r="J2582" s="16" t="s">
        <v>9671</v>
      </c>
      <c r="K2582" s="2" t="s">
        <v>2942</v>
      </c>
      <c r="L2582" s="8" t="s">
        <v>14011</v>
      </c>
      <c r="M2582" s="8" t="s">
        <v>27</v>
      </c>
      <c r="N2582" s="8" t="s">
        <v>14012</v>
      </c>
      <c r="O2582" s="8" t="s">
        <v>554</v>
      </c>
      <c r="P2582" s="8" t="s">
        <v>405</v>
      </c>
      <c r="Q2582" s="12" t="s">
        <v>14013</v>
      </c>
      <c r="R2582" s="8" t="s">
        <v>100</v>
      </c>
      <c r="S2582" s="7" t="s">
        <v>383</v>
      </c>
      <c r="T2582" s="6"/>
      <c r="U2582" s="8"/>
    </row>
    <row r="2583" spans="1:24" ht="13.5" customHeight="1">
      <c r="A2583" s="8" t="s">
        <v>14001</v>
      </c>
      <c r="B2583" s="16">
        <v>41</v>
      </c>
      <c r="C2583" s="8" t="s">
        <v>20</v>
      </c>
      <c r="D2583" s="8" t="s">
        <v>37</v>
      </c>
      <c r="E2583" s="8" t="s">
        <v>14002</v>
      </c>
      <c r="F2583" s="17">
        <v>41558</v>
      </c>
      <c r="G2583" s="8" t="s">
        <v>14003</v>
      </c>
      <c r="H2583" s="8" t="s">
        <v>1231</v>
      </c>
      <c r="I2583" s="8" t="s">
        <v>45</v>
      </c>
      <c r="J2583" s="16" t="s">
        <v>14004</v>
      </c>
      <c r="K2583" s="2" t="s">
        <v>791</v>
      </c>
      <c r="L2583" s="8" t="s">
        <v>1232</v>
      </c>
      <c r="M2583" s="8" t="s">
        <v>14005</v>
      </c>
      <c r="N2583" s="8" t="s">
        <v>14006</v>
      </c>
      <c r="O2583" s="8" t="s">
        <v>1018</v>
      </c>
      <c r="P2583" s="8" t="s">
        <v>405</v>
      </c>
      <c r="Q2583" s="12" t="s">
        <v>14007</v>
      </c>
      <c r="R2583" s="8" t="s">
        <v>972</v>
      </c>
      <c r="S2583" s="7" t="s">
        <v>18</v>
      </c>
      <c r="T2583" s="6"/>
      <c r="U2583" s="8"/>
    </row>
    <row r="2584" spans="1:24" ht="13.5" customHeight="1">
      <c r="A2584" s="8" t="s">
        <v>13994</v>
      </c>
      <c r="B2584" s="16">
        <v>40</v>
      </c>
      <c r="C2584" s="8" t="s">
        <v>20</v>
      </c>
      <c r="D2584" s="8" t="s">
        <v>37</v>
      </c>
      <c r="E2584" s="8" t="s">
        <v>13995</v>
      </c>
      <c r="F2584" s="17">
        <v>41558</v>
      </c>
      <c r="G2584" s="8" t="s">
        <v>13996</v>
      </c>
      <c r="H2584" s="8" t="s">
        <v>13997</v>
      </c>
      <c r="I2584" s="8" t="s">
        <v>435</v>
      </c>
      <c r="J2584" s="16" t="s">
        <v>13998</v>
      </c>
      <c r="K2584" s="2" t="s">
        <v>1795</v>
      </c>
      <c r="L2584" s="8" t="s">
        <v>1705</v>
      </c>
      <c r="M2584" s="8" t="s">
        <v>27</v>
      </c>
      <c r="N2584" s="8" t="s">
        <v>13999</v>
      </c>
      <c r="O2584" s="8" t="s">
        <v>554</v>
      </c>
      <c r="P2584" s="8" t="s">
        <v>405</v>
      </c>
      <c r="Q2584" s="12" t="s">
        <v>14000</v>
      </c>
      <c r="R2584" s="8" t="s">
        <v>100</v>
      </c>
      <c r="S2584" s="7" t="s">
        <v>28</v>
      </c>
      <c r="T2584" s="6"/>
      <c r="U2584" s="8"/>
    </row>
    <row r="2585" spans="1:24" ht="13.5" customHeight="1">
      <c r="A2585" s="8" t="s">
        <v>13988</v>
      </c>
      <c r="B2585" s="16">
        <v>21</v>
      </c>
      <c r="C2585" s="8" t="s">
        <v>20</v>
      </c>
      <c r="D2585" s="8" t="s">
        <v>30</v>
      </c>
      <c r="F2585" s="17">
        <v>41558</v>
      </c>
      <c r="G2585" s="8" t="s">
        <v>13989</v>
      </c>
      <c r="H2585" s="8" t="s">
        <v>4070</v>
      </c>
      <c r="I2585" s="8" t="s">
        <v>62</v>
      </c>
      <c r="J2585" s="16" t="s">
        <v>13990</v>
      </c>
      <c r="K2585" s="2" t="s">
        <v>1881</v>
      </c>
      <c r="L2585" s="8" t="s">
        <v>13991</v>
      </c>
      <c r="M2585" s="8" t="s">
        <v>27</v>
      </c>
      <c r="N2585" s="8" t="s">
        <v>13992</v>
      </c>
      <c r="O2585" s="8" t="s">
        <v>1018</v>
      </c>
      <c r="P2585" s="8" t="s">
        <v>405</v>
      </c>
      <c r="Q2585" s="12" t="s">
        <v>13993</v>
      </c>
      <c r="R2585" s="8" t="s">
        <v>559</v>
      </c>
      <c r="S2585" s="7" t="s">
        <v>28</v>
      </c>
      <c r="T2585" s="6"/>
      <c r="U2585" s="8"/>
    </row>
    <row r="2586" spans="1:24" ht="13.5" customHeight="1">
      <c r="A2586" s="8" t="s">
        <v>14023</v>
      </c>
      <c r="B2586" s="16">
        <v>28</v>
      </c>
      <c r="C2586" s="8" t="s">
        <v>20</v>
      </c>
      <c r="D2586" s="8" t="s">
        <v>37</v>
      </c>
      <c r="F2586" s="17">
        <v>41556</v>
      </c>
      <c r="G2586" s="8" t="s">
        <v>14024</v>
      </c>
      <c r="H2586" s="8" t="s">
        <v>14025</v>
      </c>
      <c r="I2586" s="8" t="s">
        <v>4424</v>
      </c>
      <c r="J2586" s="16" t="s">
        <v>14026</v>
      </c>
      <c r="K2586" s="2" t="s">
        <v>7068</v>
      </c>
      <c r="L2586" s="8" t="s">
        <v>4427</v>
      </c>
      <c r="M2586" s="8" t="s">
        <v>27</v>
      </c>
      <c r="N2586" s="8" t="s">
        <v>14027</v>
      </c>
      <c r="O2586" s="8" t="s">
        <v>554</v>
      </c>
      <c r="P2586" s="8" t="s">
        <v>405</v>
      </c>
      <c r="Q2586" s="12" t="str">
        <f>HYPERLINK("http://bangordailynews.com/2013/10/10/news/bangor/police-identify-2-dead-in-old-town-stabbing-standoff/","http://bangordailynews.com/2013/10/10/news/bangor/police-identify-2-dead-in-old-town-stabbing-standoff/")</f>
        <v>http://bangordailynews.com/2013/10/10/news/bangor/police-identify-2-dead-in-old-town-stabbing-standoff/</v>
      </c>
      <c r="R2586" s="8" t="s">
        <v>100</v>
      </c>
      <c r="S2586" s="7" t="s">
        <v>28</v>
      </c>
      <c r="T2586" s="6"/>
      <c r="U2586" s="8"/>
    </row>
    <row r="2587" spans="1:24" ht="13.5" customHeight="1">
      <c r="A2587" s="8" t="s">
        <v>14014</v>
      </c>
      <c r="B2587" s="16">
        <v>43</v>
      </c>
      <c r="C2587" s="8" t="s">
        <v>20</v>
      </c>
      <c r="D2587" s="8" t="s">
        <v>37</v>
      </c>
      <c r="E2587" s="8" t="s">
        <v>14015</v>
      </c>
      <c r="F2587" s="17">
        <v>41556</v>
      </c>
      <c r="G2587" s="8" t="s">
        <v>14016</v>
      </c>
      <c r="H2587" s="8" t="s">
        <v>14017</v>
      </c>
      <c r="I2587" s="8" t="s">
        <v>370</v>
      </c>
      <c r="J2587" s="16" t="s">
        <v>14018</v>
      </c>
      <c r="K2587" s="2" t="s">
        <v>14019</v>
      </c>
      <c r="L2587" s="8" t="s">
        <v>14020</v>
      </c>
      <c r="M2587" s="8" t="s">
        <v>27</v>
      </c>
      <c r="N2587" s="8" t="s">
        <v>14021</v>
      </c>
      <c r="O2587" s="8" t="s">
        <v>1018</v>
      </c>
      <c r="P2587" s="8" t="s">
        <v>405</v>
      </c>
      <c r="Q2587" s="12" t="s">
        <v>14022</v>
      </c>
      <c r="R2587" s="8" t="s">
        <v>100</v>
      </c>
      <c r="S2587" s="7" t="s">
        <v>28</v>
      </c>
      <c r="T2587" s="6"/>
      <c r="U2587" s="8"/>
    </row>
    <row r="2588" spans="1:24" ht="13.5" customHeight="1">
      <c r="A2588" s="8" t="s">
        <v>14028</v>
      </c>
      <c r="B2588" s="16">
        <v>55</v>
      </c>
      <c r="C2588" s="8" t="s">
        <v>20</v>
      </c>
      <c r="D2588" s="8" t="s">
        <v>37</v>
      </c>
      <c r="E2588" s="8" t="s">
        <v>14029</v>
      </c>
      <c r="F2588" s="17">
        <v>41556</v>
      </c>
      <c r="G2588" s="8" t="s">
        <v>14030</v>
      </c>
      <c r="H2588" s="8" t="s">
        <v>7327</v>
      </c>
      <c r="I2588" s="8" t="s">
        <v>152</v>
      </c>
      <c r="J2588" s="16" t="s">
        <v>14031</v>
      </c>
      <c r="K2588" s="2" t="s">
        <v>14032</v>
      </c>
      <c r="L2588" s="8" t="s">
        <v>7329</v>
      </c>
      <c r="M2588" s="8" t="s">
        <v>27</v>
      </c>
      <c r="N2588" s="8" t="s">
        <v>14033</v>
      </c>
      <c r="O2588" s="8" t="s">
        <v>1018</v>
      </c>
      <c r="P2588" s="8" t="s">
        <v>405</v>
      </c>
      <c r="Q2588" s="12" t="s">
        <v>14034</v>
      </c>
      <c r="R2588" s="8" t="s">
        <v>29</v>
      </c>
      <c r="S2588" s="7" t="s">
        <v>28</v>
      </c>
      <c r="T2588" s="6"/>
      <c r="U2588" s="8"/>
      <c r="V2588" s="8"/>
      <c r="W2588" s="8"/>
      <c r="X2588" s="8"/>
    </row>
    <row r="2589" spans="1:24" ht="13.5" customHeight="1">
      <c r="A2589" s="8" t="s">
        <v>14035</v>
      </c>
      <c r="B2589" s="16">
        <v>43</v>
      </c>
      <c r="C2589" s="8" t="s">
        <v>20</v>
      </c>
      <c r="D2589" s="8" t="s">
        <v>85</v>
      </c>
      <c r="E2589" s="8" t="s">
        <v>14036</v>
      </c>
      <c r="F2589" s="17">
        <v>41555</v>
      </c>
      <c r="G2589" s="8" t="s">
        <v>14037</v>
      </c>
      <c r="H2589" s="8" t="s">
        <v>14038</v>
      </c>
      <c r="I2589" s="8" t="s">
        <v>175</v>
      </c>
      <c r="J2589" s="16" t="s">
        <v>14039</v>
      </c>
      <c r="K2589" s="2" t="s">
        <v>14040</v>
      </c>
      <c r="L2589" s="8" t="s">
        <v>14041</v>
      </c>
      <c r="M2589" s="8" t="s">
        <v>27</v>
      </c>
      <c r="N2589" s="8" t="s">
        <v>14042</v>
      </c>
      <c r="O2589" s="8" t="s">
        <v>554</v>
      </c>
      <c r="P2589" s="8" t="s">
        <v>405</v>
      </c>
      <c r="Q2589" s="12" t="s">
        <v>14043</v>
      </c>
      <c r="R2589" s="8" t="s">
        <v>29</v>
      </c>
      <c r="S2589" s="7" t="s">
        <v>28</v>
      </c>
      <c r="T2589" s="6"/>
      <c r="U2589" s="8"/>
    </row>
    <row r="2590" spans="1:24" ht="13.5" customHeight="1">
      <c r="A2590" s="8" t="s">
        <v>14044</v>
      </c>
      <c r="B2590" s="16">
        <v>44</v>
      </c>
      <c r="C2590" s="8" t="s">
        <v>20</v>
      </c>
      <c r="D2590" s="8" t="s">
        <v>37</v>
      </c>
      <c r="E2590" s="8" t="s">
        <v>14045</v>
      </c>
      <c r="F2590" s="17">
        <v>41555</v>
      </c>
      <c r="G2590" s="8" t="s">
        <v>14046</v>
      </c>
      <c r="H2590" s="8" t="s">
        <v>1636</v>
      </c>
      <c r="I2590" s="8" t="s">
        <v>73</v>
      </c>
      <c r="J2590" s="16" t="s">
        <v>14047</v>
      </c>
      <c r="K2590" s="2" t="s">
        <v>1638</v>
      </c>
      <c r="L2590" s="8" t="s">
        <v>524</v>
      </c>
      <c r="M2590" s="8" t="s">
        <v>27</v>
      </c>
      <c r="N2590" s="8" t="s">
        <v>14048</v>
      </c>
      <c r="O2590" s="8" t="s">
        <v>1018</v>
      </c>
      <c r="P2590" s="8" t="s">
        <v>405</v>
      </c>
      <c r="Q2590" s="12" t="s">
        <v>14049</v>
      </c>
      <c r="R2590" s="8" t="s">
        <v>100</v>
      </c>
      <c r="S2590" s="7" t="s">
        <v>28</v>
      </c>
      <c r="T2590" s="6"/>
      <c r="U2590" s="8"/>
    </row>
    <row r="2591" spans="1:24" ht="13.5" customHeight="1">
      <c r="A2591" s="8" t="s">
        <v>14055</v>
      </c>
      <c r="B2591" s="16">
        <v>53</v>
      </c>
      <c r="C2591" s="8" t="s">
        <v>20</v>
      </c>
      <c r="D2591" s="8" t="s">
        <v>37</v>
      </c>
      <c r="F2591" s="17">
        <v>41553</v>
      </c>
      <c r="G2591" s="8" t="s">
        <v>14056</v>
      </c>
      <c r="H2591" s="8" t="s">
        <v>14057</v>
      </c>
      <c r="I2591" s="8" t="s">
        <v>45</v>
      </c>
      <c r="J2591" s="16" t="s">
        <v>14058</v>
      </c>
      <c r="K2591" s="2" t="s">
        <v>98</v>
      </c>
      <c r="L2591" s="8" t="s">
        <v>5043</v>
      </c>
      <c r="M2591" s="8" t="s">
        <v>27</v>
      </c>
      <c r="N2591" s="8" t="s">
        <v>14059</v>
      </c>
      <c r="O2591" s="8" t="s">
        <v>4742</v>
      </c>
      <c r="P2591" s="8" t="s">
        <v>405</v>
      </c>
      <c r="Q2591" s="12" t="s">
        <v>14060</v>
      </c>
      <c r="R2591" s="8" t="s">
        <v>559</v>
      </c>
      <c r="S2591" s="7" t="s">
        <v>28</v>
      </c>
      <c r="T2591" s="6"/>
      <c r="U2591" s="8"/>
    </row>
    <row r="2592" spans="1:24" ht="13.5" customHeight="1">
      <c r="A2592" s="8" t="s">
        <v>14050</v>
      </c>
      <c r="B2592" s="16">
        <v>49</v>
      </c>
      <c r="C2592" s="8" t="s">
        <v>20</v>
      </c>
      <c r="D2592" s="8" t="s">
        <v>85</v>
      </c>
      <c r="F2592" s="17">
        <v>41553</v>
      </c>
      <c r="G2592" s="8" t="s">
        <v>14051</v>
      </c>
      <c r="H2592" s="8" t="s">
        <v>98</v>
      </c>
      <c r="I2592" s="8" t="s">
        <v>45</v>
      </c>
      <c r="J2592" s="16" t="s">
        <v>14052</v>
      </c>
      <c r="K2592" s="2" t="s">
        <v>98</v>
      </c>
      <c r="L2592" s="8" t="s">
        <v>5043</v>
      </c>
      <c r="M2592" s="8" t="s">
        <v>27</v>
      </c>
      <c r="N2592" s="8" t="s">
        <v>14053</v>
      </c>
      <c r="O2592" s="8" t="s">
        <v>4742</v>
      </c>
      <c r="P2592" s="8" t="s">
        <v>405</v>
      </c>
      <c r="Q2592" s="12" t="s">
        <v>14054</v>
      </c>
      <c r="R2592" s="8" t="s">
        <v>100</v>
      </c>
      <c r="S2592" s="7" t="s">
        <v>18</v>
      </c>
      <c r="T2592" s="6"/>
      <c r="U2592" s="8"/>
    </row>
    <row r="2593" spans="1:34" ht="13.5" customHeight="1">
      <c r="A2593" s="8" t="s">
        <v>14078</v>
      </c>
      <c r="B2593" s="16">
        <v>39</v>
      </c>
      <c r="C2593" s="8" t="s">
        <v>20</v>
      </c>
      <c r="D2593" s="8" t="s">
        <v>37</v>
      </c>
      <c r="F2593" s="17">
        <v>41552</v>
      </c>
      <c r="G2593" s="8" t="s">
        <v>14079</v>
      </c>
      <c r="H2593" s="8" t="s">
        <v>14080</v>
      </c>
      <c r="I2593" s="8" t="s">
        <v>986</v>
      </c>
      <c r="J2593" s="16" t="s">
        <v>14081</v>
      </c>
      <c r="K2593" s="2" t="s">
        <v>2540</v>
      </c>
      <c r="L2593" s="8" t="s">
        <v>14082</v>
      </c>
      <c r="M2593" s="8" t="s">
        <v>27</v>
      </c>
      <c r="N2593" s="8" t="s">
        <v>14083</v>
      </c>
      <c r="O2593" s="8" t="s">
        <v>4742</v>
      </c>
      <c r="P2593" s="8" t="s">
        <v>405</v>
      </c>
      <c r="Q2593" s="12" t="s">
        <v>14084</v>
      </c>
      <c r="R2593" s="8" t="s">
        <v>100</v>
      </c>
      <c r="S2593" s="7" t="s">
        <v>28</v>
      </c>
      <c r="T2593" s="6"/>
      <c r="U2593" s="8"/>
    </row>
    <row r="2594" spans="1:34" ht="13.5" customHeight="1">
      <c r="A2594" s="8" t="s">
        <v>14068</v>
      </c>
      <c r="B2594" s="16">
        <v>25</v>
      </c>
      <c r="C2594" s="8" t="s">
        <v>20</v>
      </c>
      <c r="D2594" s="8" t="s">
        <v>85</v>
      </c>
      <c r="E2594" s="8" t="s">
        <v>14069</v>
      </c>
      <c r="F2594" s="17">
        <v>41552</v>
      </c>
      <c r="G2594" s="8" t="s">
        <v>14070</v>
      </c>
      <c r="H2594" s="8" t="s">
        <v>717</v>
      </c>
      <c r="I2594" s="8" t="s">
        <v>435</v>
      </c>
      <c r="J2594" s="16" t="s">
        <v>4802</v>
      </c>
      <c r="K2594" s="2" t="s">
        <v>717</v>
      </c>
      <c r="L2594" s="8" t="s">
        <v>4572</v>
      </c>
      <c r="M2594" s="8" t="s">
        <v>27</v>
      </c>
      <c r="N2594" s="8" t="s">
        <v>14071</v>
      </c>
      <c r="O2594" s="8" t="s">
        <v>1018</v>
      </c>
      <c r="P2594" s="8" t="s">
        <v>405</v>
      </c>
      <c r="Q2594" s="12" t="s">
        <v>14072</v>
      </c>
      <c r="R2594" s="8" t="s">
        <v>100</v>
      </c>
      <c r="S2594" s="7" t="s">
        <v>28</v>
      </c>
      <c r="T2594" s="6"/>
      <c r="U2594" s="8"/>
    </row>
    <row r="2595" spans="1:34" ht="13.5" customHeight="1">
      <c r="A2595" s="8" t="s">
        <v>14090</v>
      </c>
      <c r="B2595" s="16">
        <v>24</v>
      </c>
      <c r="C2595" s="8" t="s">
        <v>20</v>
      </c>
      <c r="D2595" s="8" t="s">
        <v>37</v>
      </c>
      <c r="E2595" s="8" t="s">
        <v>14091</v>
      </c>
      <c r="F2595" s="17">
        <v>41552</v>
      </c>
      <c r="G2595" s="8" t="s">
        <v>14092</v>
      </c>
      <c r="H2595" s="8" t="s">
        <v>12738</v>
      </c>
      <c r="I2595" s="8" t="s">
        <v>306</v>
      </c>
      <c r="J2595" s="16" t="s">
        <v>14093</v>
      </c>
      <c r="K2595" s="2" t="s">
        <v>14094</v>
      </c>
      <c r="L2595" s="8" t="s">
        <v>12740</v>
      </c>
      <c r="M2595" s="8" t="s">
        <v>27</v>
      </c>
      <c r="N2595" s="8" t="s">
        <v>14095</v>
      </c>
      <c r="O2595" s="8" t="s">
        <v>554</v>
      </c>
      <c r="P2595" s="8" t="s">
        <v>405</v>
      </c>
      <c r="Q2595" s="12" t="s">
        <v>14096</v>
      </c>
      <c r="R2595" s="8" t="s">
        <v>100</v>
      </c>
      <c r="S2595" s="7" t="s">
        <v>28</v>
      </c>
      <c r="T2595" s="6"/>
      <c r="U2595" s="8"/>
    </row>
    <row r="2596" spans="1:34" ht="13.5" customHeight="1">
      <c r="A2596" s="8" t="s">
        <v>14061</v>
      </c>
      <c r="B2596" s="16">
        <v>28</v>
      </c>
      <c r="C2596" s="8" t="s">
        <v>20</v>
      </c>
      <c r="D2596" s="8" t="s">
        <v>85</v>
      </c>
      <c r="E2596" s="8" t="s">
        <v>14062</v>
      </c>
      <c r="F2596" s="17">
        <v>41552</v>
      </c>
      <c r="G2596" s="8" t="s">
        <v>14063</v>
      </c>
      <c r="H2596" s="8" t="s">
        <v>14064</v>
      </c>
      <c r="I2596" s="8" t="s">
        <v>44</v>
      </c>
      <c r="J2596" s="16" t="s">
        <v>14065</v>
      </c>
      <c r="K2596" s="2" t="s">
        <v>88</v>
      </c>
      <c r="L2596" s="8" t="s">
        <v>14066</v>
      </c>
      <c r="M2596" s="8" t="s">
        <v>27</v>
      </c>
      <c r="N2596" s="8" t="s">
        <v>14067</v>
      </c>
      <c r="O2596" s="8" t="s">
        <v>4742</v>
      </c>
      <c r="P2596" s="8" t="s">
        <v>405</v>
      </c>
      <c r="Q2596" s="12"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2596" s="8" t="s">
        <v>100</v>
      </c>
      <c r="S2596" s="7" t="s">
        <v>28</v>
      </c>
      <c r="T2596" s="6"/>
      <c r="U2596" s="8"/>
    </row>
    <row r="2597" spans="1:34" ht="13.5" customHeight="1">
      <c r="A2597" s="8" t="s">
        <v>14085</v>
      </c>
      <c r="B2597" s="16">
        <v>33</v>
      </c>
      <c r="C2597" s="8" t="s">
        <v>20</v>
      </c>
      <c r="D2597" s="8" t="s">
        <v>37</v>
      </c>
      <c r="E2597" s="8" t="s">
        <v>14086</v>
      </c>
      <c r="F2597" s="17">
        <v>41552</v>
      </c>
      <c r="G2597" s="8" t="s">
        <v>14087</v>
      </c>
      <c r="H2597" s="8" t="s">
        <v>7627</v>
      </c>
      <c r="I2597" s="8" t="s">
        <v>45</v>
      </c>
      <c r="J2597" s="16">
        <v>96001</v>
      </c>
      <c r="K2597" s="2" t="s">
        <v>7629</v>
      </c>
      <c r="L2597" s="8" t="s">
        <v>7630</v>
      </c>
      <c r="M2597" s="8" t="s">
        <v>3189</v>
      </c>
      <c r="N2597" s="8" t="s">
        <v>14088</v>
      </c>
      <c r="O2597" s="8" t="s">
        <v>29</v>
      </c>
      <c r="P2597" s="8" t="s">
        <v>405</v>
      </c>
      <c r="Q2597" s="12" t="s">
        <v>14089</v>
      </c>
      <c r="R2597" s="8" t="s">
        <v>972</v>
      </c>
      <c r="S2597" s="7" t="s">
        <v>18</v>
      </c>
      <c r="T2597" s="6"/>
      <c r="U2597" s="8"/>
    </row>
    <row r="2598" spans="1:34" ht="13.5" customHeight="1">
      <c r="A2598" s="8" t="s">
        <v>14073</v>
      </c>
      <c r="B2598" s="16">
        <v>24</v>
      </c>
      <c r="C2598" s="8" t="s">
        <v>20</v>
      </c>
      <c r="D2598" s="8" t="s">
        <v>37</v>
      </c>
      <c r="F2598" s="17">
        <v>41552</v>
      </c>
      <c r="G2598" s="8" t="s">
        <v>14074</v>
      </c>
      <c r="H2598" s="8" t="s">
        <v>8697</v>
      </c>
      <c r="I2598" s="8" t="s">
        <v>69</v>
      </c>
      <c r="J2598" s="16" t="s">
        <v>14075</v>
      </c>
      <c r="K2598" s="2" t="s">
        <v>4113</v>
      </c>
      <c r="L2598" s="8" t="s">
        <v>12991</v>
      </c>
      <c r="M2598" s="8" t="s">
        <v>14076</v>
      </c>
      <c r="P2598" s="8" t="s">
        <v>405</v>
      </c>
      <c r="Q2598" s="12" t="s">
        <v>14077</v>
      </c>
      <c r="S2598" s="7" t="s">
        <v>28</v>
      </c>
      <c r="T2598" s="6"/>
      <c r="U2598" s="8"/>
    </row>
    <row r="2599" spans="1:34" ht="13.5" customHeight="1">
      <c r="A2599" s="8" t="s">
        <v>14107</v>
      </c>
      <c r="B2599" s="16">
        <v>51</v>
      </c>
      <c r="C2599" s="8" t="s">
        <v>20</v>
      </c>
      <c r="D2599" s="8" t="s">
        <v>37</v>
      </c>
      <c r="E2599" s="8" t="s">
        <v>14108</v>
      </c>
      <c r="F2599" s="17">
        <v>41551</v>
      </c>
      <c r="G2599" s="8" t="s">
        <v>14109</v>
      </c>
      <c r="H2599" s="8" t="s">
        <v>762</v>
      </c>
      <c r="I2599" s="8" t="s">
        <v>427</v>
      </c>
      <c r="J2599" s="16" t="s">
        <v>14110</v>
      </c>
      <c r="K2599" s="2" t="s">
        <v>882</v>
      </c>
      <c r="L2599" s="8" t="s">
        <v>586</v>
      </c>
      <c r="M2599" s="8" t="s">
        <v>383</v>
      </c>
      <c r="N2599" s="8" t="s">
        <v>14111</v>
      </c>
      <c r="O2599" s="8" t="s">
        <v>1170</v>
      </c>
      <c r="P2599" s="8" t="s">
        <v>1171</v>
      </c>
      <c r="Q2599" s="12" t="s">
        <v>14112</v>
      </c>
      <c r="R2599" s="8" t="s">
        <v>100</v>
      </c>
      <c r="S2599" s="7" t="s">
        <v>18</v>
      </c>
      <c r="T2599" s="6"/>
      <c r="U2599" s="8"/>
    </row>
    <row r="2600" spans="1:34" ht="13.5" customHeight="1">
      <c r="A2600" s="8" t="s">
        <v>14103</v>
      </c>
      <c r="B2600" s="16">
        <v>43</v>
      </c>
      <c r="C2600" s="8" t="s">
        <v>20</v>
      </c>
      <c r="D2600" s="8" t="s">
        <v>85</v>
      </c>
      <c r="F2600" s="17">
        <v>41551</v>
      </c>
      <c r="G2600" s="8" t="s">
        <v>14104</v>
      </c>
      <c r="H2600" s="8" t="s">
        <v>14038</v>
      </c>
      <c r="I2600" s="8" t="s">
        <v>175</v>
      </c>
      <c r="J2600" s="16" t="s">
        <v>14039</v>
      </c>
      <c r="K2600" s="2" t="s">
        <v>14040</v>
      </c>
      <c r="L2600" s="8" t="s">
        <v>14041</v>
      </c>
      <c r="M2600" s="8" t="s">
        <v>27</v>
      </c>
      <c r="N2600" s="8" t="s">
        <v>14105</v>
      </c>
      <c r="O2600" s="8" t="s">
        <v>554</v>
      </c>
      <c r="P2600" s="8" t="s">
        <v>405</v>
      </c>
      <c r="Q2600" s="12" t="s">
        <v>14106</v>
      </c>
      <c r="R2600" s="8" t="s">
        <v>972</v>
      </c>
      <c r="S2600" s="7" t="s">
        <v>18</v>
      </c>
      <c r="T2600" s="6"/>
      <c r="U2600" s="8"/>
    </row>
    <row r="2601" spans="1:34" ht="13.5" customHeight="1">
      <c r="A2601" s="8" t="s">
        <v>14113</v>
      </c>
      <c r="B2601" s="16">
        <v>21</v>
      </c>
      <c r="C2601" s="8" t="s">
        <v>20</v>
      </c>
      <c r="D2601" s="8" t="s">
        <v>37</v>
      </c>
      <c r="F2601" s="17">
        <v>41551</v>
      </c>
      <c r="G2601" s="8" t="s">
        <v>14114</v>
      </c>
      <c r="H2601" s="8" t="s">
        <v>12481</v>
      </c>
      <c r="I2601" s="8" t="s">
        <v>442</v>
      </c>
      <c r="J2601" s="16" t="s">
        <v>14115</v>
      </c>
      <c r="K2601" s="2" t="s">
        <v>1115</v>
      </c>
      <c r="L2601" s="8" t="s">
        <v>14116</v>
      </c>
      <c r="M2601" s="8" t="s">
        <v>27</v>
      </c>
      <c r="N2601" s="8" t="s">
        <v>14117</v>
      </c>
      <c r="O2601" s="8" t="s">
        <v>554</v>
      </c>
      <c r="P2601" s="8" t="s">
        <v>405</v>
      </c>
      <c r="Q2601" s="12" t="s">
        <v>14118</v>
      </c>
      <c r="R2601" s="8" t="s">
        <v>559</v>
      </c>
      <c r="S2601" s="7" t="s">
        <v>28</v>
      </c>
      <c r="T2601" s="6"/>
      <c r="U2601" s="8"/>
    </row>
    <row r="2602" spans="1:34" ht="13.5" customHeight="1">
      <c r="A2602" s="8" t="s">
        <v>14097</v>
      </c>
      <c r="B2602" s="16">
        <v>29</v>
      </c>
      <c r="C2602" s="8" t="s">
        <v>20</v>
      </c>
      <c r="D2602" s="8" t="s">
        <v>85</v>
      </c>
      <c r="E2602" s="8" t="s">
        <v>14098</v>
      </c>
      <c r="F2602" s="17">
        <v>41551</v>
      </c>
      <c r="G2602" s="8" t="s">
        <v>14099</v>
      </c>
      <c r="H2602" s="8" t="s">
        <v>992</v>
      </c>
      <c r="I2602" s="8" t="s">
        <v>69</v>
      </c>
      <c r="J2602" s="16" t="s">
        <v>14100</v>
      </c>
      <c r="K2602" s="2" t="s">
        <v>105</v>
      </c>
      <c r="L2602" s="8" t="s">
        <v>3492</v>
      </c>
      <c r="M2602" s="8" t="s">
        <v>1706</v>
      </c>
      <c r="N2602" s="8" t="s">
        <v>14101</v>
      </c>
      <c r="O2602" s="8" t="s">
        <v>4742</v>
      </c>
      <c r="P2602" s="8" t="s">
        <v>405</v>
      </c>
      <c r="Q2602" s="12" t="s">
        <v>14102</v>
      </c>
      <c r="R2602" s="8" t="s">
        <v>100</v>
      </c>
      <c r="S2602" s="7" t="s">
        <v>18</v>
      </c>
      <c r="T2602" s="6"/>
      <c r="U2602" s="8"/>
    </row>
    <row r="2603" spans="1:34" ht="13.5" customHeight="1">
      <c r="A2603" s="8" t="s">
        <v>14126</v>
      </c>
      <c r="B2603" s="16">
        <v>49</v>
      </c>
      <c r="C2603" s="8" t="s">
        <v>20</v>
      </c>
      <c r="D2603" s="8" t="s">
        <v>30</v>
      </c>
      <c r="F2603" s="17">
        <v>41550</v>
      </c>
      <c r="G2603" s="8" t="s">
        <v>14127</v>
      </c>
      <c r="H2603" s="8" t="s">
        <v>12791</v>
      </c>
      <c r="I2603" s="8" t="s">
        <v>408</v>
      </c>
      <c r="J2603" s="16" t="s">
        <v>12792</v>
      </c>
      <c r="K2603" s="2" t="s">
        <v>1651</v>
      </c>
      <c r="L2603" s="8" t="s">
        <v>12793</v>
      </c>
      <c r="M2603" s="8" t="s">
        <v>383</v>
      </c>
      <c r="N2603" s="8" t="s">
        <v>14128</v>
      </c>
      <c r="O2603" s="8" t="s">
        <v>554</v>
      </c>
      <c r="P2603" s="8" t="s">
        <v>405</v>
      </c>
      <c r="Q2603" s="12" t="s">
        <v>14129</v>
      </c>
      <c r="R2603" s="8" t="s">
        <v>972</v>
      </c>
      <c r="S2603" s="7" t="s">
        <v>18</v>
      </c>
      <c r="T2603" s="6"/>
      <c r="U2603" s="8"/>
    </row>
    <row r="2604" spans="1:34" ht="13.5" customHeight="1">
      <c r="A2604" s="8" t="s">
        <v>14119</v>
      </c>
      <c r="B2604" s="16" t="s">
        <v>14120</v>
      </c>
      <c r="C2604" s="8" t="s">
        <v>115</v>
      </c>
      <c r="D2604" s="8" t="s">
        <v>85</v>
      </c>
      <c r="E2604" s="8" t="s">
        <v>14121</v>
      </c>
      <c r="F2604" s="17">
        <v>41550</v>
      </c>
      <c r="G2604" s="8" t="s">
        <v>14122</v>
      </c>
      <c r="H2604" s="8" t="s">
        <v>119</v>
      </c>
      <c r="I2604" s="8" t="s">
        <v>3709</v>
      </c>
      <c r="J2604" s="16" t="s">
        <v>14123</v>
      </c>
      <c r="K2604" s="2" t="s">
        <v>3711</v>
      </c>
      <c r="L2604" s="8" t="s">
        <v>19950</v>
      </c>
      <c r="M2604" s="8" t="s">
        <v>27</v>
      </c>
      <c r="N2604" s="8" t="s">
        <v>14124</v>
      </c>
      <c r="O2604" s="8" t="s">
        <v>29</v>
      </c>
      <c r="P2604" s="8" t="s">
        <v>405</v>
      </c>
      <c r="Q2604" s="12" t="s">
        <v>14125</v>
      </c>
      <c r="R2604" s="8" t="s">
        <v>100</v>
      </c>
      <c r="S2604" s="7" t="s">
        <v>383</v>
      </c>
      <c r="T2604" s="6"/>
      <c r="U2604" s="8"/>
    </row>
    <row r="2605" spans="1:34" ht="13.5" customHeight="1">
      <c r="A2605" s="8" t="s">
        <v>14130</v>
      </c>
      <c r="B2605" s="16">
        <v>37</v>
      </c>
      <c r="C2605" s="8" t="s">
        <v>20</v>
      </c>
      <c r="D2605" s="8" t="s">
        <v>37</v>
      </c>
      <c r="E2605" s="8" t="s">
        <v>14131</v>
      </c>
      <c r="F2605" s="17">
        <v>41550</v>
      </c>
      <c r="G2605" s="8" t="s">
        <v>14132</v>
      </c>
      <c r="H2605" s="8" t="s">
        <v>14133</v>
      </c>
      <c r="I2605" s="8" t="s">
        <v>986</v>
      </c>
      <c r="J2605" s="16" t="s">
        <v>14134</v>
      </c>
      <c r="K2605" s="2" t="s">
        <v>5008</v>
      </c>
      <c r="L2605" s="8" t="s">
        <v>6561</v>
      </c>
      <c r="M2605" s="8" t="s">
        <v>27</v>
      </c>
      <c r="N2605" s="8" t="s">
        <v>14135</v>
      </c>
      <c r="O2605" s="8" t="s">
        <v>554</v>
      </c>
      <c r="P2605" s="8" t="s">
        <v>405</v>
      </c>
      <c r="Q2605" s="12" t="s">
        <v>14136</v>
      </c>
      <c r="R2605" s="8" t="s">
        <v>559</v>
      </c>
      <c r="S2605" s="7" t="s">
        <v>28</v>
      </c>
      <c r="T2605" s="6"/>
      <c r="U2605" s="8"/>
      <c r="Y2605" s="8"/>
      <c r="Z2605" s="8"/>
      <c r="AA2605" s="8"/>
      <c r="AB2605" s="8"/>
      <c r="AC2605" s="8"/>
      <c r="AD2605" s="8"/>
      <c r="AE2605" s="8"/>
      <c r="AF2605" s="8"/>
      <c r="AG2605" s="8"/>
      <c r="AH2605" s="8"/>
    </row>
    <row r="2606" spans="1:34" ht="13.5" customHeight="1">
      <c r="A2606" s="8" t="s">
        <v>14143</v>
      </c>
      <c r="B2606" s="16">
        <v>20</v>
      </c>
      <c r="C2606" s="8" t="s">
        <v>20</v>
      </c>
      <c r="D2606" s="8" t="s">
        <v>37</v>
      </c>
      <c r="E2606" s="8" t="s">
        <v>14144</v>
      </c>
      <c r="F2606" s="17">
        <v>41549</v>
      </c>
      <c r="G2606" s="8" t="s">
        <v>14145</v>
      </c>
      <c r="H2606" s="8" t="s">
        <v>14146</v>
      </c>
      <c r="I2606" s="8" t="s">
        <v>408</v>
      </c>
      <c r="J2606" s="16" t="s">
        <v>14147</v>
      </c>
      <c r="K2606" s="2" t="s">
        <v>5585</v>
      </c>
      <c r="L2606" s="8" t="s">
        <v>9453</v>
      </c>
      <c r="M2606" s="8" t="s">
        <v>383</v>
      </c>
      <c r="N2606" s="8" t="s">
        <v>14148</v>
      </c>
      <c r="O2606" s="8" t="s">
        <v>1018</v>
      </c>
      <c r="P2606" s="8" t="s">
        <v>405</v>
      </c>
      <c r="Q2606" s="12" t="s">
        <v>14149</v>
      </c>
      <c r="R2606" s="8" t="s">
        <v>100</v>
      </c>
      <c r="S2606" s="7" t="s">
        <v>383</v>
      </c>
      <c r="T2606" s="6"/>
      <c r="U2606" s="8"/>
    </row>
    <row r="2607" spans="1:34" ht="13.5" customHeight="1">
      <c r="A2607" s="8" t="s">
        <v>14137</v>
      </c>
      <c r="B2607" s="16">
        <v>39</v>
      </c>
      <c r="C2607" s="8" t="s">
        <v>20</v>
      </c>
      <c r="D2607" s="8" t="s">
        <v>85</v>
      </c>
      <c r="E2607" s="8" t="s">
        <v>14138</v>
      </c>
      <c r="F2607" s="17">
        <v>41549</v>
      </c>
      <c r="G2607" s="8" t="s">
        <v>14139</v>
      </c>
      <c r="H2607" s="8" t="s">
        <v>14140</v>
      </c>
      <c r="I2607" s="8" t="s">
        <v>52</v>
      </c>
      <c r="J2607" s="16" t="s">
        <v>14141</v>
      </c>
      <c r="K2607" s="2" t="s">
        <v>2403</v>
      </c>
      <c r="L2607" s="8" t="s">
        <v>767</v>
      </c>
      <c r="M2607" s="8" t="s">
        <v>27</v>
      </c>
      <c r="N2607" s="8" t="s">
        <v>14142</v>
      </c>
      <c r="O2607" s="8" t="s">
        <v>1018</v>
      </c>
      <c r="P2607" s="8" t="s">
        <v>405</v>
      </c>
      <c r="Q2607" s="12" t="str">
        <f>HYPERLINK("http://pgpolice.blogspot.com/2013/10/pgpd-investigates-police-involved.html","http://pgpolice.blogspot.com/2013/10/pgpd-investigates-police-involved.html")</f>
        <v>http://pgpolice.blogspot.com/2013/10/pgpd-investigates-police-involved.html</v>
      </c>
      <c r="R2607" s="8" t="s">
        <v>100</v>
      </c>
      <c r="S2607" s="7" t="s">
        <v>18</v>
      </c>
      <c r="T2607" s="6"/>
      <c r="U2607" s="8"/>
    </row>
    <row r="2608" spans="1:34" ht="13.5" customHeight="1">
      <c r="A2608" s="8" t="s">
        <v>14154</v>
      </c>
      <c r="B2608" s="16">
        <v>35</v>
      </c>
      <c r="C2608" s="8" t="s">
        <v>20</v>
      </c>
      <c r="D2608" s="8" t="s">
        <v>48</v>
      </c>
      <c r="F2608" s="17">
        <v>41548</v>
      </c>
      <c r="H2608" s="8" t="s">
        <v>5100</v>
      </c>
      <c r="I2608" s="8" t="s">
        <v>73</v>
      </c>
      <c r="K2608" s="2" t="s">
        <v>4991</v>
      </c>
      <c r="L2608" s="8" t="s">
        <v>5102</v>
      </c>
      <c r="M2608" s="8" t="s">
        <v>27</v>
      </c>
      <c r="P2608" s="8" t="s">
        <v>405</v>
      </c>
      <c r="Q2608" s="12" t="s">
        <v>14155</v>
      </c>
      <c r="S2608" s="7" t="s">
        <v>28</v>
      </c>
      <c r="T2608" s="6"/>
      <c r="U2608" s="8"/>
    </row>
    <row r="2609" spans="1:34" ht="13.5" customHeight="1">
      <c r="A2609" s="8" t="s">
        <v>14150</v>
      </c>
      <c r="B2609" s="16">
        <v>31</v>
      </c>
      <c r="C2609" s="8" t="s">
        <v>115</v>
      </c>
      <c r="D2609" s="8" t="s">
        <v>48</v>
      </c>
      <c r="F2609" s="17">
        <v>41548</v>
      </c>
      <c r="G2609" s="8" t="s">
        <v>14151</v>
      </c>
      <c r="H2609" s="8" t="s">
        <v>686</v>
      </c>
      <c r="I2609" s="8" t="s">
        <v>45</v>
      </c>
      <c r="J2609" s="16" t="s">
        <v>8186</v>
      </c>
      <c r="K2609" s="2" t="s">
        <v>687</v>
      </c>
      <c r="L2609" s="8" t="s">
        <v>688</v>
      </c>
      <c r="M2609" s="8" t="s">
        <v>27</v>
      </c>
      <c r="N2609" s="8" t="s">
        <v>14152</v>
      </c>
      <c r="O2609" s="8" t="s">
        <v>4742</v>
      </c>
      <c r="P2609" s="8" t="s">
        <v>405</v>
      </c>
      <c r="Q2609" s="12" t="s">
        <v>14153</v>
      </c>
      <c r="R2609" s="8" t="s">
        <v>559</v>
      </c>
      <c r="S2609" s="7" t="s">
        <v>28</v>
      </c>
      <c r="T2609" s="6"/>
      <c r="U2609" s="8"/>
      <c r="Y2609" s="8"/>
      <c r="Z2609" s="8"/>
      <c r="AA2609" s="8"/>
      <c r="AB2609" s="8"/>
      <c r="AC2609" s="8"/>
      <c r="AD2609" s="8"/>
      <c r="AE2609" s="8"/>
      <c r="AF2609" s="8"/>
      <c r="AG2609" s="8"/>
      <c r="AH2609" s="8"/>
    </row>
    <row r="2610" spans="1:34" ht="13.5" customHeight="1">
      <c r="A2610" s="8" t="s">
        <v>3288</v>
      </c>
      <c r="B2610" s="16" t="s">
        <v>14156</v>
      </c>
      <c r="C2610" s="8" t="s">
        <v>20</v>
      </c>
      <c r="D2610" s="8" t="s">
        <v>48</v>
      </c>
      <c r="F2610" s="17">
        <v>41548</v>
      </c>
      <c r="G2610" s="8" t="s">
        <v>14157</v>
      </c>
      <c r="H2610" s="8" t="s">
        <v>5100</v>
      </c>
      <c r="I2610" s="8" t="s">
        <v>73</v>
      </c>
      <c r="J2610" s="16" t="s">
        <v>5101</v>
      </c>
      <c r="K2610" s="2" t="s">
        <v>4991</v>
      </c>
      <c r="L2610" s="8" t="s">
        <v>5102</v>
      </c>
      <c r="M2610" s="8" t="s">
        <v>27</v>
      </c>
      <c r="N2610" s="8" t="s">
        <v>14158</v>
      </c>
      <c r="O2610" s="8" t="s">
        <v>4742</v>
      </c>
      <c r="P2610" s="8" t="s">
        <v>405</v>
      </c>
      <c r="Q2610" s="12" t="str">
        <f>HYPERLINK("http://abc13.com/archive/9270067/","http://abc13.com/archive/9270067/")</f>
        <v>http://abc13.com/archive/9270067/</v>
      </c>
      <c r="R2610" s="8" t="s">
        <v>100</v>
      </c>
      <c r="S2610" s="7" t="s">
        <v>28</v>
      </c>
      <c r="T2610" s="6"/>
      <c r="U2610" s="8"/>
    </row>
    <row r="2611" spans="1:34" ht="13.5" customHeight="1">
      <c r="A2611" s="8" t="s">
        <v>14159</v>
      </c>
      <c r="B2611" s="16">
        <v>45</v>
      </c>
      <c r="C2611" s="8" t="s">
        <v>115</v>
      </c>
      <c r="D2611" s="8" t="s">
        <v>37</v>
      </c>
      <c r="F2611" s="17">
        <v>41548</v>
      </c>
      <c r="G2611" s="8" t="s">
        <v>14160</v>
      </c>
      <c r="H2611" s="8" t="s">
        <v>6255</v>
      </c>
      <c r="I2611" s="8" t="s">
        <v>510</v>
      </c>
      <c r="L2611" s="8" t="s">
        <v>14161</v>
      </c>
      <c r="M2611" s="8" t="s">
        <v>27</v>
      </c>
      <c r="P2611" s="8" t="s">
        <v>405</v>
      </c>
      <c r="Q2611" s="12" t="s">
        <v>14162</v>
      </c>
      <c r="S2611" s="7" t="s">
        <v>28</v>
      </c>
      <c r="T2611" s="6"/>
      <c r="U2611" s="8"/>
    </row>
    <row r="2612" spans="1:34" ht="13.5" customHeight="1">
      <c r="A2612" s="8" t="s">
        <v>14163</v>
      </c>
      <c r="B2612" s="16">
        <v>19</v>
      </c>
      <c r="C2612" s="8" t="s">
        <v>20</v>
      </c>
      <c r="D2612" s="8" t="s">
        <v>85</v>
      </c>
      <c r="E2612" s="8" t="s">
        <v>14164</v>
      </c>
      <c r="F2612" s="17">
        <v>41546</v>
      </c>
      <c r="G2612" s="8" t="s">
        <v>14165</v>
      </c>
      <c r="H2612" s="8" t="s">
        <v>14166</v>
      </c>
      <c r="I2612" s="8" t="s">
        <v>370</v>
      </c>
      <c r="J2612" s="16" t="s">
        <v>14167</v>
      </c>
      <c r="K2612" s="2" t="s">
        <v>14019</v>
      </c>
      <c r="L2612" s="8" t="s">
        <v>14168</v>
      </c>
      <c r="M2612" s="8" t="s">
        <v>27</v>
      </c>
      <c r="N2612" s="8" t="s">
        <v>14169</v>
      </c>
      <c r="O2612" s="8" t="s">
        <v>554</v>
      </c>
      <c r="P2612" s="8" t="s">
        <v>405</v>
      </c>
      <c r="Q2612" s="12" t="s">
        <v>14170</v>
      </c>
      <c r="R2612" s="8" t="s">
        <v>100</v>
      </c>
      <c r="S2612" s="7" t="s">
        <v>18</v>
      </c>
      <c r="T2612" s="6"/>
      <c r="U2612" s="8"/>
      <c r="Y2612" s="13"/>
      <c r="Z2612" s="13"/>
      <c r="AA2612" s="13"/>
      <c r="AB2612" s="13"/>
      <c r="AC2612" s="13"/>
      <c r="AD2612" s="13"/>
      <c r="AE2612" s="13"/>
      <c r="AF2612" s="13"/>
      <c r="AG2612" s="13"/>
      <c r="AH2612" s="13"/>
    </row>
    <row r="2613" spans="1:34" ht="13.5" customHeight="1">
      <c r="A2613" s="8" t="s">
        <v>14178</v>
      </c>
      <c r="B2613" s="16">
        <v>32</v>
      </c>
      <c r="C2613" s="8" t="s">
        <v>20</v>
      </c>
      <c r="D2613" s="8" t="s">
        <v>37</v>
      </c>
      <c r="E2613" s="8" t="s">
        <v>14179</v>
      </c>
      <c r="F2613" s="17">
        <v>41546</v>
      </c>
      <c r="G2613" s="8" t="s">
        <v>14180</v>
      </c>
      <c r="H2613" s="8" t="s">
        <v>14181</v>
      </c>
      <c r="I2613" s="8" t="s">
        <v>32</v>
      </c>
      <c r="J2613" s="16" t="s">
        <v>14182</v>
      </c>
      <c r="K2613" s="2" t="s">
        <v>33</v>
      </c>
      <c r="L2613" s="8" t="s">
        <v>34</v>
      </c>
      <c r="M2613" s="8" t="s">
        <v>3407</v>
      </c>
      <c r="N2613" s="8" t="s">
        <v>14183</v>
      </c>
      <c r="O2613" s="8" t="s">
        <v>1018</v>
      </c>
      <c r="P2613" s="8" t="s">
        <v>405</v>
      </c>
      <c r="Q2613" s="12" t="s">
        <v>14184</v>
      </c>
      <c r="R2613" s="8" t="s">
        <v>100</v>
      </c>
      <c r="S2613" s="7" t="s">
        <v>18</v>
      </c>
      <c r="T2613" s="6"/>
      <c r="U2613" s="8"/>
    </row>
    <row r="2614" spans="1:34" ht="13.5" customHeight="1">
      <c r="A2614" s="8" t="s">
        <v>14171</v>
      </c>
      <c r="B2614" s="16">
        <v>37</v>
      </c>
      <c r="C2614" s="8" t="s">
        <v>20</v>
      </c>
      <c r="D2614" s="8" t="s">
        <v>37</v>
      </c>
      <c r="E2614" s="8" t="s">
        <v>14172</v>
      </c>
      <c r="F2614" s="17">
        <v>41546</v>
      </c>
      <c r="G2614" s="8" t="s">
        <v>14173</v>
      </c>
      <c r="H2614" s="8" t="s">
        <v>14174</v>
      </c>
      <c r="I2614" s="8" t="s">
        <v>243</v>
      </c>
      <c r="J2614" s="16" t="s">
        <v>14175</v>
      </c>
      <c r="K2614" s="2" t="s">
        <v>5326</v>
      </c>
      <c r="L2614" s="8" t="s">
        <v>14176</v>
      </c>
      <c r="M2614" s="8" t="s">
        <v>27</v>
      </c>
      <c r="N2614" s="8" t="s">
        <v>14177</v>
      </c>
      <c r="O2614" s="8" t="s">
        <v>554</v>
      </c>
      <c r="P2614" s="8" t="s">
        <v>405</v>
      </c>
      <c r="Q2614" s="12" t="s">
        <v>5329</v>
      </c>
      <c r="R2614" s="8" t="s">
        <v>559</v>
      </c>
      <c r="S2614" s="7" t="s">
        <v>28</v>
      </c>
      <c r="T2614" s="6"/>
      <c r="U2614" s="8"/>
    </row>
    <row r="2615" spans="1:34" ht="13.5" customHeight="1">
      <c r="A2615" s="8" t="s">
        <v>14190</v>
      </c>
      <c r="B2615" s="16">
        <v>35</v>
      </c>
      <c r="C2615" s="8" t="s">
        <v>20</v>
      </c>
      <c r="D2615" s="8" t="s">
        <v>37</v>
      </c>
      <c r="E2615" s="8" t="s">
        <v>14191</v>
      </c>
      <c r="F2615" s="17">
        <v>41545</v>
      </c>
      <c r="G2615" s="8" t="s">
        <v>14192</v>
      </c>
      <c r="H2615" s="8" t="s">
        <v>14193</v>
      </c>
      <c r="I2615" s="8" t="s">
        <v>52</v>
      </c>
      <c r="J2615" s="16" t="s">
        <v>14194</v>
      </c>
      <c r="K2615" s="2" t="s">
        <v>9830</v>
      </c>
      <c r="L2615" s="8" t="s">
        <v>14195</v>
      </c>
      <c r="M2615" s="8" t="s">
        <v>27</v>
      </c>
      <c r="N2615" s="8" t="s">
        <v>14196</v>
      </c>
      <c r="O2615" s="8" t="s">
        <v>404</v>
      </c>
      <c r="P2615" s="8" t="s">
        <v>405</v>
      </c>
      <c r="Q2615" s="12" t="s">
        <v>14197</v>
      </c>
      <c r="R2615" s="8" t="s">
        <v>29</v>
      </c>
      <c r="S2615" s="7" t="s">
        <v>28</v>
      </c>
      <c r="T2615" s="6"/>
      <c r="U2615" s="8"/>
    </row>
    <row r="2616" spans="1:34" ht="13.5" customHeight="1">
      <c r="A2616" s="8" t="s">
        <v>14185</v>
      </c>
      <c r="B2616" s="16">
        <v>39</v>
      </c>
      <c r="C2616" s="8" t="s">
        <v>20</v>
      </c>
      <c r="D2616" s="8" t="s">
        <v>37</v>
      </c>
      <c r="E2616" s="8" t="s">
        <v>14186</v>
      </c>
      <c r="F2616" s="17">
        <v>41545</v>
      </c>
      <c r="G2616" s="8" t="s">
        <v>14187</v>
      </c>
      <c r="H2616" s="8" t="s">
        <v>842</v>
      </c>
      <c r="I2616" s="8" t="s">
        <v>370</v>
      </c>
      <c r="J2616" s="16" t="s">
        <v>4276</v>
      </c>
      <c r="K2616" s="2" t="s">
        <v>843</v>
      </c>
      <c r="L2616" s="8" t="s">
        <v>4277</v>
      </c>
      <c r="M2616" s="8" t="s">
        <v>383</v>
      </c>
      <c r="N2616" s="8" t="s">
        <v>14188</v>
      </c>
      <c r="O2616" s="8" t="s">
        <v>1018</v>
      </c>
      <c r="P2616" s="8" t="s">
        <v>405</v>
      </c>
      <c r="Q2616" s="12" t="s">
        <v>14189</v>
      </c>
      <c r="R2616" s="8" t="s">
        <v>100</v>
      </c>
      <c r="S2616" s="7" t="s">
        <v>383</v>
      </c>
      <c r="T2616" s="6"/>
      <c r="U2616" s="8"/>
    </row>
    <row r="2617" spans="1:34" ht="13.5" customHeight="1">
      <c r="A2617" s="8" t="s">
        <v>14198</v>
      </c>
      <c r="B2617" s="16">
        <v>19</v>
      </c>
      <c r="C2617" s="8" t="s">
        <v>20</v>
      </c>
      <c r="D2617" s="8" t="s">
        <v>37</v>
      </c>
      <c r="E2617" s="8" t="s">
        <v>14199</v>
      </c>
      <c r="F2617" s="17">
        <v>41544</v>
      </c>
      <c r="G2617" s="8" t="s">
        <v>14200</v>
      </c>
      <c r="H2617" s="8" t="s">
        <v>14201</v>
      </c>
      <c r="I2617" s="8" t="s">
        <v>73</v>
      </c>
      <c r="J2617" s="16" t="s">
        <v>14202</v>
      </c>
      <c r="K2617" s="2" t="s">
        <v>53</v>
      </c>
      <c r="L2617" s="8" t="s">
        <v>14203</v>
      </c>
      <c r="M2617" s="8" t="s">
        <v>27</v>
      </c>
      <c r="N2617" s="8" t="s">
        <v>14204</v>
      </c>
      <c r="O2617" s="8" t="s">
        <v>1018</v>
      </c>
      <c r="P2617" s="8" t="s">
        <v>405</v>
      </c>
      <c r="Q2617" s="12" t="s">
        <v>14205</v>
      </c>
      <c r="R2617" s="8" t="s">
        <v>100</v>
      </c>
      <c r="S2617" s="7" t="s">
        <v>28</v>
      </c>
      <c r="T2617" s="6"/>
      <c r="U2617" s="8"/>
    </row>
    <row r="2618" spans="1:34" ht="13.5" customHeight="1">
      <c r="A2618" s="8" t="s">
        <v>14220</v>
      </c>
      <c r="B2618" s="16">
        <v>39</v>
      </c>
      <c r="C2618" s="8" t="s">
        <v>20</v>
      </c>
      <c r="D2618" s="8" t="s">
        <v>37</v>
      </c>
      <c r="E2618" s="8" t="s">
        <v>14221</v>
      </c>
      <c r="F2618" s="17">
        <v>41543</v>
      </c>
      <c r="G2618" s="8" t="s">
        <v>14222</v>
      </c>
      <c r="H2618" s="8" t="s">
        <v>493</v>
      </c>
      <c r="I2618" s="8" t="s">
        <v>45</v>
      </c>
      <c r="J2618" s="16" t="s">
        <v>2093</v>
      </c>
      <c r="K2618" s="2" t="s">
        <v>98</v>
      </c>
      <c r="L2618" s="8" t="s">
        <v>494</v>
      </c>
      <c r="M2618" s="8" t="s">
        <v>27</v>
      </c>
      <c r="N2618" s="8" t="s">
        <v>14223</v>
      </c>
      <c r="O2618" s="8" t="s">
        <v>1018</v>
      </c>
      <c r="P2618" s="8" t="s">
        <v>405</v>
      </c>
      <c r="Q2618" s="12"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2618" s="8" t="s">
        <v>100</v>
      </c>
      <c r="S2618" s="7" t="s">
        <v>28</v>
      </c>
      <c r="T2618" s="6"/>
      <c r="U2618" s="8"/>
    </row>
    <row r="2619" spans="1:34" ht="13.5" customHeight="1">
      <c r="A2619" s="8" t="s">
        <v>14206</v>
      </c>
      <c r="B2619" s="16">
        <v>34</v>
      </c>
      <c r="C2619" s="8" t="s">
        <v>20</v>
      </c>
      <c r="D2619" s="8" t="s">
        <v>85</v>
      </c>
      <c r="F2619" s="17">
        <v>41543</v>
      </c>
      <c r="G2619" s="8" t="s">
        <v>14207</v>
      </c>
      <c r="H2619" s="8" t="s">
        <v>14208</v>
      </c>
      <c r="I2619" s="8" t="s">
        <v>94</v>
      </c>
      <c r="J2619" s="16" t="s">
        <v>14209</v>
      </c>
      <c r="K2619" s="2" t="s">
        <v>14210</v>
      </c>
      <c r="L2619" s="8" t="s">
        <v>14211</v>
      </c>
      <c r="M2619" s="8" t="s">
        <v>27</v>
      </c>
      <c r="N2619" s="8" t="s">
        <v>14212</v>
      </c>
      <c r="O2619" s="8" t="s">
        <v>1018</v>
      </c>
      <c r="P2619" s="8" t="s">
        <v>405</v>
      </c>
      <c r="Q2619" s="12" t="s">
        <v>14213</v>
      </c>
      <c r="R2619" s="8" t="s">
        <v>29</v>
      </c>
      <c r="S2619" s="7" t="s">
        <v>28</v>
      </c>
      <c r="T2619" s="6"/>
      <c r="U2619" s="8"/>
    </row>
    <row r="2620" spans="1:34" ht="13.5" customHeight="1">
      <c r="A2620" s="8" t="s">
        <v>14214</v>
      </c>
      <c r="B2620" s="16">
        <v>57</v>
      </c>
      <c r="C2620" s="8" t="s">
        <v>20</v>
      </c>
      <c r="D2620" s="8" t="s">
        <v>37</v>
      </c>
      <c r="E2620" s="8" t="s">
        <v>14215</v>
      </c>
      <c r="F2620" s="17">
        <v>41543</v>
      </c>
      <c r="G2620" s="8" t="s">
        <v>14216</v>
      </c>
      <c r="H2620" s="8" t="s">
        <v>288</v>
      </c>
      <c r="I2620" s="8" t="s">
        <v>73</v>
      </c>
      <c r="J2620" s="16" t="s">
        <v>14217</v>
      </c>
      <c r="K2620" s="2" t="s">
        <v>288</v>
      </c>
      <c r="L2620" s="8" t="s">
        <v>289</v>
      </c>
      <c r="M2620" s="8" t="s">
        <v>27</v>
      </c>
      <c r="N2620" s="8" t="s">
        <v>14218</v>
      </c>
      <c r="O2620" s="8" t="s">
        <v>1018</v>
      </c>
      <c r="P2620" s="8" t="s">
        <v>405</v>
      </c>
      <c r="Q2620" s="12" t="s">
        <v>14219</v>
      </c>
      <c r="R2620" s="8" t="s">
        <v>100</v>
      </c>
      <c r="S2620" s="7" t="s">
        <v>28</v>
      </c>
      <c r="T2620" s="6"/>
      <c r="U2620" s="8"/>
    </row>
    <row r="2621" spans="1:34" ht="13.5" customHeight="1">
      <c r="A2621" s="8" t="s">
        <v>14237</v>
      </c>
      <c r="B2621" s="16">
        <v>32</v>
      </c>
      <c r="C2621" s="8" t="s">
        <v>20</v>
      </c>
      <c r="D2621" s="8" t="s">
        <v>48</v>
      </c>
      <c r="E2621" s="8" t="s">
        <v>14238</v>
      </c>
      <c r="F2621" s="17">
        <v>41542</v>
      </c>
      <c r="G2621" s="8" t="s">
        <v>14239</v>
      </c>
      <c r="H2621" s="8" t="s">
        <v>5782</v>
      </c>
      <c r="I2621" s="8" t="s">
        <v>45</v>
      </c>
      <c r="J2621" s="16" t="s">
        <v>14240</v>
      </c>
      <c r="K2621" s="2" t="s">
        <v>98</v>
      </c>
      <c r="L2621" s="8" t="s">
        <v>99</v>
      </c>
      <c r="M2621" s="8" t="s">
        <v>27</v>
      </c>
      <c r="N2621" s="8" t="s">
        <v>14241</v>
      </c>
      <c r="O2621" s="8" t="s">
        <v>1018</v>
      </c>
      <c r="P2621" s="8" t="s">
        <v>405</v>
      </c>
      <c r="Q2621" s="12" t="s">
        <v>14242</v>
      </c>
      <c r="R2621" s="8" t="s">
        <v>100</v>
      </c>
      <c r="S2621" s="7" t="s">
        <v>28</v>
      </c>
      <c r="T2621" s="6"/>
      <c r="U2621" s="8"/>
    </row>
    <row r="2622" spans="1:34" ht="13.5" customHeight="1">
      <c r="A2622" s="8" t="s">
        <v>14229</v>
      </c>
      <c r="B2622" s="16">
        <v>21</v>
      </c>
      <c r="C2622" s="8" t="s">
        <v>20</v>
      </c>
      <c r="D2622" s="8" t="s">
        <v>48</v>
      </c>
      <c r="F2622" s="17">
        <v>41542</v>
      </c>
      <c r="G2622" s="8" t="s">
        <v>14230</v>
      </c>
      <c r="H2622" s="8" t="s">
        <v>14231</v>
      </c>
      <c r="I2622" s="8" t="s">
        <v>73</v>
      </c>
      <c r="J2622" s="16" t="s">
        <v>14232</v>
      </c>
      <c r="K2622" s="2" t="s">
        <v>14233</v>
      </c>
      <c r="L2622" s="8" t="s">
        <v>14234</v>
      </c>
      <c r="M2622" s="8" t="s">
        <v>27</v>
      </c>
      <c r="N2622" s="8" t="s">
        <v>14235</v>
      </c>
      <c r="O2622" s="8" t="s">
        <v>4742</v>
      </c>
      <c r="P2622" s="8" t="s">
        <v>405</v>
      </c>
      <c r="Q2622" s="12" t="s">
        <v>14236</v>
      </c>
      <c r="R2622" s="8" t="s">
        <v>100</v>
      </c>
      <c r="S2622" s="7" t="s">
        <v>28</v>
      </c>
      <c r="T2622" s="6"/>
      <c r="U2622" s="8"/>
    </row>
    <row r="2623" spans="1:34" ht="13.5" customHeight="1">
      <c r="A2623" s="8" t="s">
        <v>14243</v>
      </c>
      <c r="B2623" s="16">
        <v>22</v>
      </c>
      <c r="C2623" s="8" t="s">
        <v>20</v>
      </c>
      <c r="D2623" s="8" t="s">
        <v>37</v>
      </c>
      <c r="E2623" s="8" t="s">
        <v>14244</v>
      </c>
      <c r="F2623" s="17">
        <v>41542</v>
      </c>
      <c r="G2623" s="8" t="s">
        <v>14245</v>
      </c>
      <c r="H2623" s="8" t="s">
        <v>5446</v>
      </c>
      <c r="I2623" s="8" t="s">
        <v>62</v>
      </c>
      <c r="J2623" s="16" t="s">
        <v>5447</v>
      </c>
      <c r="K2623" s="2" t="s">
        <v>3940</v>
      </c>
      <c r="L2623" s="8" t="s">
        <v>5448</v>
      </c>
      <c r="M2623" s="8" t="s">
        <v>27</v>
      </c>
      <c r="N2623" s="8" t="s">
        <v>14246</v>
      </c>
      <c r="O2623" s="8" t="s">
        <v>554</v>
      </c>
      <c r="P2623" s="8" t="s">
        <v>405</v>
      </c>
      <c r="Q2623" s="12" t="s">
        <v>14247</v>
      </c>
      <c r="R2623" s="8" t="s">
        <v>100</v>
      </c>
      <c r="S2623" s="7" t="s">
        <v>28</v>
      </c>
      <c r="T2623" s="6"/>
      <c r="U2623" s="8"/>
    </row>
    <row r="2624" spans="1:34" ht="13.5" customHeight="1">
      <c r="A2624" s="8" t="s">
        <v>3288</v>
      </c>
      <c r="B2624" s="16" t="s">
        <v>14224</v>
      </c>
      <c r="C2624" s="8" t="s">
        <v>20</v>
      </c>
      <c r="D2624" s="8" t="s">
        <v>48</v>
      </c>
      <c r="F2624" s="17">
        <v>41542</v>
      </c>
      <c r="G2624" s="8" t="s">
        <v>14225</v>
      </c>
      <c r="H2624" s="8" t="s">
        <v>731</v>
      </c>
      <c r="I2624" s="8" t="s">
        <v>73</v>
      </c>
      <c r="J2624" s="16" t="s">
        <v>14226</v>
      </c>
      <c r="K2624" s="2" t="s">
        <v>562</v>
      </c>
      <c r="L2624" s="8" t="s">
        <v>732</v>
      </c>
      <c r="M2624" s="8" t="s">
        <v>27</v>
      </c>
      <c r="N2624" s="8" t="s">
        <v>14227</v>
      </c>
      <c r="O2624" s="8" t="s">
        <v>1018</v>
      </c>
      <c r="P2624" s="8" t="s">
        <v>405</v>
      </c>
      <c r="Q2624" s="12" t="s">
        <v>14228</v>
      </c>
      <c r="R2624" s="8" t="s">
        <v>100</v>
      </c>
      <c r="S2624" s="7" t="s">
        <v>28</v>
      </c>
      <c r="T2624" s="6"/>
      <c r="U2624" s="8"/>
    </row>
    <row r="2625" spans="1:21" ht="13.5" customHeight="1">
      <c r="A2625" s="8" t="s">
        <v>14254</v>
      </c>
      <c r="B2625" s="16">
        <v>46</v>
      </c>
      <c r="C2625" s="8" t="s">
        <v>115</v>
      </c>
      <c r="D2625" s="8" t="s">
        <v>85</v>
      </c>
      <c r="F2625" s="17">
        <v>41541</v>
      </c>
      <c r="G2625" s="8" t="s">
        <v>14249</v>
      </c>
      <c r="H2625" s="8" t="s">
        <v>1608</v>
      </c>
      <c r="I2625" s="8" t="s">
        <v>52</v>
      </c>
      <c r="J2625" s="16" t="s">
        <v>14250</v>
      </c>
      <c r="K2625" s="2" t="s">
        <v>4755</v>
      </c>
      <c r="L2625" s="8" t="s">
        <v>2799</v>
      </c>
      <c r="M2625" s="8" t="s">
        <v>383</v>
      </c>
      <c r="N2625" s="8" t="s">
        <v>14251</v>
      </c>
      <c r="O2625" s="8" t="s">
        <v>1018</v>
      </c>
      <c r="P2625" s="8" t="s">
        <v>405</v>
      </c>
      <c r="Q2625" s="12" t="s">
        <v>14252</v>
      </c>
      <c r="R2625" s="8" t="s">
        <v>100</v>
      </c>
      <c r="S2625" s="7" t="s">
        <v>383</v>
      </c>
      <c r="T2625" s="6"/>
      <c r="U2625" s="8"/>
    </row>
    <row r="2626" spans="1:21" ht="13.5" customHeight="1">
      <c r="A2626" s="8" t="s">
        <v>14262</v>
      </c>
      <c r="B2626" s="16">
        <v>21</v>
      </c>
      <c r="C2626" s="8" t="s">
        <v>20</v>
      </c>
      <c r="D2626" s="8" t="s">
        <v>37</v>
      </c>
      <c r="E2626" s="8" t="s">
        <v>14263</v>
      </c>
      <c r="F2626" s="17">
        <v>41541</v>
      </c>
      <c r="G2626" s="8" t="s">
        <v>14264</v>
      </c>
      <c r="H2626" s="8" t="s">
        <v>14265</v>
      </c>
      <c r="I2626" s="8" t="s">
        <v>45</v>
      </c>
      <c r="J2626" s="16" t="s">
        <v>14266</v>
      </c>
      <c r="K2626" s="2" t="s">
        <v>1070</v>
      </c>
      <c r="L2626" s="8" t="s">
        <v>2396</v>
      </c>
      <c r="M2626" s="8" t="s">
        <v>27</v>
      </c>
      <c r="N2626" s="8" t="s">
        <v>14267</v>
      </c>
      <c r="P2626" s="8" t="s">
        <v>405</v>
      </c>
      <c r="Q2626" s="12" t="s">
        <v>14268</v>
      </c>
      <c r="R2626" s="8" t="s">
        <v>29</v>
      </c>
      <c r="S2626" s="7" t="s">
        <v>28</v>
      </c>
      <c r="T2626" s="6"/>
      <c r="U2626" s="8"/>
    </row>
    <row r="2627" spans="1:21" ht="13.5" customHeight="1">
      <c r="A2627" s="8" t="s">
        <v>14248</v>
      </c>
      <c r="B2627" s="16">
        <v>26</v>
      </c>
      <c r="C2627" s="8" t="s">
        <v>20</v>
      </c>
      <c r="D2627" s="8" t="s">
        <v>85</v>
      </c>
      <c r="F2627" s="17">
        <v>41541</v>
      </c>
      <c r="G2627" s="8" t="s">
        <v>14249</v>
      </c>
      <c r="H2627" s="8" t="s">
        <v>1608</v>
      </c>
      <c r="I2627" s="8" t="s">
        <v>52</v>
      </c>
      <c r="J2627" s="16" t="s">
        <v>14250</v>
      </c>
      <c r="K2627" s="2" t="s">
        <v>4755</v>
      </c>
      <c r="L2627" s="8" t="s">
        <v>2799</v>
      </c>
      <c r="M2627" s="8" t="s">
        <v>383</v>
      </c>
      <c r="N2627" s="8" t="s">
        <v>14251</v>
      </c>
      <c r="O2627" s="8" t="s">
        <v>1018</v>
      </c>
      <c r="P2627" s="8" t="s">
        <v>405</v>
      </c>
      <c r="Q2627" s="12" t="s">
        <v>14252</v>
      </c>
      <c r="R2627" s="8" t="s">
        <v>100</v>
      </c>
      <c r="S2627" s="7" t="s">
        <v>383</v>
      </c>
      <c r="T2627" s="6"/>
      <c r="U2627" s="8"/>
    </row>
    <row r="2628" spans="1:21" ht="13.5" customHeight="1">
      <c r="A2628" s="8" t="s">
        <v>14269</v>
      </c>
      <c r="B2628" s="16">
        <v>27</v>
      </c>
      <c r="C2628" s="8" t="s">
        <v>20</v>
      </c>
      <c r="D2628" s="8" t="s">
        <v>37</v>
      </c>
      <c r="E2628" s="8" t="s">
        <v>14270</v>
      </c>
      <c r="F2628" s="17">
        <v>41541</v>
      </c>
      <c r="G2628" s="8" t="s">
        <v>14271</v>
      </c>
      <c r="H2628" s="8" t="s">
        <v>14272</v>
      </c>
      <c r="I2628" s="8" t="s">
        <v>220</v>
      </c>
      <c r="J2628" s="16" t="s">
        <v>14273</v>
      </c>
      <c r="K2628" s="2" t="s">
        <v>14274</v>
      </c>
      <c r="L2628" s="8" t="s">
        <v>14275</v>
      </c>
      <c r="M2628" s="8" t="s">
        <v>27</v>
      </c>
      <c r="N2628" s="8" t="s">
        <v>14276</v>
      </c>
      <c r="O2628" s="8" t="s">
        <v>1018</v>
      </c>
      <c r="P2628" s="8" t="s">
        <v>405</v>
      </c>
      <c r="Q2628" s="12" t="s">
        <v>14277</v>
      </c>
      <c r="R2628" s="8" t="s">
        <v>100</v>
      </c>
      <c r="S2628" s="7" t="s">
        <v>28</v>
      </c>
      <c r="T2628" s="6"/>
      <c r="U2628" s="8"/>
    </row>
    <row r="2629" spans="1:21" ht="13.5" customHeight="1">
      <c r="A2629" s="8" t="s">
        <v>14253</v>
      </c>
      <c r="B2629" s="16">
        <v>30</v>
      </c>
      <c r="C2629" s="8" t="s">
        <v>20</v>
      </c>
      <c r="D2629" s="8" t="s">
        <v>85</v>
      </c>
      <c r="F2629" s="17">
        <v>41541</v>
      </c>
      <c r="G2629" s="8" t="s">
        <v>14249</v>
      </c>
      <c r="H2629" s="8" t="s">
        <v>1608</v>
      </c>
      <c r="I2629" s="8" t="s">
        <v>52</v>
      </c>
      <c r="J2629" s="16" t="s">
        <v>14250</v>
      </c>
      <c r="K2629" s="2" t="s">
        <v>4755</v>
      </c>
      <c r="L2629" s="8" t="s">
        <v>2799</v>
      </c>
      <c r="M2629" s="8" t="s">
        <v>383</v>
      </c>
      <c r="N2629" s="8" t="s">
        <v>14251</v>
      </c>
      <c r="O2629" s="8" t="s">
        <v>1018</v>
      </c>
      <c r="P2629" s="8" t="s">
        <v>405</v>
      </c>
      <c r="Q2629" s="12" t="s">
        <v>14252</v>
      </c>
      <c r="R2629" s="8" t="s">
        <v>100</v>
      </c>
      <c r="S2629" s="7" t="s">
        <v>383</v>
      </c>
      <c r="T2629" s="6"/>
      <c r="U2629" s="8"/>
    </row>
    <row r="2630" spans="1:21" ht="13.5" customHeight="1">
      <c r="A2630" s="8" t="s">
        <v>14255</v>
      </c>
      <c r="B2630" s="16">
        <v>22</v>
      </c>
      <c r="C2630" s="8" t="s">
        <v>20</v>
      </c>
      <c r="D2630" s="8" t="s">
        <v>85</v>
      </c>
      <c r="E2630" s="8" t="s">
        <v>14256</v>
      </c>
      <c r="F2630" s="17">
        <v>41541</v>
      </c>
      <c r="G2630" s="8" t="s">
        <v>14257</v>
      </c>
      <c r="H2630" s="8" t="s">
        <v>497</v>
      </c>
      <c r="I2630" s="8" t="s">
        <v>370</v>
      </c>
      <c r="J2630" s="16" t="s">
        <v>14258</v>
      </c>
      <c r="K2630" s="2" t="s">
        <v>497</v>
      </c>
      <c r="L2630" s="8" t="s">
        <v>14259</v>
      </c>
      <c r="M2630" s="8" t="s">
        <v>27</v>
      </c>
      <c r="N2630" s="8" t="s">
        <v>14260</v>
      </c>
      <c r="O2630" s="8" t="s">
        <v>1018</v>
      </c>
      <c r="P2630" s="8" t="s">
        <v>405</v>
      </c>
      <c r="Q2630" s="12" t="s">
        <v>14261</v>
      </c>
      <c r="R2630" s="8" t="s">
        <v>29</v>
      </c>
      <c r="S2630" s="7" t="s">
        <v>28</v>
      </c>
      <c r="T2630" s="6"/>
      <c r="U2630" s="8"/>
    </row>
    <row r="2631" spans="1:21" ht="13.5" customHeight="1">
      <c r="A2631" s="8" t="s">
        <v>14278</v>
      </c>
      <c r="B2631" s="16">
        <v>18</v>
      </c>
      <c r="C2631" s="8" t="s">
        <v>20</v>
      </c>
      <c r="D2631" s="8" t="s">
        <v>85</v>
      </c>
      <c r="E2631" s="8" t="s">
        <v>14279</v>
      </c>
      <c r="F2631" s="17">
        <v>41540</v>
      </c>
      <c r="G2631" s="8" t="s">
        <v>14280</v>
      </c>
      <c r="H2631" s="8" t="s">
        <v>717</v>
      </c>
      <c r="I2631" s="8" t="s">
        <v>435</v>
      </c>
      <c r="J2631" s="16" t="s">
        <v>6866</v>
      </c>
      <c r="K2631" s="2" t="s">
        <v>717</v>
      </c>
      <c r="L2631" s="8" t="s">
        <v>14281</v>
      </c>
      <c r="M2631" s="8" t="s">
        <v>27</v>
      </c>
      <c r="N2631" s="8" t="s">
        <v>14282</v>
      </c>
      <c r="O2631" s="8" t="s">
        <v>1018</v>
      </c>
      <c r="P2631" s="8" t="s">
        <v>405</v>
      </c>
      <c r="Q2631" s="12" t="s">
        <v>14283</v>
      </c>
      <c r="R2631" s="8" t="s">
        <v>100</v>
      </c>
      <c r="S2631" s="7" t="s">
        <v>28</v>
      </c>
      <c r="T2631" s="6"/>
      <c r="U2631" s="8"/>
    </row>
    <row r="2632" spans="1:21" ht="13.5" customHeight="1">
      <c r="A2632" s="8" t="s">
        <v>14284</v>
      </c>
      <c r="B2632" s="16">
        <v>47</v>
      </c>
      <c r="C2632" s="8" t="s">
        <v>20</v>
      </c>
      <c r="D2632" s="8" t="s">
        <v>37</v>
      </c>
      <c r="E2632" s="8" t="s">
        <v>14285</v>
      </c>
      <c r="F2632" s="17">
        <v>41540</v>
      </c>
      <c r="G2632" s="8" t="s">
        <v>14286</v>
      </c>
      <c r="H2632" s="8" t="s">
        <v>14287</v>
      </c>
      <c r="I2632" s="8" t="s">
        <v>46</v>
      </c>
      <c r="J2632" s="16" t="s">
        <v>14288</v>
      </c>
      <c r="K2632" s="2" t="s">
        <v>5241</v>
      </c>
      <c r="L2632" s="8" t="s">
        <v>14289</v>
      </c>
      <c r="M2632" s="8" t="s">
        <v>27</v>
      </c>
      <c r="N2632" s="8" t="s">
        <v>14290</v>
      </c>
      <c r="O2632" s="8" t="s">
        <v>554</v>
      </c>
      <c r="P2632" s="8" t="s">
        <v>405</v>
      </c>
      <c r="Q2632" s="12" t="s">
        <v>14291</v>
      </c>
      <c r="R2632" s="8" t="s">
        <v>100</v>
      </c>
      <c r="S2632" s="7" t="s">
        <v>28</v>
      </c>
      <c r="T2632" s="6"/>
      <c r="U2632" s="8"/>
    </row>
    <row r="2633" spans="1:21" ht="13.5" customHeight="1">
      <c r="A2633" s="8" t="s">
        <v>14292</v>
      </c>
      <c r="B2633" s="16">
        <v>27</v>
      </c>
      <c r="C2633" s="8" t="s">
        <v>20</v>
      </c>
      <c r="D2633" s="8" t="s">
        <v>37</v>
      </c>
      <c r="E2633" s="8" t="s">
        <v>14293</v>
      </c>
      <c r="F2633" s="17">
        <v>41540</v>
      </c>
      <c r="G2633" s="8" t="s">
        <v>14294</v>
      </c>
      <c r="H2633" s="8" t="s">
        <v>13659</v>
      </c>
      <c r="I2633" s="8" t="s">
        <v>62</v>
      </c>
      <c r="J2633" s="16" t="s">
        <v>14295</v>
      </c>
      <c r="K2633" s="2" t="s">
        <v>2331</v>
      </c>
      <c r="L2633" s="8" t="s">
        <v>14296</v>
      </c>
      <c r="M2633" s="8" t="s">
        <v>27</v>
      </c>
      <c r="N2633" s="8" t="s">
        <v>14297</v>
      </c>
      <c r="O2633" s="8" t="s">
        <v>1018</v>
      </c>
      <c r="P2633" s="8" t="s">
        <v>405</v>
      </c>
      <c r="Q2633" s="12" t="s">
        <v>14298</v>
      </c>
      <c r="R2633" s="8" t="s">
        <v>559</v>
      </c>
      <c r="S2633" s="7" t="s">
        <v>28</v>
      </c>
      <c r="T2633" s="6"/>
      <c r="U2633" s="8"/>
    </row>
    <row r="2634" spans="1:21" ht="13.5" customHeight="1">
      <c r="A2634" s="8" t="s">
        <v>14306</v>
      </c>
      <c r="B2634" s="16">
        <v>23</v>
      </c>
      <c r="C2634" s="8" t="s">
        <v>115</v>
      </c>
      <c r="D2634" s="8" t="s">
        <v>37</v>
      </c>
      <c r="E2634" s="8" t="s">
        <v>14307</v>
      </c>
      <c r="F2634" s="17">
        <v>41539</v>
      </c>
      <c r="G2634" s="8" t="s">
        <v>14308</v>
      </c>
      <c r="H2634" s="8" t="s">
        <v>1080</v>
      </c>
      <c r="I2634" s="8" t="s">
        <v>46</v>
      </c>
      <c r="J2634" s="16" t="s">
        <v>14309</v>
      </c>
      <c r="K2634" s="2" t="s">
        <v>1080</v>
      </c>
      <c r="L2634" s="8" t="s">
        <v>16834</v>
      </c>
      <c r="M2634" s="8" t="s">
        <v>383</v>
      </c>
      <c r="N2634" s="8" t="s">
        <v>14310</v>
      </c>
      <c r="O2634" s="8" t="s">
        <v>1804</v>
      </c>
      <c r="P2634" s="8" t="s">
        <v>1171</v>
      </c>
      <c r="Q2634" s="12" t="s">
        <v>14311</v>
      </c>
      <c r="R2634" s="8" t="s">
        <v>100</v>
      </c>
      <c r="S2634" s="7" t="s">
        <v>18</v>
      </c>
      <c r="T2634" s="6"/>
      <c r="U2634" s="8"/>
    </row>
    <row r="2635" spans="1:21" ht="13.5" customHeight="1">
      <c r="A2635" s="8" t="s">
        <v>14312</v>
      </c>
      <c r="B2635" s="16">
        <v>64</v>
      </c>
      <c r="C2635" s="8" t="s">
        <v>115</v>
      </c>
      <c r="D2635" s="8" t="s">
        <v>37</v>
      </c>
      <c r="E2635" s="8" t="s">
        <v>14307</v>
      </c>
      <c r="F2635" s="17">
        <v>41539</v>
      </c>
      <c r="G2635" s="8" t="s">
        <v>14313</v>
      </c>
      <c r="H2635" s="8" t="s">
        <v>1080</v>
      </c>
      <c r="I2635" s="8" t="s">
        <v>46</v>
      </c>
      <c r="J2635" s="16" t="s">
        <v>14309</v>
      </c>
      <c r="K2635" s="2" t="s">
        <v>1080</v>
      </c>
      <c r="L2635" s="8" t="s">
        <v>16834</v>
      </c>
      <c r="M2635" s="8" t="s">
        <v>383</v>
      </c>
      <c r="N2635" s="8" t="s">
        <v>14314</v>
      </c>
      <c r="O2635" s="8" t="s">
        <v>1804</v>
      </c>
      <c r="P2635" s="8" t="s">
        <v>1171</v>
      </c>
      <c r="Q2635" s="12" t="s">
        <v>14311</v>
      </c>
      <c r="R2635" s="8" t="s">
        <v>100</v>
      </c>
      <c r="S2635" s="7" t="s">
        <v>18</v>
      </c>
      <c r="T2635" s="6"/>
      <c r="U2635" s="8"/>
    </row>
    <row r="2636" spans="1:21" ht="13.5" customHeight="1">
      <c r="A2636" s="8" t="s">
        <v>14299</v>
      </c>
      <c r="B2636" s="16">
        <v>19</v>
      </c>
      <c r="C2636" s="8" t="s">
        <v>115</v>
      </c>
      <c r="D2636" s="8" t="s">
        <v>37</v>
      </c>
      <c r="E2636" s="8" t="s">
        <v>14300</v>
      </c>
      <c r="F2636" s="17">
        <v>41539</v>
      </c>
      <c r="G2636" s="8" t="s">
        <v>14301</v>
      </c>
      <c r="H2636" s="8" t="s">
        <v>14302</v>
      </c>
      <c r="I2636" s="8" t="s">
        <v>45</v>
      </c>
      <c r="J2636" s="16">
        <v>95928</v>
      </c>
      <c r="K2636" s="2" t="s">
        <v>5303</v>
      </c>
      <c r="L2636" s="8" t="s">
        <v>14303</v>
      </c>
      <c r="M2636" s="8" t="s">
        <v>27</v>
      </c>
      <c r="N2636" s="8" t="s">
        <v>14304</v>
      </c>
      <c r="O2636" s="8" t="s">
        <v>554</v>
      </c>
      <c r="P2636" s="8" t="s">
        <v>405</v>
      </c>
      <c r="Q2636" s="12" t="s">
        <v>14305</v>
      </c>
      <c r="R2636" s="8" t="s">
        <v>972</v>
      </c>
      <c r="S2636" s="7" t="s">
        <v>383</v>
      </c>
      <c r="T2636" s="6"/>
      <c r="U2636" s="8"/>
    </row>
    <row r="2637" spans="1:21" ht="13.5" customHeight="1">
      <c r="A2637" s="8" t="s">
        <v>14315</v>
      </c>
      <c r="B2637" s="16">
        <v>39</v>
      </c>
      <c r="C2637" s="8" t="s">
        <v>20</v>
      </c>
      <c r="D2637" s="8" t="s">
        <v>37</v>
      </c>
      <c r="E2637" s="8" t="s">
        <v>14316</v>
      </c>
      <c r="F2637" s="17">
        <v>41539</v>
      </c>
      <c r="G2637" s="8" t="s">
        <v>14317</v>
      </c>
      <c r="H2637" s="8" t="s">
        <v>14318</v>
      </c>
      <c r="I2637" s="8" t="s">
        <v>374</v>
      </c>
      <c r="J2637" s="16" t="s">
        <v>14319</v>
      </c>
      <c r="K2637" s="2" t="s">
        <v>4080</v>
      </c>
      <c r="L2637" s="8" t="s">
        <v>14320</v>
      </c>
      <c r="M2637" s="8" t="s">
        <v>3407</v>
      </c>
      <c r="N2637" s="8" t="s">
        <v>14321</v>
      </c>
      <c r="O2637" s="8" t="s">
        <v>554</v>
      </c>
      <c r="P2637" s="8" t="s">
        <v>405</v>
      </c>
      <c r="Q2637" s="12" t="str">
        <f>HYPERLINK("http://www.dps.state.ia.us/commis/pib/Releases/2013/12-14-2013_Northwood_Results.htm","http://www.dps.state.ia.us/commis/pib/Releases/2013/12-14-2013_Northwood_Results.htm")</f>
        <v>http://www.dps.state.ia.us/commis/pib/Releases/2013/12-14-2013_Northwood_Results.htm</v>
      </c>
      <c r="R2637" s="8" t="s">
        <v>972</v>
      </c>
      <c r="S2637" s="7" t="s">
        <v>28</v>
      </c>
      <c r="T2637" s="6"/>
      <c r="U2637" s="8"/>
    </row>
    <row r="2638" spans="1:21" ht="13.5" customHeight="1">
      <c r="A2638" s="8" t="s">
        <v>14326</v>
      </c>
      <c r="B2638" s="16">
        <v>66</v>
      </c>
      <c r="C2638" s="8" t="s">
        <v>20</v>
      </c>
      <c r="D2638" s="8" t="s">
        <v>37</v>
      </c>
      <c r="F2638" s="17">
        <v>41538</v>
      </c>
      <c r="G2638" s="8" t="s">
        <v>14327</v>
      </c>
      <c r="H2638" s="8" t="s">
        <v>14328</v>
      </c>
      <c r="I2638" s="8" t="s">
        <v>45</v>
      </c>
      <c r="J2638" s="16" t="s">
        <v>14329</v>
      </c>
      <c r="K2638" s="2" t="s">
        <v>98</v>
      </c>
      <c r="L2638" s="8" t="s">
        <v>14330</v>
      </c>
      <c r="M2638" s="8" t="s">
        <v>27</v>
      </c>
      <c r="N2638" s="8" t="s">
        <v>14331</v>
      </c>
      <c r="O2638" s="8" t="s">
        <v>1018</v>
      </c>
      <c r="P2638" s="8" t="s">
        <v>405</v>
      </c>
      <c r="Q2638" s="12" t="str">
        <f>HYPERLINK("http://www.culvercityobserver.com/story/2013/10/10/news/man-shot-at-ccpd-hq-identified/3089.html","http://www.culvercityobserver.com/story/2013/10/10/news/man-shot-at-ccpd-hq-identified/3089.html")</f>
        <v>http://www.culvercityobserver.com/story/2013/10/10/news/man-shot-at-ccpd-hq-identified/3089.html</v>
      </c>
      <c r="R2638" s="8" t="s">
        <v>29</v>
      </c>
      <c r="S2638" s="7" t="s">
        <v>28</v>
      </c>
      <c r="T2638" s="6"/>
      <c r="U2638" s="8"/>
    </row>
    <row r="2639" spans="1:21" ht="13.5" customHeight="1">
      <c r="A2639" s="8" t="s">
        <v>14322</v>
      </c>
      <c r="B2639" s="16">
        <v>58</v>
      </c>
      <c r="C2639" s="8" t="s">
        <v>20</v>
      </c>
      <c r="D2639" s="8" t="s">
        <v>30</v>
      </c>
      <c r="F2639" s="17">
        <v>41538</v>
      </c>
      <c r="G2639" s="8" t="s">
        <v>14323</v>
      </c>
      <c r="H2639" s="8" t="s">
        <v>1311</v>
      </c>
      <c r="I2639" s="8" t="s">
        <v>212</v>
      </c>
      <c r="J2639" s="16" t="s">
        <v>14324</v>
      </c>
      <c r="K2639" s="2" t="s">
        <v>1311</v>
      </c>
      <c r="L2639" s="8" t="s">
        <v>1312</v>
      </c>
      <c r="M2639" s="8" t="s">
        <v>27</v>
      </c>
      <c r="N2639" s="8" t="s">
        <v>14325</v>
      </c>
      <c r="O2639" s="8" t="s">
        <v>4742</v>
      </c>
      <c r="P2639" s="8" t="s">
        <v>405</v>
      </c>
      <c r="Q2639" s="12"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2639" s="8" t="s">
        <v>100</v>
      </c>
      <c r="S2639" s="7" t="s">
        <v>35</v>
      </c>
      <c r="T2639" s="6"/>
      <c r="U2639" s="8"/>
    </row>
    <row r="2640" spans="1:21" ht="13.5" customHeight="1">
      <c r="A2640" s="8" t="s">
        <v>14332</v>
      </c>
      <c r="B2640" s="16">
        <v>33</v>
      </c>
      <c r="C2640" s="8" t="s">
        <v>20</v>
      </c>
      <c r="D2640" s="8" t="s">
        <v>37</v>
      </c>
      <c r="E2640" s="8" t="s">
        <v>14333</v>
      </c>
      <c r="F2640" s="17">
        <v>41538</v>
      </c>
      <c r="G2640" s="8" t="s">
        <v>14334</v>
      </c>
      <c r="H2640" s="8" t="s">
        <v>2513</v>
      </c>
      <c r="I2640" s="8" t="s">
        <v>399</v>
      </c>
      <c r="J2640" s="16" t="s">
        <v>14335</v>
      </c>
      <c r="K2640" s="2" t="s">
        <v>2513</v>
      </c>
      <c r="L2640" s="8" t="s">
        <v>2062</v>
      </c>
      <c r="M2640" s="8" t="s">
        <v>27</v>
      </c>
      <c r="N2640" s="8" t="s">
        <v>14336</v>
      </c>
      <c r="O2640" s="8" t="s">
        <v>554</v>
      </c>
      <c r="P2640" s="8" t="s">
        <v>405</v>
      </c>
      <c r="Q2640" s="12" t="s">
        <v>14337</v>
      </c>
      <c r="R2640" s="8" t="s">
        <v>100</v>
      </c>
      <c r="S2640" s="7" t="s">
        <v>18</v>
      </c>
      <c r="T2640" s="6"/>
      <c r="U2640" s="8"/>
    </row>
    <row r="2641" spans="1:49" ht="13.5" customHeight="1">
      <c r="A2641" s="8" t="s">
        <v>14343</v>
      </c>
      <c r="B2641" s="16">
        <v>20</v>
      </c>
      <c r="C2641" s="8" t="s">
        <v>20</v>
      </c>
      <c r="D2641" s="8" t="s">
        <v>48</v>
      </c>
      <c r="F2641" s="17">
        <v>41537</v>
      </c>
      <c r="G2641" s="8" t="s">
        <v>14344</v>
      </c>
      <c r="H2641" s="8" t="s">
        <v>14345</v>
      </c>
      <c r="I2641" s="8" t="s">
        <v>45</v>
      </c>
      <c r="J2641" s="16" t="s">
        <v>14346</v>
      </c>
      <c r="K2641" s="2" t="s">
        <v>1175</v>
      </c>
      <c r="L2641" s="8" t="s">
        <v>14347</v>
      </c>
      <c r="M2641" s="8" t="s">
        <v>27</v>
      </c>
      <c r="N2641" s="8" t="s">
        <v>14348</v>
      </c>
      <c r="O2641" s="8" t="s">
        <v>1018</v>
      </c>
      <c r="P2641" s="8" t="s">
        <v>405</v>
      </c>
      <c r="Q2641" s="12" t="s">
        <v>14349</v>
      </c>
      <c r="R2641" s="8" t="s">
        <v>100</v>
      </c>
      <c r="S2641" s="7" t="s">
        <v>28</v>
      </c>
      <c r="T2641" s="6"/>
      <c r="U2641" s="8"/>
    </row>
    <row r="2642" spans="1:49" ht="13.5" customHeight="1">
      <c r="A2642" s="8" t="s">
        <v>14338</v>
      </c>
      <c r="B2642" s="16">
        <v>24</v>
      </c>
      <c r="C2642" s="8" t="s">
        <v>20</v>
      </c>
      <c r="D2642" s="8" t="s">
        <v>85</v>
      </c>
      <c r="E2642" s="8" t="s">
        <v>14339</v>
      </c>
      <c r="F2642" s="17">
        <v>41537</v>
      </c>
      <c r="G2642" s="8" t="s">
        <v>14340</v>
      </c>
      <c r="H2642" s="8" t="s">
        <v>219</v>
      </c>
      <c r="I2642" s="8" t="s">
        <v>220</v>
      </c>
      <c r="J2642" s="16" t="s">
        <v>423</v>
      </c>
      <c r="K2642" s="2" t="s">
        <v>424</v>
      </c>
      <c r="L2642" s="8" t="s">
        <v>221</v>
      </c>
      <c r="M2642" s="8" t="s">
        <v>27</v>
      </c>
      <c r="N2642" s="8" t="s">
        <v>14341</v>
      </c>
      <c r="O2642" s="8" t="s">
        <v>1018</v>
      </c>
      <c r="P2642" s="8" t="s">
        <v>405</v>
      </c>
      <c r="Q2642" s="12" t="s">
        <v>14342</v>
      </c>
      <c r="R2642" s="8" t="s">
        <v>100</v>
      </c>
      <c r="S2642" s="7" t="s">
        <v>28</v>
      </c>
      <c r="T2642" s="6"/>
      <c r="U2642" s="8"/>
    </row>
    <row r="2643" spans="1:49" ht="13.5" customHeight="1">
      <c r="A2643" s="8" t="s">
        <v>14362</v>
      </c>
      <c r="B2643" s="16">
        <v>53</v>
      </c>
      <c r="C2643" s="8" t="s">
        <v>20</v>
      </c>
      <c r="D2643" s="8" t="s">
        <v>30</v>
      </c>
      <c r="F2643" s="17">
        <v>41535</v>
      </c>
      <c r="G2643" s="8" t="s">
        <v>14363</v>
      </c>
      <c r="H2643" s="8" t="s">
        <v>14364</v>
      </c>
      <c r="I2643" s="8" t="s">
        <v>62</v>
      </c>
      <c r="J2643" s="16" t="s">
        <v>14365</v>
      </c>
      <c r="K2643" s="2" t="s">
        <v>1070</v>
      </c>
      <c r="L2643" s="8" t="s">
        <v>14366</v>
      </c>
      <c r="M2643" s="8" t="s">
        <v>27</v>
      </c>
      <c r="N2643" s="8" t="s">
        <v>14367</v>
      </c>
      <c r="O2643" s="8" t="s">
        <v>1018</v>
      </c>
      <c r="P2643" s="8" t="s">
        <v>405</v>
      </c>
      <c r="Q2643" s="12"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2643" s="8" t="s">
        <v>100</v>
      </c>
      <c r="S2643" s="7" t="s">
        <v>18</v>
      </c>
      <c r="T2643" s="6"/>
      <c r="U2643" s="8"/>
      <c r="V2643" s="13"/>
      <c r="W2643" s="13"/>
      <c r="X2643" s="13"/>
    </row>
    <row r="2644" spans="1:49" ht="13.5" customHeight="1">
      <c r="A2644" s="8" t="s">
        <v>14368</v>
      </c>
      <c r="B2644" s="16">
        <v>48</v>
      </c>
      <c r="C2644" s="8" t="s">
        <v>115</v>
      </c>
      <c r="D2644" s="8" t="s">
        <v>37</v>
      </c>
      <c r="E2644" s="8" t="s">
        <v>14369</v>
      </c>
      <c r="F2644" s="17">
        <v>41535</v>
      </c>
      <c r="G2644" s="8" t="s">
        <v>14370</v>
      </c>
      <c r="H2644" s="8" t="s">
        <v>14371</v>
      </c>
      <c r="I2644" s="8" t="s">
        <v>62</v>
      </c>
      <c r="J2644" s="16" t="s">
        <v>14372</v>
      </c>
      <c r="K2644" s="2" t="s">
        <v>1134</v>
      </c>
      <c r="L2644" s="8" t="s">
        <v>4438</v>
      </c>
      <c r="M2644" s="8" t="s">
        <v>383</v>
      </c>
      <c r="N2644" s="8" t="s">
        <v>14373</v>
      </c>
      <c r="O2644" s="8" t="s">
        <v>1018</v>
      </c>
      <c r="P2644" s="8" t="s">
        <v>405</v>
      </c>
      <c r="Q2644" s="12" t="s">
        <v>14374</v>
      </c>
      <c r="R2644" s="8" t="s">
        <v>100</v>
      </c>
      <c r="S2644" s="7" t="s">
        <v>383</v>
      </c>
      <c r="T2644" s="6"/>
      <c r="U2644" s="8"/>
    </row>
    <row r="2645" spans="1:49" ht="13.5" customHeight="1">
      <c r="A2645" s="8" t="s">
        <v>14350</v>
      </c>
      <c r="B2645" s="16">
        <v>20</v>
      </c>
      <c r="C2645" s="8" t="s">
        <v>20</v>
      </c>
      <c r="D2645" s="8" t="s">
        <v>48</v>
      </c>
      <c r="F2645" s="17">
        <v>41535</v>
      </c>
      <c r="G2645" s="8" t="s">
        <v>14351</v>
      </c>
      <c r="H2645" s="8" t="s">
        <v>731</v>
      </c>
      <c r="I2645" s="8" t="s">
        <v>73</v>
      </c>
      <c r="J2645" s="16" t="s">
        <v>14352</v>
      </c>
      <c r="K2645" s="2" t="s">
        <v>562</v>
      </c>
      <c r="L2645" s="8" t="s">
        <v>563</v>
      </c>
      <c r="M2645" s="8" t="s">
        <v>27</v>
      </c>
      <c r="N2645" s="8" t="s">
        <v>14353</v>
      </c>
      <c r="O2645" s="8" t="s">
        <v>4742</v>
      </c>
      <c r="P2645" s="8" t="s">
        <v>405</v>
      </c>
      <c r="Q2645" s="12" t="s">
        <v>14354</v>
      </c>
      <c r="R2645" s="8" t="s">
        <v>100</v>
      </c>
      <c r="S2645" s="7" t="s">
        <v>28</v>
      </c>
      <c r="T2645" s="6"/>
      <c r="U2645" s="8"/>
    </row>
    <row r="2646" spans="1:49" ht="13.5" customHeight="1">
      <c r="A2646" s="8" t="s">
        <v>3288</v>
      </c>
      <c r="B2646" s="16" t="s">
        <v>29</v>
      </c>
      <c r="C2646" s="8" t="s">
        <v>20</v>
      </c>
      <c r="D2646" s="8" t="s">
        <v>48</v>
      </c>
      <c r="F2646" s="17">
        <v>41535</v>
      </c>
      <c r="G2646" s="8" t="s">
        <v>14355</v>
      </c>
      <c r="H2646" s="8" t="s">
        <v>98</v>
      </c>
      <c r="I2646" s="8" t="s">
        <v>45</v>
      </c>
      <c r="J2646" s="16" t="s">
        <v>8423</v>
      </c>
      <c r="K2646" s="2" t="s">
        <v>98</v>
      </c>
      <c r="L2646" s="8" t="s">
        <v>99</v>
      </c>
      <c r="M2646" s="8" t="s">
        <v>27</v>
      </c>
      <c r="N2646" s="8" t="s">
        <v>14356</v>
      </c>
      <c r="O2646" s="8" t="s">
        <v>1018</v>
      </c>
      <c r="P2646" s="8" t="s">
        <v>405</v>
      </c>
      <c r="Q2646" s="12" t="s">
        <v>14357</v>
      </c>
      <c r="R2646" s="8" t="s">
        <v>100</v>
      </c>
      <c r="S2646" s="7" t="s">
        <v>28</v>
      </c>
      <c r="T2646" s="6"/>
      <c r="U2646" s="8"/>
    </row>
    <row r="2647" spans="1:49" ht="13.5" customHeight="1">
      <c r="A2647" s="8" t="s">
        <v>14358</v>
      </c>
      <c r="B2647" s="16">
        <v>59</v>
      </c>
      <c r="C2647" s="8" t="s">
        <v>20</v>
      </c>
      <c r="D2647" s="8" t="s">
        <v>48</v>
      </c>
      <c r="F2647" s="17">
        <v>41535</v>
      </c>
      <c r="G2647" s="8" t="s">
        <v>14359</v>
      </c>
      <c r="H2647" s="8" t="s">
        <v>98</v>
      </c>
      <c r="I2647" s="8" t="s">
        <v>45</v>
      </c>
      <c r="J2647" s="16" t="s">
        <v>8423</v>
      </c>
      <c r="K2647" s="2" t="s">
        <v>98</v>
      </c>
      <c r="L2647" s="8" t="s">
        <v>14360</v>
      </c>
      <c r="M2647" s="8" t="s">
        <v>27</v>
      </c>
      <c r="N2647" s="8" t="s">
        <v>14361</v>
      </c>
      <c r="O2647" s="8" t="s">
        <v>1018</v>
      </c>
      <c r="P2647" s="8" t="s">
        <v>405</v>
      </c>
      <c r="Q2647" s="12" t="str">
        <f>HYPERLINK("http://homicide.latimes.com/post/ruben-ramos-escobedo/","http://homicide.latimes.com/post/ruben-ramos-escobedo/")</f>
        <v>http://homicide.latimes.com/post/ruben-ramos-escobedo/</v>
      </c>
      <c r="R2647" s="8" t="s">
        <v>29</v>
      </c>
      <c r="S2647" s="7" t="s">
        <v>35</v>
      </c>
      <c r="T2647" s="6"/>
      <c r="U2647" s="8"/>
    </row>
    <row r="2648" spans="1:49" ht="13.5" customHeight="1">
      <c r="A2648" s="8" t="s">
        <v>14380</v>
      </c>
      <c r="B2648" s="16">
        <v>25</v>
      </c>
      <c r="C2648" s="8" t="s">
        <v>20</v>
      </c>
      <c r="D2648" s="8" t="s">
        <v>85</v>
      </c>
      <c r="F2648" s="17">
        <v>41534</v>
      </c>
      <c r="G2648" s="8" t="s">
        <v>14381</v>
      </c>
      <c r="H2648" s="8" t="s">
        <v>762</v>
      </c>
      <c r="I2648" s="8" t="s">
        <v>427</v>
      </c>
      <c r="J2648" s="16" t="s">
        <v>14382</v>
      </c>
      <c r="K2648" s="2" t="s">
        <v>1861</v>
      </c>
      <c r="L2648" s="8" t="s">
        <v>586</v>
      </c>
      <c r="M2648" s="8" t="s">
        <v>3407</v>
      </c>
      <c r="N2648" s="8" t="s">
        <v>14383</v>
      </c>
      <c r="O2648" s="8" t="s">
        <v>1018</v>
      </c>
      <c r="P2648" s="8" t="s">
        <v>405</v>
      </c>
      <c r="Q2648" s="12" t="s">
        <v>14384</v>
      </c>
      <c r="R2648" s="8" t="s">
        <v>100</v>
      </c>
      <c r="S2648" s="7" t="s">
        <v>18</v>
      </c>
      <c r="T2648" s="6"/>
      <c r="U2648" s="8"/>
    </row>
    <row r="2649" spans="1:49" ht="13.5" customHeight="1">
      <c r="A2649" s="8" t="s">
        <v>14385</v>
      </c>
      <c r="B2649" s="16">
        <v>40</v>
      </c>
      <c r="C2649" s="8" t="s">
        <v>20</v>
      </c>
      <c r="D2649" s="8" t="s">
        <v>37</v>
      </c>
      <c r="E2649" s="8" t="s">
        <v>14386</v>
      </c>
      <c r="F2649" s="17">
        <v>41534</v>
      </c>
      <c r="G2649" s="8" t="s">
        <v>14387</v>
      </c>
      <c r="H2649" s="8" t="s">
        <v>14388</v>
      </c>
      <c r="I2649" s="8" t="s">
        <v>986</v>
      </c>
      <c r="J2649" s="16" t="s">
        <v>14389</v>
      </c>
      <c r="K2649" s="2" t="s">
        <v>37</v>
      </c>
      <c r="L2649" s="8" t="s">
        <v>6561</v>
      </c>
      <c r="M2649" s="8" t="s">
        <v>27</v>
      </c>
      <c r="N2649" s="8" t="s">
        <v>14390</v>
      </c>
      <c r="O2649" s="8" t="s">
        <v>1018</v>
      </c>
      <c r="P2649" s="8" t="s">
        <v>405</v>
      </c>
      <c r="Q2649" s="12" t="s">
        <v>14391</v>
      </c>
      <c r="R2649" s="8" t="s">
        <v>100</v>
      </c>
      <c r="S2649" s="7" t="s">
        <v>28</v>
      </c>
      <c r="T2649" s="6"/>
      <c r="U2649" s="8"/>
      <c r="Y2649" s="8"/>
      <c r="Z2649" s="8"/>
      <c r="AA2649" s="8"/>
      <c r="AB2649" s="8"/>
      <c r="AC2649" s="8"/>
      <c r="AD2649" s="8"/>
      <c r="AE2649" s="8"/>
      <c r="AF2649" s="8"/>
      <c r="AG2649" s="8"/>
      <c r="AH2649" s="8"/>
    </row>
    <row r="2650" spans="1:49" ht="13.5" customHeight="1">
      <c r="A2650" s="8" t="s">
        <v>14375</v>
      </c>
      <c r="B2650" s="16">
        <v>26</v>
      </c>
      <c r="C2650" s="8" t="s">
        <v>20</v>
      </c>
      <c r="D2650" s="8" t="s">
        <v>85</v>
      </c>
      <c r="E2650" s="8" t="s">
        <v>14376</v>
      </c>
      <c r="F2650" s="17">
        <v>41534</v>
      </c>
      <c r="G2650" s="8" t="s">
        <v>14377</v>
      </c>
      <c r="H2650" s="8" t="s">
        <v>497</v>
      </c>
      <c r="I2650" s="8" t="s">
        <v>370</v>
      </c>
      <c r="J2650" s="16" t="s">
        <v>13148</v>
      </c>
      <c r="K2650" s="2" t="s">
        <v>497</v>
      </c>
      <c r="L2650" s="8" t="s">
        <v>499</v>
      </c>
      <c r="M2650" s="8" t="s">
        <v>27</v>
      </c>
      <c r="N2650" s="8" t="s">
        <v>14378</v>
      </c>
      <c r="O2650" s="8" t="s">
        <v>554</v>
      </c>
      <c r="P2650" s="8" t="s">
        <v>405</v>
      </c>
      <c r="Q2650" s="12" t="s">
        <v>14379</v>
      </c>
      <c r="R2650" s="8" t="s">
        <v>559</v>
      </c>
      <c r="S2650" s="7" t="s">
        <v>28</v>
      </c>
      <c r="T2650" s="6"/>
      <c r="U2650" s="8"/>
    </row>
    <row r="2651" spans="1:49" ht="13.5" customHeight="1">
      <c r="A2651" s="8" t="s">
        <v>14392</v>
      </c>
      <c r="B2651" s="16">
        <v>34</v>
      </c>
      <c r="C2651" s="8" t="s">
        <v>20</v>
      </c>
      <c r="D2651" s="8" t="s">
        <v>85</v>
      </c>
      <c r="E2651" s="8" t="s">
        <v>14393</v>
      </c>
      <c r="F2651" s="17">
        <v>41533</v>
      </c>
      <c r="G2651" s="8" t="s">
        <v>14394</v>
      </c>
      <c r="H2651" s="8" t="s">
        <v>119</v>
      </c>
      <c r="I2651" s="8" t="s">
        <v>3709</v>
      </c>
      <c r="J2651" s="16" t="s">
        <v>14395</v>
      </c>
      <c r="K2651" s="2" t="s">
        <v>3711</v>
      </c>
      <c r="L2651" s="8" t="s">
        <v>19944</v>
      </c>
      <c r="M2651" s="8" t="s">
        <v>27</v>
      </c>
      <c r="N2651" s="8" t="s">
        <v>14396</v>
      </c>
      <c r="O2651" s="8" t="s">
        <v>554</v>
      </c>
      <c r="P2651" s="8" t="s">
        <v>405</v>
      </c>
      <c r="Q2651" s="12" t="s">
        <v>14397</v>
      </c>
      <c r="R2651" s="8" t="s">
        <v>100</v>
      </c>
      <c r="S2651" s="7" t="s">
        <v>28</v>
      </c>
      <c r="T2651" s="6"/>
      <c r="U2651" s="8"/>
    </row>
    <row r="2652" spans="1:49" ht="13.5" customHeight="1">
      <c r="A2652" s="8" t="s">
        <v>14404</v>
      </c>
      <c r="B2652" s="16">
        <v>34</v>
      </c>
      <c r="C2652" s="8" t="s">
        <v>20</v>
      </c>
      <c r="D2652" s="8" t="s">
        <v>48</v>
      </c>
      <c r="E2652" s="8" t="s">
        <v>14405</v>
      </c>
      <c r="F2652" s="17">
        <v>41533</v>
      </c>
      <c r="G2652" s="8" t="s">
        <v>14406</v>
      </c>
      <c r="H2652" s="8" t="s">
        <v>686</v>
      </c>
      <c r="I2652" s="8" t="s">
        <v>45</v>
      </c>
      <c r="J2652" s="16" t="s">
        <v>14407</v>
      </c>
      <c r="K2652" s="2" t="s">
        <v>687</v>
      </c>
      <c r="L2652" s="8" t="s">
        <v>688</v>
      </c>
      <c r="M2652" s="8" t="s">
        <v>27</v>
      </c>
      <c r="N2652" s="8" t="s">
        <v>14408</v>
      </c>
      <c r="O2652" s="8" t="s">
        <v>554</v>
      </c>
      <c r="P2652" s="8" t="s">
        <v>405</v>
      </c>
      <c r="Q2652" s="12" t="s">
        <v>14409</v>
      </c>
      <c r="R2652" s="8" t="s">
        <v>100</v>
      </c>
      <c r="S2652" s="7" t="s">
        <v>18</v>
      </c>
      <c r="T2652" s="6"/>
      <c r="U2652" s="8"/>
      <c r="Y2652" s="8"/>
      <c r="Z2652" s="8"/>
      <c r="AA2652" s="8"/>
      <c r="AB2652" s="8"/>
      <c r="AC2652" s="8"/>
      <c r="AD2652" s="8"/>
      <c r="AE2652" s="8"/>
      <c r="AF2652" s="8"/>
      <c r="AG2652" s="8"/>
      <c r="AH2652" s="8"/>
    </row>
    <row r="2653" spans="1:49" ht="13.5" customHeight="1">
      <c r="A2653" s="8" t="s">
        <v>14415</v>
      </c>
      <c r="B2653" s="16">
        <v>32</v>
      </c>
      <c r="C2653" s="8" t="s">
        <v>20</v>
      </c>
      <c r="D2653" s="8" t="s">
        <v>37</v>
      </c>
      <c r="E2653" s="8" t="s">
        <v>14416</v>
      </c>
      <c r="F2653" s="17">
        <v>41533</v>
      </c>
      <c r="G2653" s="8" t="s">
        <v>14406</v>
      </c>
      <c r="H2653" s="8" t="s">
        <v>686</v>
      </c>
      <c r="I2653" s="8" t="s">
        <v>45</v>
      </c>
      <c r="J2653" s="16" t="s">
        <v>14407</v>
      </c>
      <c r="K2653" s="2" t="s">
        <v>687</v>
      </c>
      <c r="L2653" s="8" t="s">
        <v>688</v>
      </c>
      <c r="M2653" s="8" t="s">
        <v>27</v>
      </c>
      <c r="N2653" s="8" t="s">
        <v>14417</v>
      </c>
      <c r="O2653" s="8" t="s">
        <v>554</v>
      </c>
      <c r="P2653" s="8" t="s">
        <v>405</v>
      </c>
      <c r="Q2653" s="12" t="s">
        <v>14418</v>
      </c>
      <c r="R2653" s="8" t="s">
        <v>100</v>
      </c>
      <c r="S2653" s="7" t="s">
        <v>28</v>
      </c>
      <c r="T2653" s="6"/>
      <c r="U2653" s="8"/>
    </row>
    <row r="2654" spans="1:49" ht="13.5" customHeight="1">
      <c r="A2654" s="8" t="s">
        <v>14398</v>
      </c>
      <c r="B2654" s="16">
        <v>39</v>
      </c>
      <c r="C2654" s="8" t="s">
        <v>20</v>
      </c>
      <c r="D2654" s="8" t="s">
        <v>85</v>
      </c>
      <c r="E2654" s="8" t="s">
        <v>14399</v>
      </c>
      <c r="F2654" s="17">
        <v>41533</v>
      </c>
      <c r="G2654" s="8" t="s">
        <v>14400</v>
      </c>
      <c r="H2654" s="8" t="s">
        <v>51</v>
      </c>
      <c r="I2654" s="8" t="s">
        <v>32</v>
      </c>
      <c r="J2654" s="16" t="s">
        <v>13826</v>
      </c>
      <c r="K2654" s="2" t="s">
        <v>2615</v>
      </c>
      <c r="L2654" s="8" t="s">
        <v>14401</v>
      </c>
      <c r="M2654" s="8" t="s">
        <v>27</v>
      </c>
      <c r="N2654" s="8" t="s">
        <v>14402</v>
      </c>
      <c r="O2654" s="8" t="s">
        <v>1018</v>
      </c>
      <c r="P2654" s="8" t="s">
        <v>405</v>
      </c>
      <c r="Q2654" s="12" t="s">
        <v>14403</v>
      </c>
      <c r="R2654" s="8" t="s">
        <v>100</v>
      </c>
      <c r="S2654" s="7" t="s">
        <v>28</v>
      </c>
      <c r="T2654" s="6"/>
      <c r="U2654" s="8"/>
    </row>
    <row r="2655" spans="1:49" ht="13.5" customHeight="1">
      <c r="A2655" s="8" t="s">
        <v>14410</v>
      </c>
      <c r="B2655" s="16">
        <v>55</v>
      </c>
      <c r="C2655" s="8" t="s">
        <v>115</v>
      </c>
      <c r="D2655" s="8" t="s">
        <v>30</v>
      </c>
      <c r="F2655" s="17">
        <v>41533</v>
      </c>
      <c r="G2655" s="8" t="s">
        <v>14411</v>
      </c>
      <c r="H2655" s="8" t="s">
        <v>216</v>
      </c>
      <c r="I2655" s="8" t="s">
        <v>62</v>
      </c>
      <c r="J2655" s="16" t="s">
        <v>14412</v>
      </c>
      <c r="K2655" s="2" t="s">
        <v>163</v>
      </c>
      <c r="L2655" s="8" t="s">
        <v>164</v>
      </c>
      <c r="M2655" s="8" t="s">
        <v>383</v>
      </c>
      <c r="N2655" s="8" t="s">
        <v>14413</v>
      </c>
      <c r="O2655" s="8" t="s">
        <v>1018</v>
      </c>
      <c r="P2655" s="8" t="s">
        <v>405</v>
      </c>
      <c r="Q2655" s="12" t="s">
        <v>14414</v>
      </c>
      <c r="R2655" s="8" t="s">
        <v>100</v>
      </c>
      <c r="S2655" s="7" t="s">
        <v>383</v>
      </c>
      <c r="T2655" s="6"/>
      <c r="U2655" s="8"/>
    </row>
    <row r="2656" spans="1:49" ht="13.5" customHeight="1">
      <c r="A2656" s="8" t="s">
        <v>14446</v>
      </c>
      <c r="B2656" s="16">
        <v>55</v>
      </c>
      <c r="C2656" s="8" t="s">
        <v>20</v>
      </c>
      <c r="D2656" s="8" t="s">
        <v>37</v>
      </c>
      <c r="E2656" s="8" t="s">
        <v>14447</v>
      </c>
      <c r="F2656" s="17">
        <v>41531</v>
      </c>
      <c r="G2656" s="8" t="s">
        <v>14448</v>
      </c>
      <c r="H2656" s="8" t="s">
        <v>1110</v>
      </c>
      <c r="I2656" s="8" t="s">
        <v>408</v>
      </c>
      <c r="J2656" s="16" t="s">
        <v>14449</v>
      </c>
      <c r="K2656" s="2" t="s">
        <v>1110</v>
      </c>
      <c r="L2656" s="8" t="s">
        <v>1111</v>
      </c>
      <c r="M2656" s="8" t="s">
        <v>383</v>
      </c>
      <c r="N2656" s="8" t="s">
        <v>14450</v>
      </c>
      <c r="O2656" s="8" t="s">
        <v>1170</v>
      </c>
      <c r="P2656" s="8" t="s">
        <v>1171</v>
      </c>
      <c r="Q2656" s="12" t="s">
        <v>14451</v>
      </c>
      <c r="R2656" s="8" t="s">
        <v>100</v>
      </c>
      <c r="S2656" s="7" t="s">
        <v>383</v>
      </c>
      <c r="T2656" s="6"/>
      <c r="U2656" s="8"/>
      <c r="AU2656" s="1"/>
      <c r="AV2656" s="1"/>
      <c r="AW2656" s="1"/>
    </row>
    <row r="2657" spans="1:49" ht="13.5" customHeight="1">
      <c r="A2657" s="8" t="s">
        <v>14424</v>
      </c>
      <c r="B2657" s="16">
        <v>24</v>
      </c>
      <c r="C2657" s="8" t="s">
        <v>20</v>
      </c>
      <c r="D2657" s="8" t="s">
        <v>85</v>
      </c>
      <c r="E2657" s="8" t="s">
        <v>14425</v>
      </c>
      <c r="F2657" s="17">
        <v>41531</v>
      </c>
      <c r="G2657" s="8" t="s">
        <v>14426</v>
      </c>
      <c r="H2657" s="8" t="s">
        <v>4243</v>
      </c>
      <c r="I2657" s="8" t="s">
        <v>370</v>
      </c>
      <c r="J2657" s="16">
        <v>28215</v>
      </c>
      <c r="K2657" s="2" t="s">
        <v>4245</v>
      </c>
      <c r="L2657" s="8" t="s">
        <v>4246</v>
      </c>
      <c r="M2657" s="8" t="s">
        <v>27</v>
      </c>
      <c r="N2657" s="8" t="s">
        <v>14427</v>
      </c>
      <c r="O2657" s="8" t="s">
        <v>1170</v>
      </c>
      <c r="P2657" s="8" t="s">
        <v>1171</v>
      </c>
      <c r="Q2657" s="12" t="s">
        <v>14428</v>
      </c>
      <c r="R2657" s="8" t="s">
        <v>100</v>
      </c>
      <c r="S2657" s="7" t="s">
        <v>18</v>
      </c>
      <c r="T2657" s="6"/>
      <c r="U2657" s="8"/>
    </row>
    <row r="2658" spans="1:49" ht="13.5" customHeight="1">
      <c r="A2658" s="8" t="s">
        <v>14429</v>
      </c>
      <c r="B2658" s="16">
        <v>30</v>
      </c>
      <c r="C2658" s="8" t="s">
        <v>20</v>
      </c>
      <c r="D2658" s="8" t="s">
        <v>30</v>
      </c>
      <c r="F2658" s="17">
        <v>41531</v>
      </c>
      <c r="G2658" s="8" t="s">
        <v>14430</v>
      </c>
      <c r="H2658" s="8" t="s">
        <v>481</v>
      </c>
      <c r="I2658" s="8" t="s">
        <v>247</v>
      </c>
      <c r="J2658" s="16" t="s">
        <v>14431</v>
      </c>
      <c r="K2658" s="2" t="s">
        <v>13491</v>
      </c>
      <c r="L2658" s="8" t="s">
        <v>2728</v>
      </c>
      <c r="M2658" s="8" t="s">
        <v>27</v>
      </c>
      <c r="N2658" s="8" t="s">
        <v>14432</v>
      </c>
      <c r="O2658" s="8" t="s">
        <v>554</v>
      </c>
      <c r="P2658" s="8" t="s">
        <v>405</v>
      </c>
      <c r="Q2658" s="12" t="s">
        <v>14433</v>
      </c>
      <c r="R2658" s="8" t="s">
        <v>100</v>
      </c>
      <c r="S2658" s="7" t="s">
        <v>28</v>
      </c>
      <c r="T2658" s="6"/>
      <c r="U2658" s="8"/>
    </row>
    <row r="2659" spans="1:49" ht="13.5" customHeight="1">
      <c r="A2659" s="8" t="s">
        <v>14440</v>
      </c>
      <c r="B2659" s="16">
        <v>30</v>
      </c>
      <c r="C2659" s="8" t="s">
        <v>20</v>
      </c>
      <c r="D2659" s="8" t="s">
        <v>37</v>
      </c>
      <c r="E2659" s="8" t="s">
        <v>14441</v>
      </c>
      <c r="F2659" s="17">
        <v>41531</v>
      </c>
      <c r="G2659" s="8" t="s">
        <v>14442</v>
      </c>
      <c r="H2659" s="8" t="s">
        <v>638</v>
      </c>
      <c r="I2659" s="8" t="s">
        <v>124</v>
      </c>
      <c r="J2659" s="16" t="s">
        <v>14443</v>
      </c>
      <c r="K2659" s="2" t="s">
        <v>639</v>
      </c>
      <c r="L2659" s="8" t="s">
        <v>640</v>
      </c>
      <c r="M2659" s="8" t="s">
        <v>27</v>
      </c>
      <c r="N2659" s="8" t="s">
        <v>14444</v>
      </c>
      <c r="O2659" s="8" t="s">
        <v>4742</v>
      </c>
      <c r="P2659" s="8" t="s">
        <v>405</v>
      </c>
      <c r="Q2659" s="12" t="s">
        <v>14445</v>
      </c>
      <c r="R2659" s="8" t="s">
        <v>100</v>
      </c>
      <c r="S2659" s="7" t="s">
        <v>28</v>
      </c>
      <c r="T2659" s="6"/>
      <c r="U2659" s="8"/>
      <c r="V2659" s="8"/>
      <c r="W2659" s="8"/>
      <c r="X2659" s="8"/>
    </row>
    <row r="2660" spans="1:49" ht="13.5" customHeight="1">
      <c r="A2660" s="8" t="s">
        <v>14419</v>
      </c>
      <c r="B2660" s="16">
        <v>27</v>
      </c>
      <c r="C2660" s="8" t="s">
        <v>20</v>
      </c>
      <c r="D2660" s="8" t="s">
        <v>85</v>
      </c>
      <c r="E2660" s="8" t="s">
        <v>14420</v>
      </c>
      <c r="F2660" s="17">
        <v>41531</v>
      </c>
      <c r="G2660" s="8" t="s">
        <v>14421</v>
      </c>
      <c r="H2660" s="8" t="s">
        <v>6635</v>
      </c>
      <c r="I2660" s="8" t="s">
        <v>124</v>
      </c>
      <c r="J2660" s="16" t="s">
        <v>6636</v>
      </c>
      <c r="K2660" s="2" t="s">
        <v>639</v>
      </c>
      <c r="L2660" s="8" t="s">
        <v>6637</v>
      </c>
      <c r="M2660" s="8" t="s">
        <v>27</v>
      </c>
      <c r="N2660" s="8" t="s">
        <v>14422</v>
      </c>
      <c r="O2660" s="8" t="s">
        <v>4742</v>
      </c>
      <c r="P2660" s="8" t="s">
        <v>405</v>
      </c>
      <c r="Q2660" s="12" t="s">
        <v>14423</v>
      </c>
      <c r="R2660" s="8" t="s">
        <v>100</v>
      </c>
      <c r="S2660" s="7" t="s">
        <v>28</v>
      </c>
      <c r="T2660" s="6"/>
      <c r="U2660" s="8"/>
      <c r="Y2660" s="8"/>
      <c r="Z2660" s="8"/>
      <c r="AA2660" s="8"/>
      <c r="AB2660" s="8"/>
      <c r="AC2660" s="8"/>
      <c r="AD2660" s="8"/>
      <c r="AE2660" s="8"/>
      <c r="AF2660" s="8"/>
      <c r="AG2660" s="8"/>
      <c r="AH2660" s="8"/>
    </row>
    <row r="2661" spans="1:49" ht="13.5" customHeight="1">
      <c r="A2661" s="8" t="s">
        <v>14434</v>
      </c>
      <c r="B2661" s="16">
        <v>56</v>
      </c>
      <c r="C2661" s="8" t="s">
        <v>20</v>
      </c>
      <c r="D2661" s="8" t="s">
        <v>30</v>
      </c>
      <c r="F2661" s="17">
        <v>41531</v>
      </c>
      <c r="G2661" s="8" t="s">
        <v>14435</v>
      </c>
      <c r="H2661" s="8" t="s">
        <v>5226</v>
      </c>
      <c r="I2661" s="8" t="s">
        <v>175</v>
      </c>
      <c r="J2661" s="16" t="s">
        <v>14436</v>
      </c>
      <c r="K2661" s="2" t="s">
        <v>3782</v>
      </c>
      <c r="L2661" s="8" t="s">
        <v>14437</v>
      </c>
      <c r="M2661" s="8" t="s">
        <v>27</v>
      </c>
      <c r="N2661" s="8" t="s">
        <v>14438</v>
      </c>
      <c r="O2661" s="8" t="s">
        <v>404</v>
      </c>
      <c r="P2661" s="8" t="s">
        <v>405</v>
      </c>
      <c r="Q2661" s="12" t="s">
        <v>14439</v>
      </c>
      <c r="R2661" s="8" t="s">
        <v>100</v>
      </c>
      <c r="S2661" s="7" t="s">
        <v>28</v>
      </c>
      <c r="T2661" s="6"/>
      <c r="U2661" s="8"/>
    </row>
    <row r="2662" spans="1:49" ht="13.5" customHeight="1">
      <c r="A2662" s="8" t="s">
        <v>14452</v>
      </c>
      <c r="B2662" s="16" t="s">
        <v>10218</v>
      </c>
      <c r="C2662" s="8" t="s">
        <v>20</v>
      </c>
      <c r="D2662" s="8" t="s">
        <v>48</v>
      </c>
      <c r="E2662" s="8" t="s">
        <v>14453</v>
      </c>
      <c r="F2662" s="17">
        <v>41530</v>
      </c>
      <c r="G2662" s="8" t="s">
        <v>14454</v>
      </c>
      <c r="H2662" s="8" t="s">
        <v>791</v>
      </c>
      <c r="I2662" s="8" t="s">
        <v>45</v>
      </c>
      <c r="J2662" s="16" t="s">
        <v>13081</v>
      </c>
      <c r="K2662" s="2" t="s">
        <v>791</v>
      </c>
      <c r="L2662" s="8" t="s">
        <v>6009</v>
      </c>
      <c r="M2662" s="8" t="s">
        <v>27</v>
      </c>
      <c r="N2662" s="8" t="s">
        <v>14455</v>
      </c>
      <c r="O2662" s="8" t="s">
        <v>29</v>
      </c>
      <c r="P2662" s="8" t="s">
        <v>405</v>
      </c>
      <c r="Q2662" s="12" t="s">
        <v>14456</v>
      </c>
      <c r="R2662" s="8" t="s">
        <v>559</v>
      </c>
      <c r="S2662" s="7" t="s">
        <v>28</v>
      </c>
      <c r="T2662" s="6"/>
      <c r="U2662" s="8"/>
    </row>
    <row r="2663" spans="1:49" s="1" customFormat="1" ht="12">
      <c r="A2663" s="8" t="s">
        <v>14457</v>
      </c>
      <c r="B2663" s="16">
        <v>36</v>
      </c>
      <c r="C2663" s="8" t="s">
        <v>20</v>
      </c>
      <c r="D2663" s="8" t="s">
        <v>48</v>
      </c>
      <c r="E2663" s="8" t="s">
        <v>14458</v>
      </c>
      <c r="F2663" s="17">
        <v>41529</v>
      </c>
      <c r="G2663" s="8" t="s">
        <v>14459</v>
      </c>
      <c r="H2663" s="8" t="s">
        <v>3954</v>
      </c>
      <c r="I2663" s="8" t="s">
        <v>124</v>
      </c>
      <c r="J2663" s="31" t="s">
        <v>3955</v>
      </c>
      <c r="K2663" s="32" t="s">
        <v>639</v>
      </c>
      <c r="L2663" s="21" t="s">
        <v>3956</v>
      </c>
      <c r="M2663" s="21" t="s">
        <v>27</v>
      </c>
      <c r="N2663" s="21" t="s">
        <v>14460</v>
      </c>
      <c r="O2663" s="21" t="s">
        <v>554</v>
      </c>
      <c r="P2663" s="8" t="s">
        <v>405</v>
      </c>
      <c r="Q2663" s="33" t="s">
        <v>14461</v>
      </c>
      <c r="R2663" s="35" t="s">
        <v>29</v>
      </c>
      <c r="S2663" s="41" t="s">
        <v>35</v>
      </c>
      <c r="T2663" s="22"/>
      <c r="U2663" s="21"/>
      <c r="V2663" s="32"/>
      <c r="W2663" s="32"/>
      <c r="X2663" s="32"/>
      <c r="Y2663" s="32"/>
      <c r="Z2663" s="32"/>
      <c r="AA2663" s="32"/>
      <c r="AB2663" s="32"/>
      <c r="AC2663" s="2"/>
      <c r="AD2663" s="2"/>
      <c r="AE2663" s="2"/>
      <c r="AF2663" s="2"/>
      <c r="AG2663" s="2"/>
      <c r="AH2663" s="2"/>
      <c r="AI2663" s="2"/>
      <c r="AJ2663" s="2"/>
      <c r="AK2663" s="2"/>
      <c r="AL2663" s="2"/>
      <c r="AM2663" s="2"/>
      <c r="AN2663" s="2"/>
      <c r="AO2663" s="2"/>
      <c r="AP2663" s="2"/>
      <c r="AQ2663" s="2"/>
      <c r="AR2663" s="2"/>
      <c r="AS2663" s="2"/>
      <c r="AT2663" s="2"/>
      <c r="AU2663" s="2"/>
      <c r="AV2663" s="2"/>
      <c r="AW2663" s="2"/>
    </row>
    <row r="2664" spans="1:49" ht="13.5" customHeight="1">
      <c r="A2664" s="8" t="s">
        <v>14462</v>
      </c>
      <c r="B2664" s="16">
        <v>66</v>
      </c>
      <c r="C2664" s="8" t="s">
        <v>20</v>
      </c>
      <c r="D2664" s="8" t="s">
        <v>37</v>
      </c>
      <c r="F2664" s="17">
        <v>41529</v>
      </c>
      <c r="G2664" s="8" t="s">
        <v>14463</v>
      </c>
      <c r="H2664" s="8" t="s">
        <v>14464</v>
      </c>
      <c r="I2664" s="8" t="s">
        <v>45</v>
      </c>
      <c r="J2664" s="16" t="s">
        <v>10427</v>
      </c>
      <c r="K2664" s="2" t="s">
        <v>791</v>
      </c>
      <c r="L2664" s="8" t="s">
        <v>14465</v>
      </c>
      <c r="M2664" s="8" t="s">
        <v>27</v>
      </c>
      <c r="N2664" s="8" t="s">
        <v>14466</v>
      </c>
      <c r="O2664" s="8" t="s">
        <v>1018</v>
      </c>
      <c r="P2664" s="8" t="s">
        <v>405</v>
      </c>
      <c r="Q2664" s="12" t="s">
        <v>14467</v>
      </c>
      <c r="R2664" s="8" t="s">
        <v>29</v>
      </c>
      <c r="S2664" s="7" t="s">
        <v>28</v>
      </c>
      <c r="T2664" s="6"/>
      <c r="U2664" s="8"/>
    </row>
    <row r="2665" spans="1:49" ht="13.5" customHeight="1">
      <c r="A2665" s="8" t="s">
        <v>14476</v>
      </c>
      <c r="B2665" s="16">
        <v>23</v>
      </c>
      <c r="C2665" s="8" t="s">
        <v>20</v>
      </c>
      <c r="D2665" s="8" t="s">
        <v>48</v>
      </c>
      <c r="E2665" s="8" t="s">
        <v>14477</v>
      </c>
      <c r="F2665" s="17">
        <v>41527</v>
      </c>
      <c r="G2665" s="8" t="s">
        <v>14478</v>
      </c>
      <c r="H2665" s="8" t="s">
        <v>98</v>
      </c>
      <c r="I2665" s="8" t="s">
        <v>45</v>
      </c>
      <c r="J2665" s="16" t="s">
        <v>10271</v>
      </c>
      <c r="K2665" s="2" t="s">
        <v>98</v>
      </c>
      <c r="L2665" s="8" t="s">
        <v>5043</v>
      </c>
      <c r="M2665" s="8" t="s">
        <v>27</v>
      </c>
      <c r="N2665" s="8" t="s">
        <v>14479</v>
      </c>
      <c r="O2665" s="8" t="s">
        <v>4742</v>
      </c>
      <c r="P2665" s="8" t="s">
        <v>405</v>
      </c>
      <c r="Q2665" s="12" t="s">
        <v>14480</v>
      </c>
      <c r="R2665" s="8" t="s">
        <v>100</v>
      </c>
      <c r="S2665" s="7" t="s">
        <v>28</v>
      </c>
      <c r="T2665" s="6"/>
      <c r="U2665" s="8"/>
    </row>
    <row r="2666" spans="1:49" ht="13.5" customHeight="1">
      <c r="A2666" s="8" t="s">
        <v>14468</v>
      </c>
      <c r="B2666" s="16">
        <v>31</v>
      </c>
      <c r="C2666" s="8" t="s">
        <v>20</v>
      </c>
      <c r="D2666" s="8" t="s">
        <v>85</v>
      </c>
      <c r="E2666" s="8" t="s">
        <v>14469</v>
      </c>
      <c r="F2666" s="17">
        <v>41527</v>
      </c>
      <c r="G2666" s="8" t="s">
        <v>14470</v>
      </c>
      <c r="H2666" s="8" t="s">
        <v>14471</v>
      </c>
      <c r="I2666" s="8" t="s">
        <v>52</v>
      </c>
      <c r="J2666" s="16" t="s">
        <v>14472</v>
      </c>
      <c r="K2666" s="2" t="s">
        <v>3217</v>
      </c>
      <c r="L2666" s="8" t="s">
        <v>14473</v>
      </c>
      <c r="M2666" s="8" t="s">
        <v>27</v>
      </c>
      <c r="N2666" s="8" t="s">
        <v>14474</v>
      </c>
      <c r="P2666" s="8" t="s">
        <v>405</v>
      </c>
      <c r="Q2666" s="12" t="s">
        <v>14475</v>
      </c>
      <c r="R2666" s="8" t="s">
        <v>100</v>
      </c>
      <c r="S2666" s="7" t="s">
        <v>28</v>
      </c>
      <c r="T2666" s="6"/>
      <c r="U2666" s="8"/>
      <c r="Y2666" s="8"/>
      <c r="Z2666" s="8"/>
      <c r="AA2666" s="8"/>
      <c r="AB2666" s="8"/>
      <c r="AC2666" s="8"/>
      <c r="AD2666" s="8"/>
      <c r="AE2666" s="8"/>
      <c r="AF2666" s="8"/>
      <c r="AG2666" s="8"/>
      <c r="AH2666" s="8"/>
    </row>
    <row r="2667" spans="1:49" ht="13.5" customHeight="1">
      <c r="A2667" s="8" t="s">
        <v>14481</v>
      </c>
      <c r="B2667" s="16">
        <v>33</v>
      </c>
      <c r="C2667" s="8" t="s">
        <v>20</v>
      </c>
      <c r="D2667" s="8" t="s">
        <v>48</v>
      </c>
      <c r="E2667" s="8" t="s">
        <v>14482</v>
      </c>
      <c r="F2667" s="17">
        <v>41526</v>
      </c>
      <c r="G2667" s="8" t="s">
        <v>14485</v>
      </c>
      <c r="H2667" s="8" t="s">
        <v>4905</v>
      </c>
      <c r="I2667" s="8" t="s">
        <v>73</v>
      </c>
      <c r="J2667" s="16" t="s">
        <v>14486</v>
      </c>
      <c r="K2667" s="2" t="s">
        <v>1290</v>
      </c>
      <c r="L2667" s="8" t="s">
        <v>1291</v>
      </c>
      <c r="M2667" s="8" t="s">
        <v>27</v>
      </c>
      <c r="N2667" s="8" t="s">
        <v>14487</v>
      </c>
      <c r="O2667" s="8" t="s">
        <v>1018</v>
      </c>
      <c r="P2667" s="8" t="s">
        <v>405</v>
      </c>
      <c r="Q2667" s="12" t="s">
        <v>14484</v>
      </c>
      <c r="R2667" s="8" t="s">
        <v>100</v>
      </c>
      <c r="S2667" s="7" t="s">
        <v>28</v>
      </c>
      <c r="T2667" s="6"/>
      <c r="U2667" s="8"/>
    </row>
    <row r="2668" spans="1:49" ht="13.5" customHeight="1">
      <c r="A2668" s="8" t="s">
        <v>14481</v>
      </c>
      <c r="B2668" s="16">
        <v>33</v>
      </c>
      <c r="C2668" s="8" t="s">
        <v>20</v>
      </c>
      <c r="D2668" s="8" t="s">
        <v>48</v>
      </c>
      <c r="E2668" s="8" t="s">
        <v>14482</v>
      </c>
      <c r="F2668" s="17">
        <v>41526</v>
      </c>
      <c r="H2668" s="8" t="s">
        <v>14483</v>
      </c>
      <c r="I2668" s="8" t="s">
        <v>73</v>
      </c>
      <c r="K2668" s="2" t="s">
        <v>1290</v>
      </c>
      <c r="L2668" s="8" t="s">
        <v>1291</v>
      </c>
      <c r="M2668" s="8" t="s">
        <v>27</v>
      </c>
      <c r="P2668" s="8" t="s">
        <v>405</v>
      </c>
      <c r="Q2668" s="12" t="s">
        <v>14484</v>
      </c>
      <c r="S2668" s="7" t="s">
        <v>28</v>
      </c>
      <c r="T2668" s="6"/>
      <c r="U2668" s="8"/>
    </row>
    <row r="2669" spans="1:49" ht="13.5" customHeight="1">
      <c r="A2669" s="8" t="s">
        <v>3288</v>
      </c>
      <c r="C2669" s="8" t="s">
        <v>20</v>
      </c>
      <c r="D2669" s="8" t="s">
        <v>37</v>
      </c>
      <c r="F2669" s="17">
        <v>41526</v>
      </c>
      <c r="G2669" s="8" t="s">
        <v>14488</v>
      </c>
      <c r="H2669" s="8" t="s">
        <v>731</v>
      </c>
      <c r="I2669" s="8" t="s">
        <v>73</v>
      </c>
      <c r="J2669" s="16" t="s">
        <v>14489</v>
      </c>
      <c r="K2669" s="2" t="s">
        <v>562</v>
      </c>
      <c r="L2669" s="8" t="s">
        <v>732</v>
      </c>
      <c r="M2669" s="8" t="s">
        <v>27</v>
      </c>
      <c r="N2669" s="8" t="s">
        <v>14490</v>
      </c>
      <c r="O2669" s="8" t="s">
        <v>4742</v>
      </c>
      <c r="P2669" s="8" t="s">
        <v>405</v>
      </c>
      <c r="Q2669" s="12" t="s">
        <v>14491</v>
      </c>
      <c r="R2669" s="8" t="s">
        <v>100</v>
      </c>
      <c r="S2669" s="7" t="s">
        <v>28</v>
      </c>
      <c r="T2669" s="6"/>
      <c r="U2669" s="8"/>
    </row>
    <row r="2670" spans="1:49" ht="13.5" customHeight="1">
      <c r="A2670" s="8" t="s">
        <v>14492</v>
      </c>
      <c r="B2670" s="16">
        <v>56</v>
      </c>
      <c r="C2670" s="8" t="s">
        <v>20</v>
      </c>
      <c r="D2670" s="8" t="s">
        <v>37</v>
      </c>
      <c r="F2670" s="17">
        <v>41525</v>
      </c>
      <c r="G2670" s="8" t="s">
        <v>14493</v>
      </c>
      <c r="H2670" s="8" t="s">
        <v>14494</v>
      </c>
      <c r="I2670" s="8" t="s">
        <v>408</v>
      </c>
      <c r="L2670" s="8" t="s">
        <v>14495</v>
      </c>
      <c r="M2670" s="8" t="s">
        <v>27</v>
      </c>
      <c r="O2670" s="8" t="s">
        <v>1170</v>
      </c>
      <c r="P2670" s="8" t="s">
        <v>1171</v>
      </c>
      <c r="Q2670" s="12" t="str">
        <f>HYPERLINK("http://triblive.com/news/allegheny/4669466-74/officer-police-victim#axzz2eJeAaiTJ","http://triblive.com/news/allegheny/4669466-74/officer-police-victim#axzz2eJeAaiTJ")</f>
        <v>http://triblive.com/news/allegheny/4669466-74/officer-police-victim#axzz2eJeAaiTJ</v>
      </c>
      <c r="S2670" s="7" t="s">
        <v>28</v>
      </c>
      <c r="T2670" s="6"/>
      <c r="U2670" s="8"/>
    </row>
    <row r="2671" spans="1:49" ht="13.5" customHeight="1">
      <c r="A2671" s="8" t="s">
        <v>14538</v>
      </c>
      <c r="B2671" s="16">
        <v>21</v>
      </c>
      <c r="C2671" s="8" t="s">
        <v>20</v>
      </c>
      <c r="D2671" s="8" t="s">
        <v>37</v>
      </c>
      <c r="F2671" s="17">
        <v>41524</v>
      </c>
      <c r="G2671" s="8" t="s">
        <v>14539</v>
      </c>
      <c r="H2671" s="8" t="s">
        <v>3271</v>
      </c>
      <c r="I2671" s="8" t="s">
        <v>45</v>
      </c>
      <c r="J2671" s="16" t="s">
        <v>14540</v>
      </c>
      <c r="K2671" s="2" t="s">
        <v>3271</v>
      </c>
      <c r="L2671" s="8" t="s">
        <v>14541</v>
      </c>
      <c r="M2671" s="8" t="s">
        <v>27</v>
      </c>
      <c r="N2671" s="8" t="s">
        <v>14542</v>
      </c>
      <c r="O2671" s="8" t="s">
        <v>1018</v>
      </c>
      <c r="P2671" s="8" t="s">
        <v>405</v>
      </c>
      <c r="Q2671" s="12" t="s">
        <v>14543</v>
      </c>
      <c r="R2671" s="8" t="s">
        <v>100</v>
      </c>
      <c r="S2671" s="7" t="s">
        <v>18</v>
      </c>
      <c r="T2671" s="6"/>
      <c r="U2671" s="8"/>
    </row>
    <row r="2672" spans="1:49" ht="13.5" customHeight="1">
      <c r="A2672" s="8" t="s">
        <v>14525</v>
      </c>
      <c r="B2672" s="16">
        <v>29</v>
      </c>
      <c r="C2672" s="8" t="s">
        <v>20</v>
      </c>
      <c r="D2672" s="8" t="s">
        <v>37</v>
      </c>
      <c r="E2672" s="8" t="s">
        <v>14526</v>
      </c>
      <c r="F2672" s="17">
        <v>41524</v>
      </c>
      <c r="G2672" s="8" t="s">
        <v>14527</v>
      </c>
      <c r="H2672" s="8" t="s">
        <v>5165</v>
      </c>
      <c r="I2672" s="8" t="s">
        <v>323</v>
      </c>
      <c r="J2672" s="16" t="s">
        <v>14528</v>
      </c>
      <c r="K2672" s="2" t="s">
        <v>424</v>
      </c>
      <c r="L2672" s="8" t="s">
        <v>14529</v>
      </c>
      <c r="M2672" s="8" t="s">
        <v>27</v>
      </c>
      <c r="N2672" s="8" t="s">
        <v>14530</v>
      </c>
      <c r="O2672" s="8" t="s">
        <v>4742</v>
      </c>
      <c r="P2672" s="8" t="s">
        <v>405</v>
      </c>
      <c r="Q2672" s="12" t="s">
        <v>14531</v>
      </c>
      <c r="R2672" s="8" t="s">
        <v>100</v>
      </c>
      <c r="S2672" s="7" t="s">
        <v>28</v>
      </c>
      <c r="T2672" s="6"/>
      <c r="U2672" s="8"/>
    </row>
    <row r="2673" spans="1:24" ht="13.5" customHeight="1">
      <c r="A2673" s="8" t="s">
        <v>14510</v>
      </c>
      <c r="B2673" s="16">
        <v>26</v>
      </c>
      <c r="C2673" s="8" t="s">
        <v>20</v>
      </c>
      <c r="D2673" s="8" t="s">
        <v>48</v>
      </c>
      <c r="E2673" s="8" t="s">
        <v>14511</v>
      </c>
      <c r="F2673" s="17">
        <v>41524</v>
      </c>
      <c r="G2673" s="8" t="s">
        <v>14512</v>
      </c>
      <c r="H2673" s="8" t="s">
        <v>98</v>
      </c>
      <c r="I2673" s="8" t="s">
        <v>45</v>
      </c>
      <c r="J2673" s="16" t="s">
        <v>14513</v>
      </c>
      <c r="K2673" s="2" t="s">
        <v>98</v>
      </c>
      <c r="L2673" s="8" t="s">
        <v>99</v>
      </c>
      <c r="M2673" s="8" t="s">
        <v>14514</v>
      </c>
      <c r="N2673" s="8" t="s">
        <v>14515</v>
      </c>
      <c r="O2673" s="8" t="s">
        <v>404</v>
      </c>
      <c r="P2673" s="8" t="s">
        <v>405</v>
      </c>
      <c r="Q2673" s="12" t="s">
        <v>14516</v>
      </c>
      <c r="R2673" s="8" t="s">
        <v>100</v>
      </c>
      <c r="S2673" s="7" t="s">
        <v>18</v>
      </c>
      <c r="T2673" s="6"/>
      <c r="U2673" s="8"/>
    </row>
    <row r="2674" spans="1:24" ht="13.5" customHeight="1">
      <c r="A2674" s="8" t="s">
        <v>14517</v>
      </c>
      <c r="B2674" s="16">
        <v>35</v>
      </c>
      <c r="C2674" s="8" t="s">
        <v>20</v>
      </c>
      <c r="D2674" s="8" t="s">
        <v>30</v>
      </c>
      <c r="F2674" s="17">
        <v>41524</v>
      </c>
      <c r="G2674" s="8" t="s">
        <v>14518</v>
      </c>
      <c r="H2674" s="8" t="s">
        <v>1080</v>
      </c>
      <c r="I2674" s="8" t="s">
        <v>45</v>
      </c>
      <c r="K2674" s="2" t="s">
        <v>14519</v>
      </c>
      <c r="L2674" s="8" t="s">
        <v>741</v>
      </c>
      <c r="M2674" s="8" t="s">
        <v>5698</v>
      </c>
      <c r="P2674" s="8" t="s">
        <v>405</v>
      </c>
      <c r="Q2674" s="12" t="s">
        <v>14520</v>
      </c>
      <c r="S2674" s="7" t="s">
        <v>28</v>
      </c>
      <c r="T2674" s="6"/>
      <c r="U2674" s="8"/>
    </row>
    <row r="2675" spans="1:24" ht="13.5" customHeight="1">
      <c r="A2675" s="8" t="s">
        <v>14532</v>
      </c>
      <c r="B2675" s="16">
        <v>46</v>
      </c>
      <c r="C2675" s="8" t="s">
        <v>20</v>
      </c>
      <c r="D2675" s="8" t="s">
        <v>37</v>
      </c>
      <c r="E2675" s="8" t="s">
        <v>14533</v>
      </c>
      <c r="F2675" s="17">
        <v>41524</v>
      </c>
      <c r="G2675" s="8" t="s">
        <v>14534</v>
      </c>
      <c r="H2675" s="8" t="s">
        <v>2329</v>
      </c>
      <c r="I2675" s="8" t="s">
        <v>62</v>
      </c>
      <c r="J2675" s="16" t="s">
        <v>14535</v>
      </c>
      <c r="K2675" s="2" t="s">
        <v>2331</v>
      </c>
      <c r="L2675" s="8" t="s">
        <v>14296</v>
      </c>
      <c r="M2675" s="8" t="s">
        <v>27</v>
      </c>
      <c r="N2675" s="8" t="s">
        <v>14536</v>
      </c>
      <c r="O2675" s="8" t="s">
        <v>554</v>
      </c>
      <c r="P2675" s="8" t="s">
        <v>405</v>
      </c>
      <c r="Q2675" s="12" t="s">
        <v>14537</v>
      </c>
      <c r="R2675" s="8" t="s">
        <v>100</v>
      </c>
      <c r="S2675" s="7" t="s">
        <v>28</v>
      </c>
      <c r="T2675" s="6"/>
      <c r="U2675" s="8"/>
    </row>
    <row r="2676" spans="1:24" ht="13.5" customHeight="1">
      <c r="A2676" s="8" t="s">
        <v>14505</v>
      </c>
      <c r="B2676" s="16">
        <v>28</v>
      </c>
      <c r="C2676" s="8" t="s">
        <v>20</v>
      </c>
      <c r="D2676" s="8" t="s">
        <v>85</v>
      </c>
      <c r="E2676" s="8" t="s">
        <v>14506</v>
      </c>
      <c r="F2676" s="17">
        <v>41524</v>
      </c>
      <c r="G2676" s="8" t="s">
        <v>14507</v>
      </c>
      <c r="H2676" s="8" t="s">
        <v>87</v>
      </c>
      <c r="I2676" s="8" t="s">
        <v>44</v>
      </c>
      <c r="J2676" s="16" t="s">
        <v>7684</v>
      </c>
      <c r="K2676" s="2" t="s">
        <v>88</v>
      </c>
      <c r="L2676" s="8" t="s">
        <v>89</v>
      </c>
      <c r="M2676" s="8" t="s">
        <v>27</v>
      </c>
      <c r="N2676" s="8" t="s">
        <v>14508</v>
      </c>
      <c r="O2676" s="8" t="s">
        <v>404</v>
      </c>
      <c r="P2676" s="8" t="s">
        <v>405</v>
      </c>
      <c r="Q2676" s="12" t="s">
        <v>14509</v>
      </c>
      <c r="R2676" s="8" t="s">
        <v>29</v>
      </c>
      <c r="S2676" s="7" t="s">
        <v>18</v>
      </c>
      <c r="T2676" s="6"/>
      <c r="U2676" s="8"/>
    </row>
    <row r="2677" spans="1:24" ht="13.5" customHeight="1">
      <c r="A2677" s="8" t="s">
        <v>14496</v>
      </c>
      <c r="B2677" s="16" t="s">
        <v>14497</v>
      </c>
      <c r="C2677" s="8" t="s">
        <v>20</v>
      </c>
      <c r="D2677" s="8" t="s">
        <v>85</v>
      </c>
      <c r="E2677" s="8" t="s">
        <v>14498</v>
      </c>
      <c r="F2677" s="17">
        <v>41524</v>
      </c>
      <c r="G2677" s="8" t="s">
        <v>14499</v>
      </c>
      <c r="H2677" s="8" t="s">
        <v>14500</v>
      </c>
      <c r="I2677" s="8" t="s">
        <v>986</v>
      </c>
      <c r="J2677" s="16" t="s">
        <v>14501</v>
      </c>
      <c r="K2677" s="2" t="s">
        <v>1795</v>
      </c>
      <c r="L2677" s="8" t="s">
        <v>14502</v>
      </c>
      <c r="M2677" s="8" t="s">
        <v>27</v>
      </c>
      <c r="N2677" s="8" t="s">
        <v>14503</v>
      </c>
      <c r="O2677" s="8" t="s">
        <v>554</v>
      </c>
      <c r="P2677" s="8" t="s">
        <v>405</v>
      </c>
      <c r="Q2677" s="12" t="s">
        <v>14504</v>
      </c>
      <c r="R2677" s="8" t="s">
        <v>100</v>
      </c>
      <c r="S2677" s="7" t="s">
        <v>28</v>
      </c>
      <c r="T2677" s="6"/>
      <c r="U2677" s="8"/>
    </row>
    <row r="2678" spans="1:24" ht="13.5" customHeight="1">
      <c r="A2678" s="8" t="s">
        <v>14521</v>
      </c>
      <c r="B2678" s="16">
        <v>25</v>
      </c>
      <c r="C2678" s="8" t="s">
        <v>20</v>
      </c>
      <c r="D2678" s="8" t="s">
        <v>30</v>
      </c>
      <c r="F2678" s="17">
        <v>41524</v>
      </c>
      <c r="G2678" s="8" t="s">
        <v>14522</v>
      </c>
      <c r="H2678" s="8" t="s">
        <v>638</v>
      </c>
      <c r="I2678" s="8" t="s">
        <v>124</v>
      </c>
      <c r="J2678" s="16" t="s">
        <v>2833</v>
      </c>
      <c r="K2678" s="2" t="s">
        <v>639</v>
      </c>
      <c r="L2678" s="8" t="s">
        <v>640</v>
      </c>
      <c r="M2678" s="8" t="s">
        <v>27</v>
      </c>
      <c r="N2678" s="8" t="s">
        <v>14523</v>
      </c>
      <c r="O2678" s="8" t="s">
        <v>1018</v>
      </c>
      <c r="P2678" s="8" t="s">
        <v>405</v>
      </c>
      <c r="Q2678" s="12" t="s">
        <v>14524</v>
      </c>
      <c r="R2678" s="8" t="s">
        <v>100</v>
      </c>
      <c r="S2678" s="7" t="s">
        <v>28</v>
      </c>
      <c r="T2678" s="6"/>
      <c r="U2678" s="8"/>
      <c r="V2678" s="8"/>
      <c r="W2678" s="8"/>
      <c r="X2678" s="8"/>
    </row>
    <row r="2679" spans="1:24" ht="13.5" customHeight="1">
      <c r="A2679" s="8" t="s">
        <v>14544</v>
      </c>
      <c r="B2679" s="16">
        <v>24</v>
      </c>
      <c r="C2679" s="8" t="s">
        <v>20</v>
      </c>
      <c r="D2679" s="8" t="s">
        <v>85</v>
      </c>
      <c r="E2679" s="8" t="s">
        <v>14545</v>
      </c>
      <c r="F2679" s="17">
        <v>41523</v>
      </c>
      <c r="G2679" s="8" t="s">
        <v>14546</v>
      </c>
      <c r="H2679" s="8" t="s">
        <v>1583</v>
      </c>
      <c r="I2679" s="8" t="s">
        <v>62</v>
      </c>
      <c r="J2679" s="16" t="s">
        <v>14547</v>
      </c>
      <c r="K2679" s="2" t="s">
        <v>644</v>
      </c>
      <c r="L2679" s="8" t="s">
        <v>645</v>
      </c>
      <c r="M2679" s="8" t="s">
        <v>27</v>
      </c>
      <c r="N2679" s="8" t="s">
        <v>14548</v>
      </c>
      <c r="O2679" s="8" t="s">
        <v>554</v>
      </c>
      <c r="P2679" s="8" t="s">
        <v>405</v>
      </c>
      <c r="Q2679" s="12" t="s">
        <v>14549</v>
      </c>
      <c r="R2679" s="8" t="s">
        <v>100</v>
      </c>
      <c r="S2679" s="7" t="s">
        <v>28</v>
      </c>
      <c r="T2679" s="6"/>
      <c r="U2679" s="8"/>
    </row>
    <row r="2680" spans="1:24" ht="13.5" customHeight="1">
      <c r="A2680" s="8" t="s">
        <v>14557</v>
      </c>
      <c r="B2680" s="16">
        <v>32</v>
      </c>
      <c r="C2680" s="8" t="s">
        <v>20</v>
      </c>
      <c r="D2680" s="8" t="s">
        <v>37</v>
      </c>
      <c r="E2680" s="8" t="s">
        <v>14558</v>
      </c>
      <c r="F2680" s="17">
        <v>41523</v>
      </c>
      <c r="G2680" s="8" t="s">
        <v>14559</v>
      </c>
      <c r="H2680" s="8" t="s">
        <v>288</v>
      </c>
      <c r="I2680" s="8" t="s">
        <v>73</v>
      </c>
      <c r="J2680" s="16" t="s">
        <v>7707</v>
      </c>
      <c r="K2680" s="2" t="s">
        <v>288</v>
      </c>
      <c r="L2680" s="8" t="s">
        <v>289</v>
      </c>
      <c r="M2680" s="8" t="s">
        <v>27</v>
      </c>
      <c r="N2680" s="8" t="s">
        <v>14560</v>
      </c>
      <c r="O2680" s="8" t="s">
        <v>1018</v>
      </c>
      <c r="P2680" s="8" t="s">
        <v>405</v>
      </c>
      <c r="Q2680" s="12" t="s">
        <v>14561</v>
      </c>
      <c r="R2680" s="8" t="s">
        <v>29</v>
      </c>
      <c r="S2680" s="7" t="s">
        <v>28</v>
      </c>
      <c r="T2680" s="6"/>
      <c r="U2680" s="8"/>
    </row>
    <row r="2681" spans="1:24" ht="13.5" customHeight="1">
      <c r="A2681" s="8" t="s">
        <v>14570</v>
      </c>
      <c r="B2681" s="16">
        <v>53</v>
      </c>
      <c r="C2681" s="8" t="s">
        <v>20</v>
      </c>
      <c r="D2681" s="8" t="s">
        <v>37</v>
      </c>
      <c r="E2681" s="8" t="s">
        <v>14563</v>
      </c>
      <c r="F2681" s="17">
        <v>41523</v>
      </c>
      <c r="G2681" s="8" t="s">
        <v>14571</v>
      </c>
      <c r="H2681" s="8" t="s">
        <v>14565</v>
      </c>
      <c r="I2681" s="8" t="s">
        <v>45</v>
      </c>
      <c r="J2681" s="16" t="s">
        <v>14566</v>
      </c>
      <c r="K2681" s="2" t="s">
        <v>3271</v>
      </c>
      <c r="L2681" s="8" t="s">
        <v>14567</v>
      </c>
      <c r="M2681" s="8" t="s">
        <v>27</v>
      </c>
      <c r="N2681" s="8" t="s">
        <v>14572</v>
      </c>
      <c r="O2681" s="8" t="s">
        <v>1018</v>
      </c>
      <c r="P2681" s="8" t="s">
        <v>405</v>
      </c>
      <c r="Q2681" s="12" t="s">
        <v>14573</v>
      </c>
      <c r="R2681" s="8" t="s">
        <v>100</v>
      </c>
      <c r="S2681" s="7" t="s">
        <v>28</v>
      </c>
      <c r="T2681" s="6"/>
      <c r="U2681" s="8"/>
    </row>
    <row r="2682" spans="1:24" ht="13.5" customHeight="1">
      <c r="A2682" s="8" t="s">
        <v>14562</v>
      </c>
      <c r="B2682" s="16">
        <v>53</v>
      </c>
      <c r="C2682" s="8" t="s">
        <v>20</v>
      </c>
      <c r="D2682" s="8" t="s">
        <v>37</v>
      </c>
      <c r="E2682" s="8" t="s">
        <v>14563</v>
      </c>
      <c r="F2682" s="17">
        <v>41523</v>
      </c>
      <c r="G2682" s="8" t="s">
        <v>14564</v>
      </c>
      <c r="H2682" s="8" t="s">
        <v>14565</v>
      </c>
      <c r="I2682" s="8" t="s">
        <v>45</v>
      </c>
      <c r="J2682" s="16" t="s">
        <v>14566</v>
      </c>
      <c r="K2682" s="2" t="s">
        <v>3271</v>
      </c>
      <c r="L2682" s="8" t="s">
        <v>14567</v>
      </c>
      <c r="M2682" s="8" t="s">
        <v>27</v>
      </c>
      <c r="N2682" s="8" t="s">
        <v>14568</v>
      </c>
      <c r="O2682" s="8" t="s">
        <v>404</v>
      </c>
      <c r="P2682" s="8" t="s">
        <v>405</v>
      </c>
      <c r="Q2682" s="12" t="s">
        <v>14569</v>
      </c>
      <c r="R2682" s="8" t="s">
        <v>100</v>
      </c>
      <c r="S2682" s="7" t="s">
        <v>28</v>
      </c>
      <c r="T2682" s="6"/>
      <c r="U2682" s="8"/>
    </row>
    <row r="2683" spans="1:24" ht="13.5" customHeight="1">
      <c r="A2683" s="8" t="s">
        <v>14550</v>
      </c>
      <c r="B2683" s="16">
        <v>37</v>
      </c>
      <c r="C2683" s="8" t="s">
        <v>20</v>
      </c>
      <c r="D2683" s="8" t="s">
        <v>85</v>
      </c>
      <c r="E2683" s="8" t="s">
        <v>14551</v>
      </c>
      <c r="F2683" s="17">
        <v>41523</v>
      </c>
      <c r="G2683" s="8" t="s">
        <v>14552</v>
      </c>
      <c r="H2683" s="8" t="s">
        <v>14210</v>
      </c>
      <c r="I2683" s="8" t="s">
        <v>94</v>
      </c>
      <c r="J2683" s="16" t="s">
        <v>14553</v>
      </c>
      <c r="K2683" s="2" t="s">
        <v>14210</v>
      </c>
      <c r="L2683" s="8" t="s">
        <v>14554</v>
      </c>
      <c r="M2683" s="8" t="s">
        <v>27</v>
      </c>
      <c r="N2683" s="8" t="s">
        <v>14555</v>
      </c>
      <c r="O2683" s="8" t="s">
        <v>1018</v>
      </c>
      <c r="P2683" s="8" t="s">
        <v>405</v>
      </c>
      <c r="Q2683" s="12" t="s">
        <v>14556</v>
      </c>
      <c r="R2683" s="8" t="s">
        <v>100</v>
      </c>
      <c r="S2683" s="7" t="s">
        <v>28</v>
      </c>
      <c r="T2683" s="6"/>
      <c r="U2683" s="8"/>
    </row>
    <row r="2684" spans="1:24" ht="13.5" customHeight="1">
      <c r="A2684" s="8" t="s">
        <v>14579</v>
      </c>
      <c r="B2684" s="16">
        <v>30</v>
      </c>
      <c r="C2684" s="8" t="s">
        <v>20</v>
      </c>
      <c r="D2684" s="8" t="s">
        <v>85</v>
      </c>
      <c r="E2684" s="8" t="s">
        <v>14580</v>
      </c>
      <c r="F2684" s="17">
        <v>41522</v>
      </c>
      <c r="G2684" s="8" t="s">
        <v>14581</v>
      </c>
      <c r="H2684" s="8" t="s">
        <v>1285</v>
      </c>
      <c r="I2684" s="8" t="s">
        <v>46</v>
      </c>
      <c r="J2684" s="16" t="s">
        <v>14582</v>
      </c>
      <c r="K2684" s="2" t="s">
        <v>532</v>
      </c>
      <c r="L2684" s="8" t="s">
        <v>1286</v>
      </c>
      <c r="M2684" s="8" t="s">
        <v>27</v>
      </c>
      <c r="N2684" s="8" t="s">
        <v>14583</v>
      </c>
      <c r="O2684" s="8" t="s">
        <v>554</v>
      </c>
      <c r="P2684" s="8" t="s">
        <v>405</v>
      </c>
      <c r="Q2684" s="12" t="s">
        <v>14584</v>
      </c>
      <c r="R2684" s="8" t="s">
        <v>100</v>
      </c>
      <c r="S2684" s="7" t="s">
        <v>35</v>
      </c>
      <c r="T2684" s="6"/>
      <c r="U2684" s="8"/>
    </row>
    <row r="2685" spans="1:24" ht="13.5" customHeight="1">
      <c r="A2685" s="8" t="s">
        <v>14574</v>
      </c>
      <c r="B2685" s="16">
        <v>29</v>
      </c>
      <c r="C2685" s="8" t="s">
        <v>20</v>
      </c>
      <c r="D2685" s="8" t="s">
        <v>85</v>
      </c>
      <c r="F2685" s="17">
        <v>41522</v>
      </c>
      <c r="G2685" s="8" t="s">
        <v>14575</v>
      </c>
      <c r="H2685" s="8" t="s">
        <v>731</v>
      </c>
      <c r="I2685" s="8" t="s">
        <v>73</v>
      </c>
      <c r="J2685" s="16" t="s">
        <v>14576</v>
      </c>
      <c r="K2685" s="2" t="s">
        <v>562</v>
      </c>
      <c r="L2685" s="8" t="s">
        <v>563</v>
      </c>
      <c r="M2685" s="8" t="s">
        <v>27</v>
      </c>
      <c r="N2685" s="8" t="s">
        <v>14577</v>
      </c>
      <c r="O2685" s="8" t="s">
        <v>4742</v>
      </c>
      <c r="P2685" s="8" t="s">
        <v>405</v>
      </c>
      <c r="Q2685" s="12" t="s">
        <v>14578</v>
      </c>
      <c r="R2685" s="8" t="s">
        <v>100</v>
      </c>
      <c r="S2685" s="7" t="s">
        <v>28</v>
      </c>
      <c r="T2685" s="6"/>
      <c r="U2685" s="8"/>
    </row>
    <row r="2686" spans="1:24" ht="13.5" customHeight="1">
      <c r="A2686" s="8" t="s">
        <v>14585</v>
      </c>
      <c r="B2686" s="16">
        <v>36</v>
      </c>
      <c r="C2686" s="8" t="s">
        <v>20</v>
      </c>
      <c r="D2686" s="8" t="s">
        <v>85</v>
      </c>
      <c r="E2686" s="8" t="s">
        <v>14586</v>
      </c>
      <c r="F2686" s="17">
        <v>41522</v>
      </c>
      <c r="G2686" s="8" t="s">
        <v>14587</v>
      </c>
      <c r="H2686" s="8" t="s">
        <v>14210</v>
      </c>
      <c r="I2686" s="8" t="s">
        <v>94</v>
      </c>
      <c r="J2686" s="16" t="s">
        <v>14588</v>
      </c>
      <c r="K2686" s="2" t="s">
        <v>14210</v>
      </c>
      <c r="L2686" s="8" t="s">
        <v>14554</v>
      </c>
      <c r="M2686" s="8" t="s">
        <v>27</v>
      </c>
      <c r="N2686" s="8" t="s">
        <v>14589</v>
      </c>
      <c r="O2686" s="8" t="s">
        <v>1018</v>
      </c>
      <c r="P2686" s="8" t="s">
        <v>405</v>
      </c>
      <c r="Q2686" s="12" t="s">
        <v>14590</v>
      </c>
      <c r="R2686" s="8" t="s">
        <v>100</v>
      </c>
      <c r="S2686" s="7" t="s">
        <v>28</v>
      </c>
      <c r="T2686" s="6"/>
      <c r="U2686" s="8"/>
    </row>
    <row r="2687" spans="1:24" ht="13.5" customHeight="1">
      <c r="A2687" s="8" t="s">
        <v>3288</v>
      </c>
      <c r="B2687" s="16" t="s">
        <v>29</v>
      </c>
      <c r="C2687" s="8" t="s">
        <v>20</v>
      </c>
      <c r="D2687" s="8" t="s">
        <v>30</v>
      </c>
      <c r="F2687" s="17">
        <v>41522</v>
      </c>
      <c r="G2687" s="8" t="s">
        <v>14591</v>
      </c>
      <c r="H2687" s="8" t="s">
        <v>1933</v>
      </c>
      <c r="I2687" s="8" t="s">
        <v>175</v>
      </c>
      <c r="J2687" s="16" t="s">
        <v>8317</v>
      </c>
      <c r="K2687" s="2" t="s">
        <v>1572</v>
      </c>
      <c r="L2687" s="8" t="s">
        <v>14592</v>
      </c>
      <c r="M2687" s="8" t="s">
        <v>27</v>
      </c>
      <c r="N2687" s="8" t="s">
        <v>14593</v>
      </c>
      <c r="O2687" s="8" t="s">
        <v>1018</v>
      </c>
      <c r="P2687" s="8" t="s">
        <v>405</v>
      </c>
      <c r="Q2687" s="12" t="s">
        <v>14594</v>
      </c>
      <c r="R2687" s="8" t="s">
        <v>100</v>
      </c>
      <c r="S2687" s="7" t="s">
        <v>28</v>
      </c>
      <c r="T2687" s="6"/>
      <c r="U2687" s="8"/>
    </row>
    <row r="2688" spans="1:24" ht="13.5" customHeight="1">
      <c r="A2688" s="8" t="s">
        <v>14595</v>
      </c>
      <c r="B2688" s="16">
        <v>25</v>
      </c>
      <c r="C2688" s="8" t="s">
        <v>20</v>
      </c>
      <c r="D2688" s="8" t="s">
        <v>85</v>
      </c>
      <c r="E2688" s="8" t="s">
        <v>14596</v>
      </c>
      <c r="F2688" s="17">
        <v>41521</v>
      </c>
      <c r="G2688" s="8" t="s">
        <v>14597</v>
      </c>
      <c r="H2688" s="8" t="s">
        <v>1608</v>
      </c>
      <c r="I2688" s="8" t="s">
        <v>52</v>
      </c>
      <c r="J2688" s="16" t="s">
        <v>14598</v>
      </c>
      <c r="K2688" s="2" t="s">
        <v>4755</v>
      </c>
      <c r="L2688" s="8" t="s">
        <v>2799</v>
      </c>
      <c r="M2688" s="8" t="s">
        <v>27</v>
      </c>
      <c r="N2688" s="8" t="s">
        <v>14599</v>
      </c>
      <c r="O2688" s="8" t="s">
        <v>4742</v>
      </c>
      <c r="P2688" s="8" t="s">
        <v>405</v>
      </c>
      <c r="Q2688" s="12" t="s">
        <v>14600</v>
      </c>
      <c r="R2688" s="8" t="s">
        <v>100</v>
      </c>
      <c r="S2688" s="7" t="s">
        <v>18</v>
      </c>
      <c r="T2688" s="6"/>
      <c r="U2688" s="8"/>
    </row>
    <row r="2689" spans="1:34" ht="13.5" customHeight="1">
      <c r="A2689" s="8" t="s">
        <v>14601</v>
      </c>
      <c r="B2689" s="16">
        <v>34</v>
      </c>
      <c r="C2689" s="8" t="s">
        <v>20</v>
      </c>
      <c r="D2689" s="8" t="s">
        <v>48</v>
      </c>
      <c r="E2689" s="8" t="s">
        <v>14602</v>
      </c>
      <c r="F2689" s="17">
        <v>41521</v>
      </c>
      <c r="G2689" s="8" t="s">
        <v>14603</v>
      </c>
      <c r="H2689" s="8" t="s">
        <v>779</v>
      </c>
      <c r="I2689" s="8" t="s">
        <v>45</v>
      </c>
      <c r="J2689" s="16" t="s">
        <v>9488</v>
      </c>
      <c r="K2689" s="2" t="s">
        <v>613</v>
      </c>
      <c r="L2689" s="8" t="s">
        <v>14604</v>
      </c>
      <c r="M2689" s="8" t="s">
        <v>27</v>
      </c>
      <c r="N2689" s="8" t="s">
        <v>14605</v>
      </c>
      <c r="O2689" s="8" t="s">
        <v>554</v>
      </c>
      <c r="P2689" s="8" t="s">
        <v>405</v>
      </c>
      <c r="Q2689" s="12" t="s">
        <v>14606</v>
      </c>
      <c r="R2689" s="8" t="s">
        <v>14607</v>
      </c>
      <c r="S2689" s="7" t="s">
        <v>18</v>
      </c>
      <c r="T2689" s="6"/>
      <c r="U2689" s="8"/>
    </row>
    <row r="2690" spans="1:34" ht="13.5" customHeight="1">
      <c r="A2690" s="8" t="s">
        <v>14619</v>
      </c>
      <c r="B2690" s="16">
        <v>53</v>
      </c>
      <c r="C2690" s="8" t="s">
        <v>20</v>
      </c>
      <c r="D2690" s="8" t="s">
        <v>30</v>
      </c>
      <c r="F2690" s="17">
        <v>41520</v>
      </c>
      <c r="G2690" s="8" t="s">
        <v>14620</v>
      </c>
      <c r="H2690" s="8" t="s">
        <v>750</v>
      </c>
      <c r="I2690" s="8" t="s">
        <v>408</v>
      </c>
      <c r="J2690" s="16" t="s">
        <v>14621</v>
      </c>
      <c r="K2690" s="2" t="s">
        <v>1620</v>
      </c>
      <c r="L2690" s="8" t="s">
        <v>14622</v>
      </c>
      <c r="M2690" s="8" t="s">
        <v>27</v>
      </c>
      <c r="N2690" s="8" t="s">
        <v>14623</v>
      </c>
      <c r="O2690" s="8" t="s">
        <v>1018</v>
      </c>
      <c r="P2690" s="8" t="s">
        <v>405</v>
      </c>
      <c r="Q2690" s="12" t="s">
        <v>14624</v>
      </c>
      <c r="R2690" s="8" t="s">
        <v>100</v>
      </c>
      <c r="S2690" s="7" t="s">
        <v>28</v>
      </c>
      <c r="T2690" s="6"/>
      <c r="U2690" s="8"/>
    </row>
    <row r="2691" spans="1:34" ht="13.5" customHeight="1">
      <c r="A2691" s="8" t="s">
        <v>14608</v>
      </c>
      <c r="B2691" s="16">
        <v>44</v>
      </c>
      <c r="C2691" s="8" t="s">
        <v>20</v>
      </c>
      <c r="D2691" s="8" t="s">
        <v>85</v>
      </c>
      <c r="E2691" s="8" t="s">
        <v>14609</v>
      </c>
      <c r="F2691" s="17">
        <v>41520</v>
      </c>
      <c r="G2691" s="8" t="s">
        <v>14610</v>
      </c>
      <c r="H2691" s="8" t="s">
        <v>219</v>
      </c>
      <c r="I2691" s="8" t="s">
        <v>220</v>
      </c>
      <c r="J2691" s="16" t="s">
        <v>13846</v>
      </c>
      <c r="K2691" s="2" t="s">
        <v>424</v>
      </c>
      <c r="L2691" s="8" t="s">
        <v>221</v>
      </c>
      <c r="M2691" s="8" t="s">
        <v>3407</v>
      </c>
      <c r="N2691" s="8" t="s">
        <v>14611</v>
      </c>
      <c r="O2691" s="8" t="s">
        <v>1018</v>
      </c>
      <c r="P2691" s="8" t="s">
        <v>405</v>
      </c>
      <c r="Q2691" s="12" t="s">
        <v>14612</v>
      </c>
      <c r="R2691" s="8" t="s">
        <v>100</v>
      </c>
      <c r="S2691" s="7" t="s">
        <v>18</v>
      </c>
      <c r="T2691" s="6"/>
      <c r="U2691" s="8"/>
    </row>
    <row r="2692" spans="1:34" ht="13.5" customHeight="1">
      <c r="A2692" s="8" t="s">
        <v>14625</v>
      </c>
      <c r="B2692" s="16">
        <v>52</v>
      </c>
      <c r="C2692" s="8" t="s">
        <v>20</v>
      </c>
      <c r="D2692" s="8" t="s">
        <v>37</v>
      </c>
      <c r="F2692" s="17">
        <v>41520</v>
      </c>
      <c r="G2692" s="8" t="s">
        <v>14626</v>
      </c>
      <c r="H2692" s="8" t="s">
        <v>14627</v>
      </c>
      <c r="I2692" s="8" t="s">
        <v>408</v>
      </c>
      <c r="J2692" s="16" t="s">
        <v>14628</v>
      </c>
      <c r="K2692" s="2" t="s">
        <v>1651</v>
      </c>
      <c r="L2692" s="8" t="s">
        <v>14629</v>
      </c>
      <c r="M2692" s="8" t="s">
        <v>14630</v>
      </c>
      <c r="N2692" s="8" t="s">
        <v>14631</v>
      </c>
      <c r="O2692" s="8" t="s">
        <v>4742</v>
      </c>
      <c r="P2692" s="8" t="s">
        <v>405</v>
      </c>
      <c r="Q2692" s="12" t="s">
        <v>14632</v>
      </c>
      <c r="R2692" s="8" t="s">
        <v>100</v>
      </c>
      <c r="S2692" s="7" t="s">
        <v>18</v>
      </c>
      <c r="T2692" s="6"/>
      <c r="U2692" s="8"/>
    </row>
    <row r="2693" spans="1:34" ht="13.5" customHeight="1">
      <c r="A2693" s="8" t="s">
        <v>14613</v>
      </c>
      <c r="B2693" s="16">
        <v>31</v>
      </c>
      <c r="C2693" s="8" t="s">
        <v>20</v>
      </c>
      <c r="D2693" s="8" t="s">
        <v>30</v>
      </c>
      <c r="F2693" s="17">
        <v>41520</v>
      </c>
      <c r="G2693" s="8" t="s">
        <v>14614</v>
      </c>
      <c r="H2693" s="8" t="s">
        <v>14615</v>
      </c>
      <c r="I2693" s="8" t="s">
        <v>675</v>
      </c>
      <c r="J2693" s="16" t="s">
        <v>14616</v>
      </c>
      <c r="K2693" s="2" t="s">
        <v>5608</v>
      </c>
      <c r="L2693" s="8" t="s">
        <v>14617</v>
      </c>
      <c r="M2693" s="8" t="s">
        <v>27</v>
      </c>
      <c r="N2693" s="8" t="s">
        <v>14618</v>
      </c>
      <c r="O2693" s="8" t="s">
        <v>554</v>
      </c>
      <c r="P2693" s="8" t="s">
        <v>405</v>
      </c>
      <c r="Q2693" s="12"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2693" s="8" t="s">
        <v>100</v>
      </c>
      <c r="S2693" s="7" t="s">
        <v>18</v>
      </c>
      <c r="T2693" s="6"/>
      <c r="U2693" s="8"/>
    </row>
    <row r="2694" spans="1:34" ht="13.5" customHeight="1">
      <c r="A2694" s="8" t="s">
        <v>14645</v>
      </c>
      <c r="B2694" s="16">
        <v>44</v>
      </c>
      <c r="C2694" s="8" t="s">
        <v>20</v>
      </c>
      <c r="D2694" s="8" t="s">
        <v>37</v>
      </c>
      <c r="E2694" s="8" t="s">
        <v>14646</v>
      </c>
      <c r="F2694" s="17">
        <v>41519</v>
      </c>
      <c r="G2694" s="8" t="s">
        <v>14647</v>
      </c>
      <c r="H2694" s="8" t="s">
        <v>14648</v>
      </c>
      <c r="I2694" s="8" t="s">
        <v>319</v>
      </c>
      <c r="J2694" s="16" t="s">
        <v>14649</v>
      </c>
      <c r="K2694" s="2" t="s">
        <v>2708</v>
      </c>
      <c r="L2694" s="8" t="s">
        <v>2709</v>
      </c>
      <c r="M2694" s="8" t="s">
        <v>27</v>
      </c>
      <c r="N2694" s="8" t="s">
        <v>14650</v>
      </c>
      <c r="O2694" s="8" t="s">
        <v>1018</v>
      </c>
      <c r="P2694" s="8" t="s">
        <v>405</v>
      </c>
      <c r="Q2694" s="12" t="s">
        <v>14651</v>
      </c>
      <c r="R2694" s="8" t="s">
        <v>100</v>
      </c>
      <c r="S2694" s="7" t="s">
        <v>28</v>
      </c>
      <c r="T2694" s="6"/>
      <c r="U2694" s="8"/>
    </row>
    <row r="2695" spans="1:34" ht="13.5" customHeight="1">
      <c r="A2695" s="8" t="s">
        <v>3288</v>
      </c>
      <c r="B2695" s="16">
        <v>43</v>
      </c>
      <c r="C2695" s="8" t="s">
        <v>20</v>
      </c>
      <c r="D2695" s="8" t="s">
        <v>30</v>
      </c>
      <c r="F2695" s="17">
        <v>41519</v>
      </c>
      <c r="G2695" s="8" t="s">
        <v>14633</v>
      </c>
      <c r="H2695" s="8" t="s">
        <v>14634</v>
      </c>
      <c r="I2695" s="8" t="s">
        <v>45</v>
      </c>
      <c r="J2695" s="16" t="s">
        <v>14635</v>
      </c>
      <c r="K2695" s="2" t="s">
        <v>1437</v>
      </c>
      <c r="L2695" s="8" t="s">
        <v>14636</v>
      </c>
      <c r="M2695" s="8" t="s">
        <v>27</v>
      </c>
      <c r="N2695" s="8" t="s">
        <v>14637</v>
      </c>
      <c r="O2695" s="8" t="s">
        <v>1018</v>
      </c>
      <c r="P2695" s="8" t="s">
        <v>405</v>
      </c>
      <c r="Q2695" s="12" t="s">
        <v>14638</v>
      </c>
      <c r="R2695" s="8" t="s">
        <v>100</v>
      </c>
      <c r="S2695" s="7" t="s">
        <v>28</v>
      </c>
      <c r="T2695" s="6"/>
      <c r="U2695" s="8"/>
    </row>
    <row r="2696" spans="1:34" ht="13.5" customHeight="1">
      <c r="A2696" s="8" t="s">
        <v>14660</v>
      </c>
      <c r="B2696" s="16">
        <v>43</v>
      </c>
      <c r="C2696" s="8" t="s">
        <v>20</v>
      </c>
      <c r="D2696" s="8" t="s">
        <v>37</v>
      </c>
      <c r="E2696" s="8" t="s">
        <v>14661</v>
      </c>
      <c r="F2696" s="17">
        <v>41519</v>
      </c>
      <c r="G2696" s="8" t="s">
        <v>14662</v>
      </c>
      <c r="H2696" s="8" t="s">
        <v>14663</v>
      </c>
      <c r="I2696" s="8" t="s">
        <v>62</v>
      </c>
      <c r="J2696" s="16" t="s">
        <v>14664</v>
      </c>
      <c r="K2696" s="2" t="s">
        <v>163</v>
      </c>
      <c r="L2696" s="8" t="s">
        <v>14665</v>
      </c>
      <c r="M2696" s="8" t="s">
        <v>1706</v>
      </c>
      <c r="N2696" s="8" t="s">
        <v>14666</v>
      </c>
      <c r="O2696" s="8" t="s">
        <v>1018</v>
      </c>
      <c r="P2696" s="8" t="s">
        <v>405</v>
      </c>
      <c r="Q2696" s="12" t="s">
        <v>14667</v>
      </c>
      <c r="R2696" s="8" t="s">
        <v>972</v>
      </c>
      <c r="S2696" s="7" t="s">
        <v>18</v>
      </c>
      <c r="T2696" s="6"/>
      <c r="U2696" s="8"/>
    </row>
    <row r="2697" spans="1:34" ht="13.5" customHeight="1">
      <c r="A2697" s="8" t="s">
        <v>14639</v>
      </c>
      <c r="B2697" s="16">
        <v>47</v>
      </c>
      <c r="C2697" s="8" t="s">
        <v>20</v>
      </c>
      <c r="D2697" s="8" t="s">
        <v>30</v>
      </c>
      <c r="F2697" s="17">
        <v>41519</v>
      </c>
      <c r="G2697" s="8" t="s">
        <v>14640</v>
      </c>
      <c r="H2697" s="8" t="s">
        <v>14641</v>
      </c>
      <c r="I2697" s="8" t="s">
        <v>408</v>
      </c>
      <c r="J2697" s="16" t="s">
        <v>14642</v>
      </c>
      <c r="K2697" s="2" t="s">
        <v>1301</v>
      </c>
      <c r="L2697" s="8" t="s">
        <v>9453</v>
      </c>
      <c r="M2697" s="8" t="s">
        <v>27</v>
      </c>
      <c r="N2697" s="8" t="s">
        <v>14643</v>
      </c>
      <c r="O2697" s="8" t="s">
        <v>554</v>
      </c>
      <c r="P2697" s="8" t="s">
        <v>405</v>
      </c>
      <c r="Q2697" s="12" t="s">
        <v>14644</v>
      </c>
      <c r="R2697" s="8" t="s">
        <v>559</v>
      </c>
      <c r="S2697" s="7" t="s">
        <v>28</v>
      </c>
      <c r="T2697" s="6"/>
      <c r="U2697" s="8"/>
    </row>
    <row r="2698" spans="1:34" ht="13.5" customHeight="1">
      <c r="A2698" s="8" t="s">
        <v>14668</v>
      </c>
      <c r="B2698" s="16">
        <v>23</v>
      </c>
      <c r="C2698" s="8" t="s">
        <v>20</v>
      </c>
      <c r="D2698" s="8" t="s">
        <v>37</v>
      </c>
      <c r="E2698" s="8" t="s">
        <v>14669</v>
      </c>
      <c r="F2698" s="17">
        <v>41519</v>
      </c>
      <c r="G2698" s="8" t="s">
        <v>14670</v>
      </c>
      <c r="H2698" s="8" t="s">
        <v>13659</v>
      </c>
      <c r="I2698" s="8" t="s">
        <v>62</v>
      </c>
      <c r="J2698" s="16" t="s">
        <v>14535</v>
      </c>
      <c r="K2698" s="2" t="s">
        <v>2331</v>
      </c>
      <c r="L2698" s="8" t="s">
        <v>14296</v>
      </c>
      <c r="M2698" s="8" t="s">
        <v>27</v>
      </c>
      <c r="N2698" s="8" t="s">
        <v>14671</v>
      </c>
      <c r="O2698" s="8" t="s">
        <v>554</v>
      </c>
      <c r="P2698" s="8" t="s">
        <v>405</v>
      </c>
      <c r="Q2698" s="12" t="s">
        <v>14672</v>
      </c>
      <c r="R2698" s="8" t="s">
        <v>29</v>
      </c>
      <c r="S2698" s="7" t="s">
        <v>28</v>
      </c>
      <c r="T2698" s="6"/>
      <c r="U2698" s="8"/>
    </row>
    <row r="2699" spans="1:34" ht="13.5" customHeight="1">
      <c r="A2699" s="8" t="s">
        <v>14652</v>
      </c>
      <c r="B2699" s="16">
        <v>40</v>
      </c>
      <c r="C2699" s="8" t="s">
        <v>20</v>
      </c>
      <c r="D2699" s="8" t="s">
        <v>37</v>
      </c>
      <c r="E2699" s="8" t="s">
        <v>14653</v>
      </c>
      <c r="F2699" s="17">
        <v>41519</v>
      </c>
      <c r="G2699" s="8" t="s">
        <v>14654</v>
      </c>
      <c r="H2699" s="8" t="s">
        <v>14655</v>
      </c>
      <c r="I2699" s="8" t="s">
        <v>41</v>
      </c>
      <c r="J2699" s="16" t="s">
        <v>14656</v>
      </c>
      <c r="K2699" s="2" t="s">
        <v>857</v>
      </c>
      <c r="L2699" s="8" t="s">
        <v>14657</v>
      </c>
      <c r="M2699" s="8" t="s">
        <v>1706</v>
      </c>
      <c r="N2699" s="8" t="s">
        <v>14658</v>
      </c>
      <c r="O2699" s="8" t="s">
        <v>29</v>
      </c>
      <c r="P2699" s="8" t="s">
        <v>405</v>
      </c>
      <c r="Q2699" s="12" t="s">
        <v>14659</v>
      </c>
      <c r="R2699" s="8" t="s">
        <v>559</v>
      </c>
      <c r="S2699" s="7" t="s">
        <v>18</v>
      </c>
      <c r="T2699" s="6"/>
      <c r="U2699" s="8"/>
    </row>
    <row r="2700" spans="1:34" ht="13.5" customHeight="1">
      <c r="A2700" s="8" t="s">
        <v>14686</v>
      </c>
      <c r="B2700" s="16">
        <v>46</v>
      </c>
      <c r="C2700" s="8" t="s">
        <v>20</v>
      </c>
      <c r="D2700" s="8" t="s">
        <v>48</v>
      </c>
      <c r="E2700" s="8" t="s">
        <v>14687</v>
      </c>
      <c r="F2700" s="17">
        <v>41518</v>
      </c>
      <c r="G2700" s="8" t="s">
        <v>14688</v>
      </c>
      <c r="H2700" s="8" t="s">
        <v>1970</v>
      </c>
      <c r="I2700" s="8" t="s">
        <v>45</v>
      </c>
      <c r="J2700" s="16" t="s">
        <v>14689</v>
      </c>
      <c r="K2700" s="2" t="s">
        <v>1970</v>
      </c>
      <c r="L2700" s="8" t="s">
        <v>14690</v>
      </c>
      <c r="M2700" s="8" t="s">
        <v>27</v>
      </c>
      <c r="N2700" s="8" t="s">
        <v>14691</v>
      </c>
      <c r="O2700" s="8" t="s">
        <v>554</v>
      </c>
      <c r="P2700" s="8" t="s">
        <v>405</v>
      </c>
      <c r="Q2700" s="12" t="s">
        <v>14692</v>
      </c>
      <c r="R2700" s="8" t="s">
        <v>559</v>
      </c>
      <c r="S2700" s="7" t="s">
        <v>28</v>
      </c>
      <c r="T2700" s="6"/>
      <c r="U2700" s="8"/>
    </row>
    <row r="2701" spans="1:34" ht="13.5" customHeight="1">
      <c r="A2701" s="8" t="s">
        <v>14698</v>
      </c>
      <c r="B2701" s="16">
        <v>34</v>
      </c>
      <c r="C2701" s="8" t="s">
        <v>20</v>
      </c>
      <c r="D2701" s="8" t="s">
        <v>37</v>
      </c>
      <c r="E2701" s="8" t="s">
        <v>14699</v>
      </c>
      <c r="F2701" s="17">
        <v>41518</v>
      </c>
      <c r="G2701" s="8" t="s">
        <v>14700</v>
      </c>
      <c r="H2701" s="8" t="s">
        <v>255</v>
      </c>
      <c r="I2701" s="8" t="s">
        <v>32</v>
      </c>
      <c r="J2701" s="16" t="s">
        <v>14701</v>
      </c>
      <c r="K2701" s="2" t="s">
        <v>255</v>
      </c>
      <c r="L2701" s="8" t="s">
        <v>12613</v>
      </c>
      <c r="M2701" s="8" t="s">
        <v>27</v>
      </c>
      <c r="N2701" s="8" t="s">
        <v>14702</v>
      </c>
      <c r="O2701" s="8" t="s">
        <v>554</v>
      </c>
      <c r="P2701" s="8" t="s">
        <v>405</v>
      </c>
      <c r="Q2701" s="12" t="s">
        <v>14703</v>
      </c>
      <c r="R2701" s="8" t="s">
        <v>559</v>
      </c>
      <c r="S2701" s="7" t="s">
        <v>28</v>
      </c>
      <c r="T2701" s="6"/>
      <c r="U2701" s="8"/>
      <c r="Y2701" s="8"/>
      <c r="Z2701" s="8"/>
      <c r="AA2701" s="8"/>
      <c r="AB2701" s="8"/>
      <c r="AC2701" s="8"/>
      <c r="AD2701" s="8"/>
      <c r="AE2701" s="8"/>
      <c r="AF2701" s="8"/>
      <c r="AG2701" s="8"/>
      <c r="AH2701" s="8"/>
    </row>
    <row r="2702" spans="1:34" ht="13.5" customHeight="1">
      <c r="A2702" s="8" t="s">
        <v>14681</v>
      </c>
      <c r="B2702" s="16">
        <v>35</v>
      </c>
      <c r="C2702" s="8" t="s">
        <v>20</v>
      </c>
      <c r="D2702" s="8" t="s">
        <v>48</v>
      </c>
      <c r="E2702" s="8" t="s">
        <v>14682</v>
      </c>
      <c r="F2702" s="17">
        <v>41518</v>
      </c>
      <c r="G2702" s="8" t="s">
        <v>14683</v>
      </c>
      <c r="H2702" s="8" t="s">
        <v>4406</v>
      </c>
      <c r="I2702" s="8" t="s">
        <v>306</v>
      </c>
      <c r="J2702" s="16" t="s">
        <v>4407</v>
      </c>
      <c r="K2702" s="2" t="s">
        <v>1301</v>
      </c>
      <c r="L2702" s="8" t="s">
        <v>4408</v>
      </c>
      <c r="M2702" s="8" t="s">
        <v>3407</v>
      </c>
      <c r="N2702" s="8" t="s">
        <v>14684</v>
      </c>
      <c r="O2702" s="8" t="s">
        <v>554</v>
      </c>
      <c r="P2702" s="8" t="s">
        <v>405</v>
      </c>
      <c r="Q2702" s="12" t="s">
        <v>14685</v>
      </c>
      <c r="R2702" s="8" t="s">
        <v>29</v>
      </c>
      <c r="S2702" s="7" t="s">
        <v>18</v>
      </c>
      <c r="T2702" s="6"/>
      <c r="U2702" s="8"/>
    </row>
    <row r="2703" spans="1:34" ht="13.5" customHeight="1">
      <c r="A2703" s="8" t="s">
        <v>14673</v>
      </c>
      <c r="B2703" s="16">
        <v>27</v>
      </c>
      <c r="C2703" s="8" t="s">
        <v>20</v>
      </c>
      <c r="D2703" s="8" t="s">
        <v>48</v>
      </c>
      <c r="E2703" s="8" t="s">
        <v>14674</v>
      </c>
      <c r="F2703" s="17">
        <v>41518</v>
      </c>
      <c r="G2703" s="8" t="s">
        <v>14675</v>
      </c>
      <c r="H2703" s="8" t="s">
        <v>7165</v>
      </c>
      <c r="I2703" s="8" t="s">
        <v>220</v>
      </c>
      <c r="J2703" s="16" t="s">
        <v>7166</v>
      </c>
      <c r="K2703" s="2" t="s">
        <v>7165</v>
      </c>
      <c r="L2703" s="8" t="s">
        <v>7167</v>
      </c>
      <c r="M2703" s="8" t="s">
        <v>27</v>
      </c>
      <c r="N2703" s="8" t="s">
        <v>14676</v>
      </c>
      <c r="O2703" s="8" t="s">
        <v>554</v>
      </c>
      <c r="P2703" s="8" t="s">
        <v>405</v>
      </c>
      <c r="Q2703" s="12" t="s">
        <v>14677</v>
      </c>
      <c r="R2703" s="8" t="s">
        <v>29</v>
      </c>
      <c r="S2703" s="7" t="s">
        <v>28</v>
      </c>
      <c r="T2703" s="6"/>
      <c r="U2703" s="8"/>
    </row>
    <row r="2704" spans="1:34" ht="13.5" customHeight="1">
      <c r="A2704" s="8" t="s">
        <v>14693</v>
      </c>
      <c r="B2704" s="16">
        <v>25</v>
      </c>
      <c r="C2704" s="8" t="s">
        <v>20</v>
      </c>
      <c r="D2704" s="8" t="s">
        <v>950</v>
      </c>
      <c r="E2704" s="8" t="s">
        <v>14694</v>
      </c>
      <c r="F2704" s="17">
        <v>41518</v>
      </c>
      <c r="G2704" s="8" t="s">
        <v>14695</v>
      </c>
      <c r="H2704" s="8" t="s">
        <v>2513</v>
      </c>
      <c r="I2704" s="8" t="s">
        <v>399</v>
      </c>
      <c r="J2704" s="16" t="s">
        <v>6884</v>
      </c>
      <c r="K2704" s="2" t="s">
        <v>2513</v>
      </c>
      <c r="L2704" s="8" t="s">
        <v>2062</v>
      </c>
      <c r="M2704" s="8" t="s">
        <v>27</v>
      </c>
      <c r="N2704" s="8" t="s">
        <v>14696</v>
      </c>
      <c r="O2704" s="8" t="s">
        <v>404</v>
      </c>
      <c r="P2704" s="8" t="s">
        <v>405</v>
      </c>
      <c r="Q2704" s="12" t="s">
        <v>14697</v>
      </c>
      <c r="R2704" s="8" t="s">
        <v>100</v>
      </c>
      <c r="S2704" s="7" t="s">
        <v>18</v>
      </c>
      <c r="T2704" s="6"/>
      <c r="U2704" s="8"/>
    </row>
    <row r="2705" spans="1:21" ht="13.5" customHeight="1">
      <c r="A2705" s="8" t="s">
        <v>3288</v>
      </c>
      <c r="B2705" s="16">
        <v>28</v>
      </c>
      <c r="C2705" s="8" t="s">
        <v>20</v>
      </c>
      <c r="D2705" s="8" t="s">
        <v>48</v>
      </c>
      <c r="F2705" s="17">
        <v>41518</v>
      </c>
      <c r="G2705" s="8" t="s">
        <v>14678</v>
      </c>
      <c r="H2705" s="8" t="s">
        <v>731</v>
      </c>
      <c r="I2705" s="8" t="s">
        <v>73</v>
      </c>
      <c r="J2705" s="16" t="s">
        <v>6913</v>
      </c>
      <c r="K2705" s="2" t="s">
        <v>562</v>
      </c>
      <c r="L2705" s="8" t="s">
        <v>732</v>
      </c>
      <c r="M2705" s="8" t="s">
        <v>27</v>
      </c>
      <c r="N2705" s="8" t="s">
        <v>14679</v>
      </c>
      <c r="O2705" s="8" t="s">
        <v>554</v>
      </c>
      <c r="P2705" s="8" t="s">
        <v>405</v>
      </c>
      <c r="Q2705" s="12" t="s">
        <v>14680</v>
      </c>
      <c r="R2705" s="8" t="s">
        <v>100</v>
      </c>
      <c r="S2705" s="7" t="s">
        <v>28</v>
      </c>
      <c r="T2705" s="6"/>
      <c r="U2705" s="8"/>
    </row>
    <row r="2706" spans="1:21" ht="13.5" customHeight="1">
      <c r="A2706" s="8" t="s">
        <v>14713</v>
      </c>
      <c r="B2706" s="16">
        <v>29</v>
      </c>
      <c r="C2706" s="8" t="s">
        <v>20</v>
      </c>
      <c r="D2706" s="8" t="s">
        <v>37</v>
      </c>
      <c r="E2706" s="8" t="s">
        <v>14714</v>
      </c>
      <c r="F2706" s="17">
        <v>41517</v>
      </c>
      <c r="G2706" s="8" t="s">
        <v>14715</v>
      </c>
      <c r="H2706" s="8" t="s">
        <v>579</v>
      </c>
      <c r="I2706" s="8" t="s">
        <v>73</v>
      </c>
      <c r="J2706" s="16" t="s">
        <v>14716</v>
      </c>
      <c r="K2706" s="2" t="s">
        <v>580</v>
      </c>
      <c r="L2706" s="8" t="s">
        <v>589</v>
      </c>
      <c r="M2706" s="8" t="s">
        <v>27</v>
      </c>
      <c r="N2706" s="8" t="s">
        <v>14717</v>
      </c>
      <c r="O2706" s="8" t="s">
        <v>1804</v>
      </c>
      <c r="P2706" s="8" t="s">
        <v>1171</v>
      </c>
      <c r="Q2706" s="12" t="s">
        <v>14718</v>
      </c>
      <c r="R2706" s="8" t="s">
        <v>100</v>
      </c>
      <c r="S2706" s="7" t="s">
        <v>18</v>
      </c>
      <c r="T2706" s="6"/>
      <c r="U2706" s="8"/>
    </row>
    <row r="2707" spans="1:21" ht="13.5" customHeight="1">
      <c r="A2707" s="8" t="s">
        <v>14704</v>
      </c>
      <c r="B2707" s="16">
        <v>28</v>
      </c>
      <c r="C2707" s="8" t="s">
        <v>20</v>
      </c>
      <c r="D2707" s="8" t="s">
        <v>85</v>
      </c>
      <c r="E2707" s="8" t="s">
        <v>14705</v>
      </c>
      <c r="F2707" s="17">
        <v>41517</v>
      </c>
      <c r="G2707" s="8" t="s">
        <v>14706</v>
      </c>
      <c r="H2707" s="8" t="s">
        <v>87</v>
      </c>
      <c r="I2707" s="8" t="s">
        <v>44</v>
      </c>
      <c r="J2707" s="16" t="s">
        <v>5363</v>
      </c>
      <c r="K2707" s="2" t="s">
        <v>88</v>
      </c>
      <c r="L2707" s="8" t="s">
        <v>89</v>
      </c>
      <c r="M2707" s="8" t="s">
        <v>27</v>
      </c>
      <c r="N2707" s="8" t="s">
        <v>14707</v>
      </c>
      <c r="O2707" s="8" t="s">
        <v>1018</v>
      </c>
      <c r="P2707" s="8" t="s">
        <v>405</v>
      </c>
      <c r="Q2707" s="12" t="str">
        <f>HYPERLINK("http://www.chicagotribune.com/news/local/breaking/chi-lincoln-park-old-town-triangle-police-shooting-20130831,0,5257184.story","http://www.chicagotribune.com/news/local/breaking/chi-lincoln-park-old-town-triangle-police-shooting-20130831,0,5257184.story")</f>
        <v>http://www.chicagotribune.com/news/local/breaking/chi-lincoln-park-old-town-triangle-police-shooting-20130831,0,5257184.story</v>
      </c>
      <c r="R2707" s="8" t="s">
        <v>29</v>
      </c>
      <c r="S2707" s="7" t="s">
        <v>18</v>
      </c>
      <c r="T2707" s="6"/>
      <c r="U2707" s="8"/>
    </row>
    <row r="2708" spans="1:21" ht="13.5" customHeight="1">
      <c r="A2708" s="8" t="s">
        <v>14708</v>
      </c>
      <c r="B2708" s="16">
        <v>46</v>
      </c>
      <c r="C2708" s="8" t="s">
        <v>20</v>
      </c>
      <c r="D2708" s="8" t="s">
        <v>48</v>
      </c>
      <c r="E2708" s="8" t="s">
        <v>14709</v>
      </c>
      <c r="F2708" s="17">
        <v>41517</v>
      </c>
      <c r="G2708" s="8" t="s">
        <v>14710</v>
      </c>
      <c r="H2708" s="8" t="s">
        <v>13769</v>
      </c>
      <c r="I2708" s="8" t="s">
        <v>45</v>
      </c>
      <c r="J2708" s="16" t="s">
        <v>13770</v>
      </c>
      <c r="K2708" s="2" t="s">
        <v>608</v>
      </c>
      <c r="L2708" s="8" t="s">
        <v>13771</v>
      </c>
      <c r="M2708" s="8" t="s">
        <v>27</v>
      </c>
      <c r="N2708" s="8" t="s">
        <v>14711</v>
      </c>
      <c r="O2708" s="8" t="s">
        <v>29</v>
      </c>
      <c r="P2708" s="8" t="s">
        <v>405</v>
      </c>
      <c r="Q2708" s="12" t="s">
        <v>14712</v>
      </c>
      <c r="R2708" s="8" t="s">
        <v>559</v>
      </c>
      <c r="S2708" s="7" t="s">
        <v>28</v>
      </c>
      <c r="T2708" s="6"/>
      <c r="U2708" s="8"/>
    </row>
    <row r="2709" spans="1:21" ht="13.5" customHeight="1">
      <c r="A2709" s="8" t="s">
        <v>14719</v>
      </c>
      <c r="B2709" s="16" t="s">
        <v>13885</v>
      </c>
      <c r="C2709" s="8" t="s">
        <v>20</v>
      </c>
      <c r="D2709" s="8" t="s">
        <v>48</v>
      </c>
      <c r="E2709" s="8" t="s">
        <v>14720</v>
      </c>
      <c r="F2709" s="17">
        <v>41516</v>
      </c>
      <c r="G2709" s="8" t="s">
        <v>14721</v>
      </c>
      <c r="H2709" s="8" t="s">
        <v>12364</v>
      </c>
      <c r="I2709" s="8" t="s">
        <v>212</v>
      </c>
      <c r="J2709" s="16" t="s">
        <v>12365</v>
      </c>
      <c r="K2709" s="2" t="s">
        <v>1941</v>
      </c>
      <c r="L2709" s="8" t="s">
        <v>12366</v>
      </c>
      <c r="M2709" s="8" t="s">
        <v>27</v>
      </c>
      <c r="N2709" s="8" t="s">
        <v>14722</v>
      </c>
      <c r="O2709" s="8" t="s">
        <v>29</v>
      </c>
      <c r="P2709" s="8" t="s">
        <v>405</v>
      </c>
      <c r="Q2709" s="12" t="s">
        <v>14723</v>
      </c>
      <c r="R2709" s="8" t="s">
        <v>972</v>
      </c>
      <c r="S2709" s="7" t="s">
        <v>28</v>
      </c>
      <c r="T2709" s="6"/>
      <c r="U2709" s="8"/>
    </row>
    <row r="2710" spans="1:21" ht="13.5" customHeight="1">
      <c r="A2710" s="8" t="s">
        <v>14724</v>
      </c>
      <c r="B2710" s="16">
        <v>47</v>
      </c>
      <c r="C2710" s="8" t="s">
        <v>20</v>
      </c>
      <c r="D2710" s="8" t="s">
        <v>30</v>
      </c>
      <c r="F2710" s="17">
        <v>41516</v>
      </c>
      <c r="G2710" s="8" t="s">
        <v>14725</v>
      </c>
      <c r="H2710" s="8" t="s">
        <v>992</v>
      </c>
      <c r="I2710" s="8" t="s">
        <v>69</v>
      </c>
      <c r="J2710" s="16" t="s">
        <v>6128</v>
      </c>
      <c r="K2710" s="2" t="s">
        <v>105</v>
      </c>
      <c r="L2710" s="8" t="s">
        <v>14726</v>
      </c>
      <c r="M2710" s="8" t="s">
        <v>27</v>
      </c>
      <c r="N2710" s="8" t="s">
        <v>14727</v>
      </c>
      <c r="O2710" s="8" t="s">
        <v>1018</v>
      </c>
      <c r="P2710" s="8" t="s">
        <v>405</v>
      </c>
      <c r="Q2710" s="12" t="s">
        <v>14728</v>
      </c>
      <c r="R2710" s="8" t="s">
        <v>100</v>
      </c>
      <c r="S2710" s="7" t="s">
        <v>28</v>
      </c>
      <c r="T2710" s="6"/>
      <c r="U2710" s="8"/>
    </row>
    <row r="2711" spans="1:21" ht="13.5" customHeight="1">
      <c r="A2711" s="8" t="s">
        <v>14729</v>
      </c>
      <c r="B2711" s="16">
        <v>34</v>
      </c>
      <c r="C2711" s="8" t="s">
        <v>20</v>
      </c>
      <c r="D2711" s="8" t="s">
        <v>37</v>
      </c>
      <c r="F2711" s="17">
        <v>41516</v>
      </c>
      <c r="G2711" s="8" t="s">
        <v>14730</v>
      </c>
      <c r="H2711" s="8" t="s">
        <v>14731</v>
      </c>
      <c r="I2711" s="8" t="s">
        <v>118</v>
      </c>
      <c r="J2711" s="16" t="s">
        <v>14732</v>
      </c>
      <c r="K2711" s="2" t="s">
        <v>13089</v>
      </c>
      <c r="L2711" s="8" t="s">
        <v>2069</v>
      </c>
      <c r="M2711" s="8" t="s">
        <v>27</v>
      </c>
      <c r="N2711" s="8" t="s">
        <v>14733</v>
      </c>
      <c r="O2711" s="8" t="s">
        <v>1018</v>
      </c>
      <c r="P2711" s="8" t="s">
        <v>405</v>
      </c>
      <c r="Q2711" s="12" t="s">
        <v>14734</v>
      </c>
      <c r="R2711" s="8" t="s">
        <v>100</v>
      </c>
      <c r="S2711" s="7" t="s">
        <v>28</v>
      </c>
      <c r="T2711" s="6"/>
      <c r="U2711" s="8"/>
    </row>
    <row r="2712" spans="1:21" ht="13.5" customHeight="1">
      <c r="A2712" s="8" t="s">
        <v>14754</v>
      </c>
      <c r="B2712" s="16" t="s">
        <v>13702</v>
      </c>
      <c r="C2712" s="8" t="s">
        <v>20</v>
      </c>
      <c r="D2712" s="8" t="s">
        <v>37</v>
      </c>
      <c r="E2712" s="8" t="s">
        <v>14755</v>
      </c>
      <c r="F2712" s="17">
        <v>41515</v>
      </c>
      <c r="G2712" s="8" t="s">
        <v>14756</v>
      </c>
      <c r="H2712" s="8" t="s">
        <v>4234</v>
      </c>
      <c r="I2712" s="8" t="s">
        <v>247</v>
      </c>
      <c r="J2712" s="16" t="s">
        <v>14757</v>
      </c>
      <c r="K2712" s="2" t="s">
        <v>4467</v>
      </c>
      <c r="L2712" s="8" t="s">
        <v>13485</v>
      </c>
      <c r="M2712" s="8" t="s">
        <v>27</v>
      </c>
      <c r="N2712" s="8" t="s">
        <v>14758</v>
      </c>
      <c r="O2712" s="8" t="s">
        <v>1170</v>
      </c>
      <c r="P2712" s="8" t="s">
        <v>1171</v>
      </c>
      <c r="Q2712" s="12"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2712" s="8" t="s">
        <v>100</v>
      </c>
      <c r="S2712" s="7" t="s">
        <v>18</v>
      </c>
      <c r="T2712" s="6"/>
      <c r="U2712" s="8"/>
    </row>
    <row r="2713" spans="1:21" ht="13.5" customHeight="1">
      <c r="A2713" s="8" t="s">
        <v>14743</v>
      </c>
      <c r="B2713" s="16">
        <v>73</v>
      </c>
      <c r="C2713" s="8" t="s">
        <v>20</v>
      </c>
      <c r="D2713" s="8" t="s">
        <v>30</v>
      </c>
      <c r="F2713" s="17">
        <v>41515</v>
      </c>
      <c r="G2713" s="8" t="s">
        <v>14744</v>
      </c>
      <c r="H2713" s="8" t="s">
        <v>14745</v>
      </c>
      <c r="I2713" s="8" t="s">
        <v>175</v>
      </c>
      <c r="J2713" s="16" t="s">
        <v>14746</v>
      </c>
      <c r="K2713" s="2" t="s">
        <v>1338</v>
      </c>
      <c r="L2713" s="8" t="s">
        <v>1339</v>
      </c>
      <c r="M2713" s="8" t="s">
        <v>27</v>
      </c>
      <c r="N2713" s="8" t="s">
        <v>14747</v>
      </c>
      <c r="O2713" s="8" t="s">
        <v>554</v>
      </c>
      <c r="P2713" s="8" t="s">
        <v>405</v>
      </c>
      <c r="Q2713" s="12" t="s">
        <v>14748</v>
      </c>
      <c r="R2713" s="8" t="s">
        <v>100</v>
      </c>
      <c r="S2713" s="7" t="s">
        <v>28</v>
      </c>
      <c r="T2713" s="6"/>
      <c r="U2713" s="8"/>
    </row>
    <row r="2714" spans="1:21" ht="13.5" customHeight="1">
      <c r="A2714" s="8" t="s">
        <v>14735</v>
      </c>
      <c r="B2714" s="16">
        <v>34</v>
      </c>
      <c r="C2714" s="8" t="s">
        <v>20</v>
      </c>
      <c r="D2714" s="8" t="s">
        <v>85</v>
      </c>
      <c r="E2714" s="8" t="s">
        <v>14736</v>
      </c>
      <c r="F2714" s="17">
        <v>41515</v>
      </c>
      <c r="G2714" s="8" t="s">
        <v>14737</v>
      </c>
      <c r="H2714" s="8" t="s">
        <v>14738</v>
      </c>
      <c r="I2714" s="8" t="s">
        <v>118</v>
      </c>
      <c r="J2714" s="16" t="s">
        <v>14739</v>
      </c>
      <c r="K2714" s="2" t="s">
        <v>14740</v>
      </c>
      <c r="L2714" s="8" t="s">
        <v>2069</v>
      </c>
      <c r="M2714" s="8" t="s">
        <v>27</v>
      </c>
      <c r="N2714" s="8" t="s">
        <v>14741</v>
      </c>
      <c r="O2714" s="8" t="s">
        <v>554</v>
      </c>
      <c r="P2714" s="8" t="s">
        <v>405</v>
      </c>
      <c r="Q2714" s="12" t="s">
        <v>14742</v>
      </c>
      <c r="R2714" s="8" t="s">
        <v>100</v>
      </c>
      <c r="S2714" s="7" t="s">
        <v>28</v>
      </c>
      <c r="T2714" s="6"/>
      <c r="U2714" s="8"/>
    </row>
    <row r="2715" spans="1:21" ht="13.5" customHeight="1">
      <c r="A2715" s="8" t="s">
        <v>14749</v>
      </c>
      <c r="B2715" s="16">
        <v>42</v>
      </c>
      <c r="C2715" s="8" t="s">
        <v>20</v>
      </c>
      <c r="D2715" s="8" t="s">
        <v>30</v>
      </c>
      <c r="F2715" s="17">
        <v>41515</v>
      </c>
      <c r="G2715" s="8" t="s">
        <v>14750</v>
      </c>
      <c r="H2715" s="8" t="s">
        <v>934</v>
      </c>
      <c r="I2715" s="8" t="s">
        <v>73</v>
      </c>
      <c r="J2715" s="16" t="s">
        <v>13066</v>
      </c>
      <c r="K2715" s="2" t="s">
        <v>74</v>
      </c>
      <c r="L2715" s="8" t="s">
        <v>14751</v>
      </c>
      <c r="M2715" s="8" t="s">
        <v>27</v>
      </c>
      <c r="N2715" s="8" t="s">
        <v>14752</v>
      </c>
      <c r="O2715" s="8" t="s">
        <v>554</v>
      </c>
      <c r="P2715" s="8" t="s">
        <v>405</v>
      </c>
      <c r="Q2715" s="12" t="s">
        <v>14753</v>
      </c>
      <c r="R2715" s="8" t="s">
        <v>100</v>
      </c>
      <c r="S2715" s="7" t="s">
        <v>28</v>
      </c>
      <c r="T2715" s="6"/>
      <c r="U2715" s="8"/>
    </row>
    <row r="2716" spans="1:21" ht="13.5" customHeight="1">
      <c r="A2716" s="8" t="s">
        <v>14775</v>
      </c>
      <c r="B2716" s="16">
        <v>17</v>
      </c>
      <c r="C2716" s="8" t="s">
        <v>20</v>
      </c>
      <c r="D2716" s="8" t="s">
        <v>48</v>
      </c>
      <c r="F2716" s="17">
        <v>41514</v>
      </c>
      <c r="G2716" s="8" t="s">
        <v>14776</v>
      </c>
      <c r="H2716" s="8" t="s">
        <v>5259</v>
      </c>
      <c r="I2716" s="8" t="s">
        <v>45</v>
      </c>
      <c r="J2716" s="16" t="s">
        <v>14772</v>
      </c>
      <c r="K2716" s="2" t="s">
        <v>98</v>
      </c>
      <c r="L2716" s="8" t="s">
        <v>14360</v>
      </c>
      <c r="M2716" s="8" t="s">
        <v>27</v>
      </c>
      <c r="N2716" s="8" t="s">
        <v>14777</v>
      </c>
      <c r="O2716" s="8" t="s">
        <v>1018</v>
      </c>
      <c r="P2716" s="8" t="s">
        <v>405</v>
      </c>
      <c r="Q2716" s="12" t="str">
        <f>HYPERLINK("http://homicide.latimes.com/post/dennis-hakeen-vasquez/","http://homicide.latimes.com/post/dennis-hakeen-vasquez/")</f>
        <v>http://homicide.latimes.com/post/dennis-hakeen-vasquez/</v>
      </c>
      <c r="R2716" s="8" t="s">
        <v>29</v>
      </c>
      <c r="S2716" s="7" t="s">
        <v>35</v>
      </c>
      <c r="T2716" s="6"/>
      <c r="U2716" s="8"/>
    </row>
    <row r="2717" spans="1:21" ht="13.5" customHeight="1">
      <c r="A2717" s="8" t="s">
        <v>14766</v>
      </c>
      <c r="B2717" s="16">
        <v>27</v>
      </c>
      <c r="C2717" s="8" t="s">
        <v>20</v>
      </c>
      <c r="D2717" s="8" t="s">
        <v>85</v>
      </c>
      <c r="E2717" s="8" t="s">
        <v>14767</v>
      </c>
      <c r="F2717" s="17">
        <v>41514</v>
      </c>
      <c r="G2717" s="8" t="s">
        <v>14768</v>
      </c>
      <c r="H2717" s="8" t="s">
        <v>2215</v>
      </c>
      <c r="I2717" s="8" t="s">
        <v>62</v>
      </c>
      <c r="J2717" s="16" t="s">
        <v>2216</v>
      </c>
      <c r="K2717" s="2" t="s">
        <v>1134</v>
      </c>
      <c r="L2717" s="8" t="s">
        <v>4438</v>
      </c>
      <c r="M2717" s="8" t="s">
        <v>27</v>
      </c>
      <c r="N2717" s="8" t="s">
        <v>14769</v>
      </c>
      <c r="O2717" s="8" t="s">
        <v>1018</v>
      </c>
      <c r="P2717" s="8" t="s">
        <v>405</v>
      </c>
      <c r="Q2717" s="12" t="s">
        <v>14770</v>
      </c>
      <c r="R2717" s="8" t="s">
        <v>100</v>
      </c>
      <c r="S2717" s="7" t="s">
        <v>28</v>
      </c>
      <c r="T2717" s="6"/>
      <c r="U2717" s="8"/>
    </row>
    <row r="2718" spans="1:21" ht="13.5" customHeight="1">
      <c r="A2718" s="8" t="s">
        <v>3288</v>
      </c>
      <c r="C2718" s="8" t="s">
        <v>20</v>
      </c>
      <c r="D2718" s="8" t="s">
        <v>48</v>
      </c>
      <c r="F2718" s="17">
        <v>41514</v>
      </c>
      <c r="G2718" s="8" t="s">
        <v>14771</v>
      </c>
      <c r="H2718" s="8" t="s">
        <v>5259</v>
      </c>
      <c r="I2718" s="8" t="s">
        <v>45</v>
      </c>
      <c r="J2718" s="16" t="s">
        <v>14772</v>
      </c>
      <c r="K2718" s="2" t="s">
        <v>98</v>
      </c>
      <c r="L2718" s="8" t="s">
        <v>418</v>
      </c>
      <c r="M2718" s="8" t="s">
        <v>27</v>
      </c>
      <c r="N2718" s="8" t="s">
        <v>14773</v>
      </c>
      <c r="O2718" s="8" t="s">
        <v>1018</v>
      </c>
      <c r="P2718" s="8" t="s">
        <v>405</v>
      </c>
      <c r="Q2718" s="12" t="s">
        <v>14774</v>
      </c>
      <c r="R2718" s="8" t="s">
        <v>100</v>
      </c>
      <c r="S2718" s="7" t="s">
        <v>28</v>
      </c>
      <c r="T2718" s="6"/>
      <c r="U2718" s="8"/>
    </row>
    <row r="2719" spans="1:21" ht="13.5" customHeight="1">
      <c r="A2719" s="8" t="s">
        <v>3288</v>
      </c>
      <c r="C2719" s="8" t="s">
        <v>20</v>
      </c>
      <c r="D2719" s="8" t="s">
        <v>30</v>
      </c>
      <c r="F2719" s="17">
        <v>41514</v>
      </c>
      <c r="G2719" s="8" t="s">
        <v>14778</v>
      </c>
      <c r="H2719" s="8" t="s">
        <v>98</v>
      </c>
      <c r="I2719" s="8" t="s">
        <v>45</v>
      </c>
      <c r="J2719" s="16" t="s">
        <v>14779</v>
      </c>
      <c r="K2719" s="2" t="s">
        <v>98</v>
      </c>
      <c r="L2719" s="8" t="s">
        <v>99</v>
      </c>
      <c r="M2719" s="8" t="s">
        <v>27</v>
      </c>
      <c r="N2719" s="8" t="s">
        <v>14780</v>
      </c>
      <c r="O2719" s="8" t="s">
        <v>1018</v>
      </c>
      <c r="P2719" s="8" t="s">
        <v>405</v>
      </c>
      <c r="Q2719" s="12" t="s">
        <v>14781</v>
      </c>
      <c r="R2719" s="8" t="s">
        <v>100</v>
      </c>
      <c r="S2719" s="7" t="s">
        <v>28</v>
      </c>
      <c r="T2719" s="6"/>
      <c r="U2719" s="8"/>
    </row>
    <row r="2720" spans="1:21" ht="13.5" customHeight="1">
      <c r="A2720" s="8" t="s">
        <v>14759</v>
      </c>
      <c r="B2720" s="16">
        <v>25</v>
      </c>
      <c r="C2720" s="8" t="s">
        <v>20</v>
      </c>
      <c r="D2720" s="8" t="s">
        <v>85</v>
      </c>
      <c r="E2720" s="8" t="s">
        <v>14760</v>
      </c>
      <c r="F2720" s="17">
        <v>41514</v>
      </c>
      <c r="G2720" s="8" t="s">
        <v>14761</v>
      </c>
      <c r="H2720" s="8" t="s">
        <v>14762</v>
      </c>
      <c r="I2720" s="8" t="s">
        <v>52</v>
      </c>
      <c r="J2720" s="16" t="s">
        <v>14763</v>
      </c>
      <c r="K2720" s="2" t="s">
        <v>1608</v>
      </c>
      <c r="L2720" s="8" t="s">
        <v>234</v>
      </c>
      <c r="M2720" s="8" t="s">
        <v>27</v>
      </c>
      <c r="N2720" s="8" t="s">
        <v>14764</v>
      </c>
      <c r="O2720" s="8" t="s">
        <v>4742</v>
      </c>
      <c r="P2720" s="8" t="s">
        <v>405</v>
      </c>
      <c r="Q2720" s="12" t="s">
        <v>14765</v>
      </c>
      <c r="R2720" s="8" t="s">
        <v>100</v>
      </c>
      <c r="S2720" s="7" t="s">
        <v>28</v>
      </c>
      <c r="T2720" s="6"/>
      <c r="U2720" s="8"/>
    </row>
    <row r="2721" spans="1:34" ht="13.5" customHeight="1">
      <c r="A2721" s="8" t="s">
        <v>14782</v>
      </c>
      <c r="B2721" s="16">
        <v>24</v>
      </c>
      <c r="C2721" s="8" t="s">
        <v>20</v>
      </c>
      <c r="D2721" s="8" t="s">
        <v>85</v>
      </c>
      <c r="E2721" s="8" t="s">
        <v>14783</v>
      </c>
      <c r="F2721" s="17">
        <v>41513</v>
      </c>
      <c r="G2721" s="8" t="s">
        <v>14784</v>
      </c>
      <c r="H2721" s="8" t="s">
        <v>886</v>
      </c>
      <c r="I2721" s="8" t="s">
        <v>45</v>
      </c>
      <c r="J2721" s="16" t="s">
        <v>14785</v>
      </c>
      <c r="K2721" s="2" t="s">
        <v>4556</v>
      </c>
      <c r="L2721" s="8" t="s">
        <v>14786</v>
      </c>
      <c r="M2721" s="8" t="s">
        <v>27</v>
      </c>
      <c r="N2721" s="8" t="s">
        <v>14787</v>
      </c>
      <c r="O2721" s="8" t="s">
        <v>29</v>
      </c>
      <c r="P2721" s="8" t="s">
        <v>405</v>
      </c>
      <c r="Q2721" s="12" t="s">
        <v>14788</v>
      </c>
      <c r="R2721" s="8" t="s">
        <v>100</v>
      </c>
      <c r="S2721" s="7" t="s">
        <v>28</v>
      </c>
      <c r="T2721" s="6"/>
      <c r="U2721" s="8"/>
      <c r="Y2721" s="8"/>
      <c r="Z2721" s="8"/>
      <c r="AA2721" s="8"/>
      <c r="AB2721" s="8"/>
      <c r="AC2721" s="8"/>
      <c r="AD2721" s="8"/>
      <c r="AE2721" s="8"/>
      <c r="AF2721" s="8"/>
      <c r="AG2721" s="8"/>
      <c r="AH2721" s="8"/>
    </row>
    <row r="2722" spans="1:34" ht="13.5" customHeight="1">
      <c r="A2722" s="8" t="s">
        <v>14794</v>
      </c>
      <c r="B2722" s="16">
        <v>28</v>
      </c>
      <c r="C2722" s="8" t="s">
        <v>20</v>
      </c>
      <c r="D2722" s="8" t="s">
        <v>30</v>
      </c>
      <c r="F2722" s="17">
        <v>41512</v>
      </c>
      <c r="G2722" s="8" t="s">
        <v>14795</v>
      </c>
      <c r="H2722" s="8" t="s">
        <v>14796</v>
      </c>
      <c r="I2722" s="8" t="s">
        <v>4424</v>
      </c>
      <c r="J2722" s="16" t="s">
        <v>14797</v>
      </c>
      <c r="K2722" s="2" t="s">
        <v>4426</v>
      </c>
      <c r="L2722" s="8" t="s">
        <v>14798</v>
      </c>
      <c r="M2722" s="8" t="s">
        <v>383</v>
      </c>
      <c r="N2722" s="8" t="s">
        <v>14799</v>
      </c>
      <c r="O2722" s="8" t="s">
        <v>1018</v>
      </c>
      <c r="P2722" s="8" t="s">
        <v>405</v>
      </c>
      <c r="Q2722" s="12" t="s">
        <v>14800</v>
      </c>
      <c r="R2722" s="8" t="s">
        <v>100</v>
      </c>
      <c r="S2722" s="7" t="s">
        <v>383</v>
      </c>
      <c r="T2722" s="6"/>
      <c r="U2722" s="8"/>
    </row>
    <row r="2723" spans="1:34" ht="13.5" customHeight="1">
      <c r="A2723" s="8" t="s">
        <v>3288</v>
      </c>
      <c r="B2723" s="16">
        <v>17</v>
      </c>
      <c r="C2723" s="8" t="s">
        <v>20</v>
      </c>
      <c r="D2723" s="8" t="s">
        <v>30</v>
      </c>
      <c r="F2723" s="17">
        <v>41512</v>
      </c>
      <c r="G2723" s="8" t="s">
        <v>14789</v>
      </c>
      <c r="H2723" s="8" t="s">
        <v>14790</v>
      </c>
      <c r="I2723" s="8" t="s">
        <v>57</v>
      </c>
      <c r="J2723" s="16" t="s">
        <v>14791</v>
      </c>
      <c r="K2723" s="2" t="s">
        <v>607</v>
      </c>
      <c r="L2723" s="8" t="s">
        <v>2196</v>
      </c>
      <c r="M2723" s="8" t="s">
        <v>27</v>
      </c>
      <c r="N2723" s="8" t="s">
        <v>14792</v>
      </c>
      <c r="O2723" s="8" t="s">
        <v>1018</v>
      </c>
      <c r="P2723" s="8" t="s">
        <v>405</v>
      </c>
      <c r="Q2723" s="12" t="s">
        <v>14793</v>
      </c>
      <c r="R2723" s="8" t="s">
        <v>100</v>
      </c>
      <c r="S2723" s="7" t="s">
        <v>28</v>
      </c>
      <c r="T2723" s="6"/>
      <c r="U2723" s="8"/>
    </row>
    <row r="2724" spans="1:34" ht="13.5" customHeight="1">
      <c r="A2724" s="8" t="s">
        <v>14808</v>
      </c>
      <c r="B2724" s="16" t="s">
        <v>13608</v>
      </c>
      <c r="C2724" s="8" t="s">
        <v>20</v>
      </c>
      <c r="D2724" s="8" t="s">
        <v>37</v>
      </c>
      <c r="E2724" s="8" t="s">
        <v>14809</v>
      </c>
      <c r="F2724" s="17">
        <v>41511</v>
      </c>
      <c r="G2724" s="8" t="s">
        <v>14810</v>
      </c>
      <c r="H2724" s="8" t="s">
        <v>14811</v>
      </c>
      <c r="I2724" s="8" t="s">
        <v>798</v>
      </c>
      <c r="J2724" s="16" t="s">
        <v>14812</v>
      </c>
      <c r="K2724" s="2" t="s">
        <v>9476</v>
      </c>
      <c r="L2724" s="8" t="s">
        <v>14813</v>
      </c>
      <c r="M2724" s="8" t="s">
        <v>27</v>
      </c>
      <c r="N2724" s="8" t="s">
        <v>14814</v>
      </c>
      <c r="O2724" s="8" t="s">
        <v>29</v>
      </c>
      <c r="P2724" s="8" t="s">
        <v>405</v>
      </c>
      <c r="Q2724" s="12" t="s">
        <v>14815</v>
      </c>
      <c r="R2724" s="8" t="s">
        <v>100</v>
      </c>
      <c r="S2724" s="7" t="s">
        <v>28</v>
      </c>
      <c r="T2724" s="6"/>
      <c r="U2724" s="8"/>
    </row>
    <row r="2725" spans="1:34" ht="13.5" customHeight="1">
      <c r="A2725" s="8" t="s">
        <v>14801</v>
      </c>
      <c r="B2725" s="16">
        <v>58</v>
      </c>
      <c r="C2725" s="8" t="s">
        <v>20</v>
      </c>
      <c r="D2725" s="8" t="s">
        <v>30</v>
      </c>
      <c r="F2725" s="17">
        <v>41511</v>
      </c>
      <c r="G2725" s="8" t="s">
        <v>14802</v>
      </c>
      <c r="H2725" s="8" t="s">
        <v>14803</v>
      </c>
      <c r="I2725" s="8" t="s">
        <v>175</v>
      </c>
      <c r="J2725" s="16" t="s">
        <v>14804</v>
      </c>
      <c r="K2725" s="2" t="s">
        <v>51</v>
      </c>
      <c r="L2725" s="8" t="s">
        <v>14805</v>
      </c>
      <c r="M2725" s="8" t="s">
        <v>27</v>
      </c>
      <c r="N2725" s="8" t="s">
        <v>14806</v>
      </c>
      <c r="O2725" s="8" t="s">
        <v>4742</v>
      </c>
      <c r="P2725" s="8" t="s">
        <v>405</v>
      </c>
      <c r="Q2725" s="12" t="s">
        <v>14807</v>
      </c>
      <c r="R2725" s="8" t="s">
        <v>100</v>
      </c>
      <c r="S2725" s="7" t="s">
        <v>28</v>
      </c>
      <c r="T2725" s="6"/>
      <c r="U2725" s="8"/>
    </row>
    <row r="2726" spans="1:34" ht="13.5" customHeight="1">
      <c r="A2726" s="8" t="s">
        <v>14816</v>
      </c>
      <c r="B2726" s="16">
        <v>44</v>
      </c>
      <c r="C2726" s="8" t="s">
        <v>20</v>
      </c>
      <c r="D2726" s="8" t="s">
        <v>30</v>
      </c>
      <c r="F2726" s="17">
        <v>41510</v>
      </c>
      <c r="G2726" s="8" t="s">
        <v>14817</v>
      </c>
      <c r="H2726" s="8" t="s">
        <v>14818</v>
      </c>
      <c r="I2726" s="8" t="s">
        <v>45</v>
      </c>
      <c r="J2726" s="16" t="s">
        <v>14819</v>
      </c>
      <c r="K2726" s="2" t="s">
        <v>158</v>
      </c>
      <c r="L2726" s="8" t="s">
        <v>2134</v>
      </c>
      <c r="M2726" s="8" t="s">
        <v>27</v>
      </c>
      <c r="N2726" s="8" t="s">
        <v>14820</v>
      </c>
      <c r="O2726" s="8" t="s">
        <v>1018</v>
      </c>
      <c r="P2726" s="8" t="s">
        <v>405</v>
      </c>
      <c r="Q2726" s="12" t="s">
        <v>14821</v>
      </c>
      <c r="R2726" s="8" t="s">
        <v>972</v>
      </c>
      <c r="S2726" s="7" t="s">
        <v>28</v>
      </c>
      <c r="T2726" s="6"/>
      <c r="U2726" s="8"/>
    </row>
    <row r="2727" spans="1:34" ht="13.5" customHeight="1">
      <c r="A2727" s="8" t="s">
        <v>14822</v>
      </c>
      <c r="B2727" s="16">
        <v>29</v>
      </c>
      <c r="C2727" s="8" t="s">
        <v>20</v>
      </c>
      <c r="D2727" s="8" t="s">
        <v>37</v>
      </c>
      <c r="E2727" s="8" t="s">
        <v>14823</v>
      </c>
      <c r="F2727" s="17">
        <v>41510</v>
      </c>
      <c r="G2727" s="8" t="s">
        <v>14824</v>
      </c>
      <c r="H2727" s="8" t="s">
        <v>14825</v>
      </c>
      <c r="I2727" s="8" t="s">
        <v>45</v>
      </c>
      <c r="J2727" s="16" t="s">
        <v>14826</v>
      </c>
      <c r="K2727" s="2" t="s">
        <v>3271</v>
      </c>
      <c r="L2727" s="8" t="s">
        <v>14827</v>
      </c>
      <c r="M2727" s="8" t="s">
        <v>27</v>
      </c>
      <c r="N2727" s="8" t="s">
        <v>14828</v>
      </c>
      <c r="O2727" s="8" t="s">
        <v>1018</v>
      </c>
      <c r="P2727" s="8" t="s">
        <v>405</v>
      </c>
      <c r="Q2727" s="12" t="s">
        <v>14829</v>
      </c>
      <c r="R2727" s="8" t="s">
        <v>559</v>
      </c>
      <c r="S2727" s="7" t="s">
        <v>28</v>
      </c>
      <c r="T2727" s="6"/>
      <c r="U2727" s="8"/>
    </row>
    <row r="2728" spans="1:34" ht="13.5" customHeight="1">
      <c r="A2728" s="8" t="s">
        <v>14830</v>
      </c>
      <c r="B2728" s="16">
        <v>24</v>
      </c>
      <c r="C2728" s="8" t="s">
        <v>20</v>
      </c>
      <c r="D2728" s="8" t="s">
        <v>85</v>
      </c>
      <c r="E2728" s="8" t="s">
        <v>14831</v>
      </c>
      <c r="F2728" s="17">
        <v>41509</v>
      </c>
      <c r="G2728" s="8" t="s">
        <v>14832</v>
      </c>
      <c r="H2728" s="8" t="s">
        <v>4885</v>
      </c>
      <c r="I2728" s="8" t="s">
        <v>135</v>
      </c>
      <c r="J2728" s="16" t="s">
        <v>4886</v>
      </c>
      <c r="K2728" s="2" t="s">
        <v>1081</v>
      </c>
      <c r="L2728" s="8" t="s">
        <v>14833</v>
      </c>
      <c r="M2728" s="8" t="s">
        <v>27</v>
      </c>
      <c r="N2728" s="8" t="s">
        <v>14834</v>
      </c>
      <c r="O2728" s="8" t="s">
        <v>554</v>
      </c>
      <c r="P2728" s="8" t="s">
        <v>405</v>
      </c>
      <c r="Q2728" s="12" t="s">
        <v>14835</v>
      </c>
      <c r="R2728" s="8" t="s">
        <v>100</v>
      </c>
      <c r="S2728" s="7" t="s">
        <v>28</v>
      </c>
      <c r="T2728" s="6"/>
      <c r="U2728" s="8"/>
    </row>
    <row r="2729" spans="1:34" ht="13.5" customHeight="1">
      <c r="A2729" s="8" t="s">
        <v>14856</v>
      </c>
      <c r="B2729" s="16">
        <v>29</v>
      </c>
      <c r="C2729" s="8" t="s">
        <v>20</v>
      </c>
      <c r="D2729" s="8" t="s">
        <v>37</v>
      </c>
      <c r="E2729" s="8" t="s">
        <v>14857</v>
      </c>
      <c r="F2729" s="17">
        <v>41509</v>
      </c>
      <c r="G2729" s="8" t="s">
        <v>14858</v>
      </c>
      <c r="H2729" s="8" t="s">
        <v>638</v>
      </c>
      <c r="I2729" s="8" t="s">
        <v>124</v>
      </c>
      <c r="J2729" s="16" t="s">
        <v>14859</v>
      </c>
      <c r="K2729" s="2" t="s">
        <v>639</v>
      </c>
      <c r="L2729" s="8" t="s">
        <v>1443</v>
      </c>
      <c r="M2729" s="8" t="s">
        <v>27</v>
      </c>
      <c r="N2729" s="8" t="s">
        <v>14860</v>
      </c>
      <c r="O2729" s="8" t="s">
        <v>1018</v>
      </c>
      <c r="P2729" s="8" t="s">
        <v>405</v>
      </c>
      <c r="Q2729" s="12" t="s">
        <v>14847</v>
      </c>
      <c r="R2729" s="8" t="s">
        <v>100</v>
      </c>
      <c r="S2729" s="7" t="s">
        <v>28</v>
      </c>
      <c r="T2729" s="6"/>
      <c r="U2729" s="8"/>
    </row>
    <row r="2730" spans="1:34" ht="13.5" customHeight="1">
      <c r="A2730" s="8" t="s">
        <v>14843</v>
      </c>
      <c r="B2730" s="16">
        <v>27</v>
      </c>
      <c r="C2730" s="8" t="s">
        <v>20</v>
      </c>
      <c r="D2730" s="8" t="s">
        <v>30</v>
      </c>
      <c r="F2730" s="17">
        <v>41509</v>
      </c>
      <c r="G2730" s="8" t="s">
        <v>14844</v>
      </c>
      <c r="H2730" s="8" t="s">
        <v>638</v>
      </c>
      <c r="I2730" s="8" t="s">
        <v>124</v>
      </c>
      <c r="J2730" s="16" t="s">
        <v>14845</v>
      </c>
      <c r="K2730" s="2" t="s">
        <v>639</v>
      </c>
      <c r="L2730" s="8" t="s">
        <v>1443</v>
      </c>
      <c r="M2730" s="8" t="s">
        <v>27</v>
      </c>
      <c r="N2730" s="8" t="s">
        <v>14846</v>
      </c>
      <c r="O2730" s="8" t="s">
        <v>1018</v>
      </c>
      <c r="P2730" s="8" t="s">
        <v>405</v>
      </c>
      <c r="Q2730" s="12" t="s">
        <v>14847</v>
      </c>
      <c r="R2730" s="8" t="s">
        <v>100</v>
      </c>
      <c r="S2730" s="7" t="s">
        <v>28</v>
      </c>
      <c r="T2730" s="6"/>
      <c r="U2730" s="8"/>
    </row>
    <row r="2731" spans="1:34" ht="13.5" customHeight="1">
      <c r="A2731" s="8" t="s">
        <v>14848</v>
      </c>
      <c r="B2731" s="16">
        <v>30</v>
      </c>
      <c r="C2731" s="8" t="s">
        <v>20</v>
      </c>
      <c r="D2731" s="8" t="s">
        <v>37</v>
      </c>
      <c r="E2731" s="8" t="s">
        <v>14849</v>
      </c>
      <c r="F2731" s="17">
        <v>41509</v>
      </c>
      <c r="G2731" s="8" t="s">
        <v>14850</v>
      </c>
      <c r="H2731" s="8" t="s">
        <v>14851</v>
      </c>
      <c r="I2731" s="8" t="s">
        <v>212</v>
      </c>
      <c r="J2731" s="16" t="s">
        <v>14852</v>
      </c>
      <c r="K2731" s="2" t="s">
        <v>5486</v>
      </c>
      <c r="L2731" s="8" t="s">
        <v>14853</v>
      </c>
      <c r="M2731" s="8" t="s">
        <v>1706</v>
      </c>
      <c r="N2731" s="8" t="s">
        <v>14854</v>
      </c>
      <c r="O2731" s="8" t="s">
        <v>1018</v>
      </c>
      <c r="P2731" s="8" t="s">
        <v>405</v>
      </c>
      <c r="Q2731" s="12" t="s">
        <v>14855</v>
      </c>
      <c r="R2731" s="8" t="s">
        <v>100</v>
      </c>
      <c r="S2731" s="7" t="s">
        <v>18</v>
      </c>
      <c r="T2731" s="6"/>
      <c r="U2731" s="8"/>
    </row>
    <row r="2732" spans="1:34" ht="13.5" customHeight="1">
      <c r="A2732" s="8" t="s">
        <v>14836</v>
      </c>
      <c r="B2732" s="16">
        <v>37</v>
      </c>
      <c r="C2732" s="8" t="s">
        <v>20</v>
      </c>
      <c r="D2732" s="8" t="s">
        <v>30</v>
      </c>
      <c r="F2732" s="17">
        <v>41509</v>
      </c>
      <c r="G2732" s="8" t="s">
        <v>14837</v>
      </c>
      <c r="H2732" s="8" t="s">
        <v>14838</v>
      </c>
      <c r="I2732" s="8" t="s">
        <v>46</v>
      </c>
      <c r="J2732" s="16" t="s">
        <v>14839</v>
      </c>
      <c r="K2732" s="2" t="s">
        <v>532</v>
      </c>
      <c r="L2732" s="8" t="s">
        <v>14840</v>
      </c>
      <c r="M2732" s="8" t="s">
        <v>27</v>
      </c>
      <c r="N2732" s="8" t="s">
        <v>14841</v>
      </c>
      <c r="O2732" s="8" t="s">
        <v>1018</v>
      </c>
      <c r="P2732" s="8" t="s">
        <v>405</v>
      </c>
      <c r="Q2732" s="12" t="s">
        <v>14842</v>
      </c>
      <c r="R2732" s="8" t="s">
        <v>100</v>
      </c>
      <c r="S2732" s="7" t="s">
        <v>28</v>
      </c>
      <c r="T2732" s="6"/>
      <c r="U2732" s="8"/>
    </row>
    <row r="2733" spans="1:34" ht="13.5" customHeight="1">
      <c r="A2733" s="8" t="s">
        <v>14873</v>
      </c>
      <c r="B2733" s="16">
        <v>40</v>
      </c>
      <c r="C2733" s="8" t="s">
        <v>20</v>
      </c>
      <c r="D2733" s="8" t="s">
        <v>37</v>
      </c>
      <c r="E2733" s="8" t="s">
        <v>14874</v>
      </c>
      <c r="F2733" s="17">
        <v>41508</v>
      </c>
      <c r="G2733" s="8" t="s">
        <v>14875</v>
      </c>
      <c r="H2733" s="8" t="s">
        <v>846</v>
      </c>
      <c r="I2733" s="8" t="s">
        <v>306</v>
      </c>
      <c r="J2733" s="16" t="s">
        <v>2372</v>
      </c>
      <c r="K2733" s="2" t="s">
        <v>846</v>
      </c>
      <c r="L2733" s="8" t="s">
        <v>847</v>
      </c>
      <c r="M2733" s="8" t="s">
        <v>27</v>
      </c>
      <c r="N2733" s="8" t="s">
        <v>14876</v>
      </c>
      <c r="O2733" s="8" t="s">
        <v>554</v>
      </c>
      <c r="P2733" s="8" t="s">
        <v>405</v>
      </c>
      <c r="Q2733" s="12" t="s">
        <v>14877</v>
      </c>
      <c r="R2733" s="8" t="s">
        <v>559</v>
      </c>
      <c r="S2733" s="7" t="s">
        <v>383</v>
      </c>
      <c r="T2733" s="6"/>
      <c r="U2733" s="8"/>
    </row>
    <row r="2734" spans="1:34" ht="13.5" customHeight="1">
      <c r="A2734" s="8" t="s">
        <v>14878</v>
      </c>
      <c r="B2734" s="16">
        <v>40</v>
      </c>
      <c r="C2734" s="8" t="s">
        <v>20</v>
      </c>
      <c r="D2734" s="8" t="s">
        <v>37</v>
      </c>
      <c r="E2734" s="8" t="s">
        <v>14879</v>
      </c>
      <c r="F2734" s="17">
        <v>41508</v>
      </c>
      <c r="G2734" s="8" t="s">
        <v>14880</v>
      </c>
      <c r="H2734" s="8" t="s">
        <v>846</v>
      </c>
      <c r="I2734" s="8" t="s">
        <v>306</v>
      </c>
      <c r="J2734" s="16" t="s">
        <v>2372</v>
      </c>
      <c r="K2734" s="2" t="s">
        <v>846</v>
      </c>
      <c r="L2734" s="8" t="s">
        <v>847</v>
      </c>
      <c r="M2734" s="8" t="s">
        <v>27</v>
      </c>
      <c r="N2734" s="8" t="s">
        <v>14881</v>
      </c>
      <c r="O2734" s="8" t="s">
        <v>1018</v>
      </c>
      <c r="P2734" s="8" t="s">
        <v>405</v>
      </c>
      <c r="Q2734" s="12" t="str">
        <f>HYPERLINK("http://www.khq.com/story/23228789/officer-involved-shooting-in-n-spokane","http://www.khq.com/story/23228789/officer-involved-shooting-in-n-spokane")</f>
        <v>http://www.khq.com/story/23228789/officer-involved-shooting-in-n-spokane</v>
      </c>
      <c r="R2734" s="8" t="s">
        <v>29</v>
      </c>
      <c r="S2734" s="7" t="s">
        <v>383</v>
      </c>
      <c r="T2734" s="6"/>
      <c r="U2734" s="8"/>
    </row>
    <row r="2735" spans="1:34" ht="13.5" customHeight="1">
      <c r="A2735" s="8" t="s">
        <v>14861</v>
      </c>
      <c r="B2735" s="16">
        <v>24</v>
      </c>
      <c r="C2735" s="8" t="s">
        <v>20</v>
      </c>
      <c r="D2735" s="8" t="s">
        <v>48</v>
      </c>
      <c r="E2735" s="8" t="s">
        <v>14862</v>
      </c>
      <c r="F2735" s="17">
        <v>41508</v>
      </c>
      <c r="G2735" s="8" t="s">
        <v>14863</v>
      </c>
      <c r="H2735" s="8" t="s">
        <v>14864</v>
      </c>
      <c r="I2735" s="8" t="s">
        <v>45</v>
      </c>
      <c r="J2735" s="16" t="s">
        <v>14865</v>
      </c>
      <c r="K2735" s="2" t="s">
        <v>791</v>
      </c>
      <c r="L2735" s="8" t="s">
        <v>14866</v>
      </c>
      <c r="M2735" s="8" t="s">
        <v>27</v>
      </c>
      <c r="N2735" s="8" t="s">
        <v>14867</v>
      </c>
      <c r="O2735" s="8" t="s">
        <v>554</v>
      </c>
      <c r="P2735" s="8" t="s">
        <v>405</v>
      </c>
      <c r="Q2735" s="12" t="s">
        <v>14868</v>
      </c>
      <c r="R2735" s="8" t="s">
        <v>100</v>
      </c>
      <c r="S2735" s="7" t="s">
        <v>28</v>
      </c>
      <c r="T2735" s="6"/>
      <c r="U2735" s="8"/>
    </row>
    <row r="2736" spans="1:34" ht="13.5" customHeight="1">
      <c r="A2736" s="8" t="s">
        <v>14869</v>
      </c>
      <c r="B2736" s="16">
        <v>33</v>
      </c>
      <c r="C2736" s="8" t="s">
        <v>20</v>
      </c>
      <c r="D2736" s="8" t="s">
        <v>37</v>
      </c>
      <c r="E2736" s="8" t="s">
        <v>14870</v>
      </c>
      <c r="F2736" s="17">
        <v>41508</v>
      </c>
      <c r="G2736" s="8" t="s">
        <v>14871</v>
      </c>
      <c r="H2736" s="8" t="s">
        <v>5562</v>
      </c>
      <c r="I2736" s="8" t="s">
        <v>45</v>
      </c>
      <c r="J2736" s="16" t="s">
        <v>6192</v>
      </c>
      <c r="K2736" s="2" t="s">
        <v>791</v>
      </c>
      <c r="L2736" s="8" t="s">
        <v>792</v>
      </c>
      <c r="M2736" s="8" t="s">
        <v>3189</v>
      </c>
      <c r="N2736" s="8" t="s">
        <v>14872</v>
      </c>
      <c r="O2736" s="8" t="s">
        <v>4742</v>
      </c>
      <c r="P2736" s="8" t="s">
        <v>405</v>
      </c>
      <c r="Q2736" s="12" t="str">
        <f>HYPERLINK("http://www.pe.com/articles/palmer-674426-deputies-phillips.html","http://www.pe.com/articles/palmer-674426-deputies-phillips.html")</f>
        <v>http://www.pe.com/articles/palmer-674426-deputies-phillips.html</v>
      </c>
      <c r="R2736" s="8" t="s">
        <v>559</v>
      </c>
      <c r="S2736" s="7" t="s">
        <v>18</v>
      </c>
      <c r="T2736" s="6"/>
      <c r="U2736" s="8"/>
    </row>
    <row r="2737" spans="1:21" ht="13.5" customHeight="1">
      <c r="A2737" s="8" t="s">
        <v>14882</v>
      </c>
      <c r="B2737" s="16">
        <v>68</v>
      </c>
      <c r="C2737" s="8" t="s">
        <v>20</v>
      </c>
      <c r="D2737" s="8" t="s">
        <v>37</v>
      </c>
      <c r="E2737" s="8" t="s">
        <v>14883</v>
      </c>
      <c r="F2737" s="17">
        <v>41507</v>
      </c>
      <c r="G2737" s="8" t="s">
        <v>14884</v>
      </c>
      <c r="H2737" s="8" t="s">
        <v>898</v>
      </c>
      <c r="I2737" s="8" t="s">
        <v>323</v>
      </c>
      <c r="J2737" s="16" t="s">
        <v>14885</v>
      </c>
      <c r="K2737" s="2" t="s">
        <v>6367</v>
      </c>
      <c r="L2737" s="8" t="s">
        <v>14886</v>
      </c>
      <c r="M2737" s="8" t="s">
        <v>27</v>
      </c>
      <c r="N2737" s="8" t="s">
        <v>14887</v>
      </c>
      <c r="O2737" s="8" t="s">
        <v>554</v>
      </c>
      <c r="P2737" s="8" t="s">
        <v>405</v>
      </c>
      <c r="Q2737" s="12" t="s">
        <v>14888</v>
      </c>
      <c r="R2737" s="8" t="s">
        <v>100</v>
      </c>
      <c r="S2737" s="7" t="s">
        <v>28</v>
      </c>
      <c r="T2737" s="6"/>
      <c r="U2737" s="8"/>
    </row>
    <row r="2738" spans="1:21" ht="13.5" customHeight="1">
      <c r="A2738" s="8" t="s">
        <v>14889</v>
      </c>
      <c r="B2738" s="16">
        <v>37</v>
      </c>
      <c r="C2738" s="8" t="s">
        <v>20</v>
      </c>
      <c r="D2738" s="8" t="s">
        <v>37</v>
      </c>
      <c r="E2738" s="8" t="s">
        <v>14890</v>
      </c>
      <c r="F2738" s="17">
        <v>41507</v>
      </c>
      <c r="G2738" s="8" t="s">
        <v>14891</v>
      </c>
      <c r="H2738" s="8" t="s">
        <v>638</v>
      </c>
      <c r="I2738" s="8" t="s">
        <v>124</v>
      </c>
      <c r="J2738" s="16" t="s">
        <v>7530</v>
      </c>
      <c r="K2738" s="2" t="s">
        <v>639</v>
      </c>
      <c r="L2738" s="8" t="s">
        <v>640</v>
      </c>
      <c r="M2738" s="8" t="s">
        <v>27</v>
      </c>
      <c r="N2738" s="8" t="s">
        <v>14892</v>
      </c>
      <c r="O2738" s="8" t="s">
        <v>1018</v>
      </c>
      <c r="P2738" s="8" t="s">
        <v>405</v>
      </c>
      <c r="Q2738" s="12" t="s">
        <v>14893</v>
      </c>
      <c r="R2738" s="8" t="s">
        <v>100</v>
      </c>
      <c r="S2738" s="7" t="s">
        <v>383</v>
      </c>
      <c r="T2738" s="6"/>
      <c r="U2738" s="8"/>
    </row>
    <row r="2739" spans="1:21" ht="13.5" customHeight="1">
      <c r="A2739" s="8" t="s">
        <v>14930</v>
      </c>
      <c r="B2739" s="16">
        <v>25</v>
      </c>
      <c r="C2739" s="8" t="s">
        <v>20</v>
      </c>
      <c r="D2739" s="8" t="s">
        <v>37</v>
      </c>
      <c r="E2739" s="8" t="s">
        <v>14931</v>
      </c>
      <c r="F2739" s="17">
        <v>41506</v>
      </c>
      <c r="G2739" s="8" t="s">
        <v>14932</v>
      </c>
      <c r="H2739" s="8" t="s">
        <v>14933</v>
      </c>
      <c r="I2739" s="8" t="s">
        <v>25</v>
      </c>
      <c r="J2739" s="16" t="s">
        <v>14934</v>
      </c>
      <c r="K2739" s="2" t="s">
        <v>6435</v>
      </c>
      <c r="L2739" s="8" t="s">
        <v>14935</v>
      </c>
      <c r="M2739" s="8" t="s">
        <v>3189</v>
      </c>
      <c r="N2739" s="8" t="s">
        <v>14936</v>
      </c>
      <c r="O2739" s="8" t="s">
        <v>1804</v>
      </c>
      <c r="P2739" s="8" t="s">
        <v>1171</v>
      </c>
      <c r="Q2739" s="12" t="s">
        <v>14937</v>
      </c>
      <c r="R2739" s="8" t="s">
        <v>100</v>
      </c>
      <c r="S2739" s="7" t="s">
        <v>18</v>
      </c>
      <c r="T2739" s="6"/>
      <c r="U2739" s="8"/>
    </row>
    <row r="2740" spans="1:21" ht="13.5" customHeight="1">
      <c r="A2740" s="8" t="s">
        <v>14906</v>
      </c>
      <c r="B2740" s="16">
        <v>19</v>
      </c>
      <c r="C2740" s="8" t="s">
        <v>20</v>
      </c>
      <c r="D2740" s="8" t="s">
        <v>30</v>
      </c>
      <c r="F2740" s="17">
        <v>41506</v>
      </c>
      <c r="G2740" s="8" t="s">
        <v>14907</v>
      </c>
      <c r="H2740" s="8" t="s">
        <v>1110</v>
      </c>
      <c r="I2740" s="8" t="s">
        <v>408</v>
      </c>
      <c r="J2740" s="16" t="s">
        <v>14903</v>
      </c>
      <c r="K2740" s="2" t="s">
        <v>1110</v>
      </c>
      <c r="L2740" s="8" t="s">
        <v>1111</v>
      </c>
      <c r="M2740" s="8" t="s">
        <v>27</v>
      </c>
      <c r="N2740" s="8" t="s">
        <v>14908</v>
      </c>
      <c r="O2740" s="8" t="s">
        <v>1018</v>
      </c>
      <c r="P2740" s="8" t="s">
        <v>405</v>
      </c>
      <c r="Q2740" s="12" t="s">
        <v>14909</v>
      </c>
      <c r="R2740" s="8" t="s">
        <v>100</v>
      </c>
      <c r="S2740" s="7" t="s">
        <v>28</v>
      </c>
      <c r="T2740" s="6"/>
      <c r="U2740" s="8"/>
    </row>
    <row r="2741" spans="1:21" ht="13.5" customHeight="1">
      <c r="A2741" s="8" t="s">
        <v>14898</v>
      </c>
      <c r="B2741" s="16">
        <v>52</v>
      </c>
      <c r="C2741" s="8" t="s">
        <v>20</v>
      </c>
      <c r="D2741" s="8" t="s">
        <v>85</v>
      </c>
      <c r="F2741" s="17">
        <v>41506</v>
      </c>
      <c r="G2741" s="8" t="s">
        <v>14899</v>
      </c>
      <c r="H2741" s="8" t="s">
        <v>669</v>
      </c>
      <c r="I2741" s="8" t="s">
        <v>69</v>
      </c>
      <c r="J2741" s="16" t="s">
        <v>12475</v>
      </c>
      <c r="K2741" s="2" t="s">
        <v>216</v>
      </c>
      <c r="L2741" s="8" t="s">
        <v>671</v>
      </c>
      <c r="M2741" s="8" t="s">
        <v>27</v>
      </c>
      <c r="N2741" s="8" t="s">
        <v>14900</v>
      </c>
      <c r="O2741" s="8" t="s">
        <v>1018</v>
      </c>
      <c r="P2741" s="8" t="s">
        <v>405</v>
      </c>
      <c r="Q2741" s="12" t="s">
        <v>14901</v>
      </c>
      <c r="R2741" s="8" t="s">
        <v>100</v>
      </c>
      <c r="S2741" s="7" t="s">
        <v>28</v>
      </c>
      <c r="T2741" s="6"/>
      <c r="U2741" s="8"/>
    </row>
    <row r="2742" spans="1:21" ht="13.5" customHeight="1">
      <c r="A2742" s="8" t="s">
        <v>14918</v>
      </c>
      <c r="B2742" s="16">
        <v>63</v>
      </c>
      <c r="C2742" s="8" t="s">
        <v>20</v>
      </c>
      <c r="D2742" s="8" t="s">
        <v>37</v>
      </c>
      <c r="F2742" s="17">
        <v>41506</v>
      </c>
      <c r="G2742" s="8" t="s">
        <v>14919</v>
      </c>
      <c r="H2742" s="8" t="s">
        <v>1290</v>
      </c>
      <c r="I2742" s="8" t="s">
        <v>272</v>
      </c>
      <c r="J2742" s="16" t="s">
        <v>14920</v>
      </c>
      <c r="K2742" s="2" t="s">
        <v>574</v>
      </c>
      <c r="L2742" s="8" t="s">
        <v>1497</v>
      </c>
      <c r="M2742" s="8" t="s">
        <v>27</v>
      </c>
      <c r="N2742" s="8" t="s">
        <v>14921</v>
      </c>
      <c r="O2742" s="8" t="s">
        <v>554</v>
      </c>
      <c r="P2742" s="8" t="s">
        <v>405</v>
      </c>
      <c r="Q2742" s="12" t="s">
        <v>14922</v>
      </c>
      <c r="R2742" s="8" t="s">
        <v>100</v>
      </c>
      <c r="S2742" s="7" t="s">
        <v>28</v>
      </c>
      <c r="T2742" s="6"/>
      <c r="U2742" s="8"/>
    </row>
    <row r="2743" spans="1:21" ht="13.5" customHeight="1">
      <c r="A2743" s="8" t="s">
        <v>14910</v>
      </c>
      <c r="B2743" s="16">
        <v>40</v>
      </c>
      <c r="C2743" s="8" t="s">
        <v>20</v>
      </c>
      <c r="D2743" s="8" t="s">
        <v>37</v>
      </c>
      <c r="E2743" s="8" t="s">
        <v>14911</v>
      </c>
      <c r="F2743" s="17">
        <v>41506</v>
      </c>
      <c r="G2743" s="8" t="s">
        <v>14912</v>
      </c>
      <c r="H2743" s="8" t="s">
        <v>14913</v>
      </c>
      <c r="I2743" s="8" t="s">
        <v>427</v>
      </c>
      <c r="J2743" s="16" t="s">
        <v>14914</v>
      </c>
      <c r="K2743" s="2" t="s">
        <v>2489</v>
      </c>
      <c r="L2743" s="8" t="s">
        <v>14915</v>
      </c>
      <c r="M2743" s="8" t="s">
        <v>27</v>
      </c>
      <c r="N2743" s="8" t="s">
        <v>14916</v>
      </c>
      <c r="O2743" s="8" t="s">
        <v>554</v>
      </c>
      <c r="P2743" s="8" t="s">
        <v>405</v>
      </c>
      <c r="Q2743" s="12" t="s">
        <v>14917</v>
      </c>
      <c r="R2743" s="8" t="s">
        <v>100</v>
      </c>
      <c r="S2743" s="7" t="s">
        <v>28</v>
      </c>
      <c r="T2743" s="6"/>
      <c r="U2743" s="8"/>
    </row>
    <row r="2744" spans="1:21" ht="13.5" customHeight="1">
      <c r="A2744" s="8" t="s">
        <v>14923</v>
      </c>
      <c r="B2744" s="16">
        <v>52</v>
      </c>
      <c r="C2744" s="8" t="s">
        <v>20</v>
      </c>
      <c r="D2744" s="8" t="s">
        <v>37</v>
      </c>
      <c r="E2744" s="8" t="s">
        <v>14924</v>
      </c>
      <c r="F2744" s="17">
        <v>41506</v>
      </c>
      <c r="G2744" s="8" t="s">
        <v>14925</v>
      </c>
      <c r="H2744" s="8" t="s">
        <v>6076</v>
      </c>
      <c r="I2744" s="8" t="s">
        <v>118</v>
      </c>
      <c r="J2744" s="16" t="s">
        <v>14926</v>
      </c>
      <c r="K2744" s="2" t="s">
        <v>6078</v>
      </c>
      <c r="L2744" s="8" t="s">
        <v>14927</v>
      </c>
      <c r="M2744" s="8" t="s">
        <v>27</v>
      </c>
      <c r="N2744" s="8" t="s">
        <v>14928</v>
      </c>
      <c r="O2744" s="8" t="s">
        <v>554</v>
      </c>
      <c r="P2744" s="8" t="s">
        <v>405</v>
      </c>
      <c r="Q2744" s="12" t="s">
        <v>14929</v>
      </c>
      <c r="R2744" s="8" t="s">
        <v>100</v>
      </c>
      <c r="S2744" s="7" t="s">
        <v>18</v>
      </c>
      <c r="T2744" s="6"/>
      <c r="U2744" s="8"/>
    </row>
    <row r="2745" spans="1:21" ht="13.5" customHeight="1">
      <c r="A2745" s="8" t="s">
        <v>3288</v>
      </c>
      <c r="B2745" s="16">
        <v>70</v>
      </c>
      <c r="C2745" s="8" t="s">
        <v>20</v>
      </c>
      <c r="D2745" s="8" t="s">
        <v>85</v>
      </c>
      <c r="F2745" s="17">
        <v>41506</v>
      </c>
      <c r="G2745" s="8" t="s">
        <v>14894</v>
      </c>
      <c r="H2745" s="8" t="s">
        <v>98</v>
      </c>
      <c r="I2745" s="8" t="s">
        <v>45</v>
      </c>
      <c r="J2745" s="16" t="s">
        <v>14895</v>
      </c>
      <c r="K2745" s="2" t="s">
        <v>98</v>
      </c>
      <c r="L2745" s="8" t="s">
        <v>99</v>
      </c>
      <c r="M2745" s="8" t="s">
        <v>27</v>
      </c>
      <c r="N2745" s="8" t="s">
        <v>14896</v>
      </c>
      <c r="O2745" s="8" t="s">
        <v>1018</v>
      </c>
      <c r="P2745" s="8" t="s">
        <v>405</v>
      </c>
      <c r="Q2745" s="12" t="s">
        <v>14897</v>
      </c>
      <c r="R2745" s="8" t="s">
        <v>100</v>
      </c>
      <c r="S2745" s="7" t="s">
        <v>28</v>
      </c>
      <c r="T2745" s="6"/>
      <c r="U2745" s="8"/>
    </row>
    <row r="2746" spans="1:21" ht="13.5" customHeight="1">
      <c r="A2746" s="8" t="s">
        <v>3288</v>
      </c>
      <c r="B2746" s="16">
        <v>19</v>
      </c>
      <c r="C2746" s="8" t="s">
        <v>20</v>
      </c>
      <c r="D2746" s="8" t="s">
        <v>30</v>
      </c>
      <c r="F2746" s="17">
        <v>41506</v>
      </c>
      <c r="G2746" s="8" t="s">
        <v>14902</v>
      </c>
      <c r="H2746" s="8" t="s">
        <v>1110</v>
      </c>
      <c r="I2746" s="8" t="s">
        <v>408</v>
      </c>
      <c r="J2746" s="16" t="s">
        <v>14903</v>
      </c>
      <c r="K2746" s="2" t="s">
        <v>1110</v>
      </c>
      <c r="L2746" s="8" t="s">
        <v>1111</v>
      </c>
      <c r="M2746" s="8" t="s">
        <v>27</v>
      </c>
      <c r="N2746" s="8" t="s">
        <v>14904</v>
      </c>
      <c r="O2746" s="8" t="s">
        <v>554</v>
      </c>
      <c r="P2746" s="8" t="s">
        <v>405</v>
      </c>
      <c r="Q2746" s="12" t="s">
        <v>14905</v>
      </c>
      <c r="R2746" s="8" t="s">
        <v>100</v>
      </c>
      <c r="S2746" s="7" t="s">
        <v>28</v>
      </c>
      <c r="T2746" s="6"/>
      <c r="U2746" s="8"/>
    </row>
    <row r="2747" spans="1:21" ht="13.5" customHeight="1">
      <c r="A2747" s="8" t="s">
        <v>14949</v>
      </c>
      <c r="B2747" s="16">
        <v>30</v>
      </c>
      <c r="C2747" s="8" t="s">
        <v>20</v>
      </c>
      <c r="D2747" s="8" t="s">
        <v>48</v>
      </c>
      <c r="F2747" s="17">
        <v>41505</v>
      </c>
      <c r="G2747" s="8" t="s">
        <v>14950</v>
      </c>
      <c r="H2747" s="8" t="s">
        <v>7385</v>
      </c>
      <c r="I2747" s="8" t="s">
        <v>73</v>
      </c>
      <c r="J2747" s="16" t="s">
        <v>14951</v>
      </c>
      <c r="K2747" s="2" t="s">
        <v>7387</v>
      </c>
      <c r="L2747" s="8" t="s">
        <v>7388</v>
      </c>
      <c r="M2747" s="8" t="s">
        <v>27</v>
      </c>
      <c r="N2747" s="8" t="s">
        <v>14952</v>
      </c>
      <c r="O2747" s="8" t="s">
        <v>554</v>
      </c>
      <c r="P2747" s="8" t="s">
        <v>405</v>
      </c>
      <c r="Q2747" s="12" t="s">
        <v>14953</v>
      </c>
      <c r="R2747" s="8" t="s">
        <v>100</v>
      </c>
      <c r="S2747" s="7" t="s">
        <v>18</v>
      </c>
      <c r="T2747" s="6"/>
      <c r="U2747" s="8"/>
    </row>
    <row r="2748" spans="1:21" ht="13.5" customHeight="1">
      <c r="A2748" s="8" t="s">
        <v>14944</v>
      </c>
      <c r="B2748" s="16">
        <v>39</v>
      </c>
      <c r="C2748" s="8" t="s">
        <v>20</v>
      </c>
      <c r="D2748" s="8" t="s">
        <v>85</v>
      </c>
      <c r="E2748" s="8" t="s">
        <v>14945</v>
      </c>
      <c r="F2748" s="17">
        <v>41505</v>
      </c>
      <c r="G2748" s="8" t="s">
        <v>14946</v>
      </c>
      <c r="H2748" s="8" t="s">
        <v>686</v>
      </c>
      <c r="I2748" s="8" t="s">
        <v>45</v>
      </c>
      <c r="J2748" s="16" t="s">
        <v>6141</v>
      </c>
      <c r="K2748" s="2" t="s">
        <v>687</v>
      </c>
      <c r="L2748" s="8" t="s">
        <v>755</v>
      </c>
      <c r="M2748" s="8" t="s">
        <v>27</v>
      </c>
      <c r="N2748" s="8" t="s">
        <v>14947</v>
      </c>
      <c r="O2748" s="8" t="s">
        <v>4742</v>
      </c>
      <c r="P2748" s="8" t="s">
        <v>405</v>
      </c>
      <c r="Q2748" s="12" t="s">
        <v>14948</v>
      </c>
      <c r="R2748" s="8" t="s">
        <v>972</v>
      </c>
      <c r="S2748" s="7" t="s">
        <v>18</v>
      </c>
      <c r="T2748" s="6"/>
      <c r="U2748" s="8"/>
    </row>
    <row r="2749" spans="1:21" ht="13.5" customHeight="1">
      <c r="A2749" s="8" t="s">
        <v>14954</v>
      </c>
      <c r="B2749" s="16">
        <v>51</v>
      </c>
      <c r="C2749" s="8" t="s">
        <v>20</v>
      </c>
      <c r="D2749" s="8" t="s">
        <v>37</v>
      </c>
      <c r="E2749" s="8" t="s">
        <v>14955</v>
      </c>
      <c r="F2749" s="17">
        <v>41505</v>
      </c>
      <c r="G2749" s="8" t="s">
        <v>14956</v>
      </c>
      <c r="H2749" s="8" t="s">
        <v>14957</v>
      </c>
      <c r="I2749" s="8" t="s">
        <v>323</v>
      </c>
      <c r="J2749" s="16" t="s">
        <v>14958</v>
      </c>
      <c r="K2749" s="2" t="s">
        <v>1795</v>
      </c>
      <c r="L2749" s="8" t="s">
        <v>14959</v>
      </c>
      <c r="M2749" s="8" t="s">
        <v>27</v>
      </c>
      <c r="N2749" s="8" t="s">
        <v>14960</v>
      </c>
      <c r="O2749" s="8" t="s">
        <v>1018</v>
      </c>
      <c r="P2749" s="8" t="s">
        <v>405</v>
      </c>
      <c r="Q2749" s="12" t="s">
        <v>14961</v>
      </c>
      <c r="R2749" s="8" t="s">
        <v>100</v>
      </c>
      <c r="S2749" s="7" t="s">
        <v>28</v>
      </c>
      <c r="T2749" s="6"/>
      <c r="U2749" s="8"/>
    </row>
    <row r="2750" spans="1:21" ht="13.5" customHeight="1">
      <c r="A2750" s="8" t="s">
        <v>14938</v>
      </c>
      <c r="B2750" s="16">
        <v>22</v>
      </c>
      <c r="C2750" s="8" t="s">
        <v>20</v>
      </c>
      <c r="D2750" s="8" t="s">
        <v>85</v>
      </c>
      <c r="E2750" s="8" t="s">
        <v>14939</v>
      </c>
      <c r="F2750" s="17">
        <v>41505</v>
      </c>
      <c r="G2750" s="8" t="s">
        <v>14940</v>
      </c>
      <c r="H2750" s="8" t="s">
        <v>2236</v>
      </c>
      <c r="I2750" s="8" t="s">
        <v>32</v>
      </c>
      <c r="J2750" s="16" t="s">
        <v>3111</v>
      </c>
      <c r="K2750" s="2" t="s">
        <v>2236</v>
      </c>
      <c r="L2750" s="8" t="s">
        <v>14941</v>
      </c>
      <c r="M2750" s="8" t="s">
        <v>27</v>
      </c>
      <c r="N2750" s="8" t="s">
        <v>14942</v>
      </c>
      <c r="O2750" s="8" t="s">
        <v>1018</v>
      </c>
      <c r="P2750" s="8" t="s">
        <v>405</v>
      </c>
      <c r="Q2750" s="12" t="s">
        <v>14943</v>
      </c>
      <c r="R2750" s="8" t="s">
        <v>100</v>
      </c>
      <c r="S2750" s="7" t="s">
        <v>28</v>
      </c>
      <c r="T2750" s="6"/>
      <c r="U2750" s="8"/>
    </row>
    <row r="2751" spans="1:21" ht="13.5" customHeight="1">
      <c r="A2751" s="8" t="s">
        <v>14970</v>
      </c>
      <c r="B2751" s="16">
        <v>59</v>
      </c>
      <c r="C2751" s="8" t="s">
        <v>20</v>
      </c>
      <c r="D2751" s="8" t="s">
        <v>37</v>
      </c>
      <c r="E2751" s="8" t="s">
        <v>14971</v>
      </c>
      <c r="F2751" s="17">
        <v>41504</v>
      </c>
      <c r="G2751" s="8" t="s">
        <v>14972</v>
      </c>
      <c r="H2751" s="8" t="s">
        <v>2179</v>
      </c>
      <c r="I2751" s="8" t="s">
        <v>442</v>
      </c>
      <c r="J2751" s="16">
        <v>53711</v>
      </c>
      <c r="K2751" s="2" t="s">
        <v>9877</v>
      </c>
      <c r="L2751" s="8" t="s">
        <v>14973</v>
      </c>
      <c r="M2751" s="8" t="s">
        <v>27</v>
      </c>
      <c r="N2751" s="8" t="s">
        <v>14974</v>
      </c>
      <c r="O2751" s="8" t="s">
        <v>554</v>
      </c>
      <c r="P2751" s="8" t="s">
        <v>405</v>
      </c>
      <c r="Q2751" s="12" t="s">
        <v>14975</v>
      </c>
      <c r="R2751" s="8" t="s">
        <v>100</v>
      </c>
      <c r="S2751" s="7" t="s">
        <v>28</v>
      </c>
      <c r="T2751" s="6"/>
      <c r="U2751" s="8"/>
    </row>
    <row r="2752" spans="1:21" ht="13.5" customHeight="1">
      <c r="A2752" s="8" t="s">
        <v>14962</v>
      </c>
      <c r="B2752" s="16">
        <v>31</v>
      </c>
      <c r="C2752" s="8" t="s">
        <v>20</v>
      </c>
      <c r="D2752" s="8" t="s">
        <v>48</v>
      </c>
      <c r="E2752" s="8" t="s">
        <v>14963</v>
      </c>
      <c r="F2752" s="17">
        <v>41504</v>
      </c>
      <c r="G2752" s="8" t="s">
        <v>14964</v>
      </c>
      <c r="H2752" s="8" t="s">
        <v>14965</v>
      </c>
      <c r="I2752" s="8" t="s">
        <v>45</v>
      </c>
      <c r="J2752" s="16" t="s">
        <v>14966</v>
      </c>
      <c r="K2752" s="2" t="s">
        <v>98</v>
      </c>
      <c r="L2752" s="8" t="s">
        <v>14967</v>
      </c>
      <c r="M2752" s="8" t="s">
        <v>27</v>
      </c>
      <c r="N2752" s="8" t="s">
        <v>14968</v>
      </c>
      <c r="O2752" s="8" t="s">
        <v>1018</v>
      </c>
      <c r="P2752" s="8" t="s">
        <v>405</v>
      </c>
      <c r="Q2752" s="12" t="s">
        <v>14969</v>
      </c>
      <c r="R2752" s="8" t="s">
        <v>972</v>
      </c>
      <c r="S2752" s="7" t="s">
        <v>28</v>
      </c>
      <c r="T2752" s="6"/>
      <c r="U2752" s="8"/>
    </row>
    <row r="2753" spans="1:21" ht="13.5" customHeight="1">
      <c r="A2753" s="8" t="s">
        <v>14976</v>
      </c>
      <c r="B2753" s="16">
        <v>44</v>
      </c>
      <c r="C2753" s="8" t="s">
        <v>20</v>
      </c>
      <c r="D2753" s="8" t="s">
        <v>37</v>
      </c>
      <c r="E2753" s="8" t="s">
        <v>14977</v>
      </c>
      <c r="F2753" s="17">
        <v>41504</v>
      </c>
      <c r="G2753" s="8" t="s">
        <v>14978</v>
      </c>
      <c r="H2753" s="8" t="s">
        <v>7229</v>
      </c>
      <c r="I2753" s="8" t="s">
        <v>175</v>
      </c>
      <c r="J2753" s="16" t="s">
        <v>7230</v>
      </c>
      <c r="K2753" s="2" t="s">
        <v>1881</v>
      </c>
      <c r="L2753" s="8" t="s">
        <v>14979</v>
      </c>
      <c r="M2753" s="8" t="s">
        <v>27</v>
      </c>
      <c r="N2753" s="8" t="s">
        <v>14980</v>
      </c>
      <c r="O2753" s="8" t="s">
        <v>1018</v>
      </c>
      <c r="P2753" s="8" t="s">
        <v>405</v>
      </c>
      <c r="Q2753" s="12" t="s">
        <v>14981</v>
      </c>
      <c r="R2753" s="8" t="s">
        <v>29</v>
      </c>
      <c r="S2753" s="7" t="s">
        <v>28</v>
      </c>
      <c r="T2753" s="6"/>
      <c r="U2753" s="8"/>
    </row>
    <row r="2754" spans="1:21" ht="13.5" customHeight="1">
      <c r="A2754" s="8" t="s">
        <v>14982</v>
      </c>
      <c r="B2754" s="16">
        <v>58</v>
      </c>
      <c r="C2754" s="8" t="s">
        <v>20</v>
      </c>
      <c r="D2754" s="8" t="s">
        <v>37</v>
      </c>
      <c r="E2754" s="8" t="s">
        <v>14983</v>
      </c>
      <c r="F2754" s="17">
        <v>41504</v>
      </c>
      <c r="G2754" s="8" t="s">
        <v>14984</v>
      </c>
      <c r="H2754" s="8" t="s">
        <v>14985</v>
      </c>
      <c r="I2754" s="8" t="s">
        <v>323</v>
      </c>
      <c r="J2754" s="16" t="s">
        <v>14986</v>
      </c>
      <c r="K2754" s="2" t="s">
        <v>2942</v>
      </c>
      <c r="L2754" s="8" t="s">
        <v>14987</v>
      </c>
      <c r="M2754" s="8" t="s">
        <v>27</v>
      </c>
      <c r="N2754" s="8" t="s">
        <v>14988</v>
      </c>
      <c r="O2754" s="8" t="s">
        <v>554</v>
      </c>
      <c r="P2754" s="8" t="s">
        <v>405</v>
      </c>
      <c r="Q2754" s="12" t="s">
        <v>14989</v>
      </c>
      <c r="R2754" s="8" t="s">
        <v>972</v>
      </c>
      <c r="S2754" s="7" t="s">
        <v>383</v>
      </c>
      <c r="T2754" s="6"/>
      <c r="U2754" s="8"/>
    </row>
    <row r="2755" spans="1:21" ht="13.5" customHeight="1">
      <c r="A2755" s="8" t="s">
        <v>14990</v>
      </c>
      <c r="B2755" s="16">
        <v>78</v>
      </c>
      <c r="C2755" s="8" t="s">
        <v>20</v>
      </c>
      <c r="D2755" s="8" t="s">
        <v>37</v>
      </c>
      <c r="E2755" s="8" t="s">
        <v>14991</v>
      </c>
      <c r="F2755" s="17">
        <v>41503</v>
      </c>
      <c r="G2755" s="8" t="s">
        <v>14992</v>
      </c>
      <c r="H2755" s="8" t="s">
        <v>14993</v>
      </c>
      <c r="I2755" s="8" t="s">
        <v>4424</v>
      </c>
      <c r="J2755" s="16" t="s">
        <v>14994</v>
      </c>
      <c r="K2755" s="2" t="s">
        <v>7068</v>
      </c>
      <c r="L2755" s="8" t="s">
        <v>14995</v>
      </c>
      <c r="M2755" s="8" t="s">
        <v>27</v>
      </c>
      <c r="N2755" s="8" t="s">
        <v>14996</v>
      </c>
      <c r="O2755" s="8" t="s">
        <v>554</v>
      </c>
      <c r="P2755" s="8" t="s">
        <v>405</v>
      </c>
      <c r="Q2755" s="12" t="s">
        <v>14997</v>
      </c>
      <c r="R2755" s="8" t="s">
        <v>100</v>
      </c>
      <c r="S2755" s="7" t="s">
        <v>28</v>
      </c>
      <c r="T2755" s="6"/>
      <c r="U2755" s="8"/>
    </row>
    <row r="2756" spans="1:21" ht="13.5" customHeight="1">
      <c r="A2756" s="8" t="s">
        <v>14998</v>
      </c>
      <c r="B2756" s="16">
        <v>19</v>
      </c>
      <c r="C2756" s="8" t="s">
        <v>20</v>
      </c>
      <c r="D2756" s="8" t="s">
        <v>37</v>
      </c>
      <c r="E2756" s="8" t="s">
        <v>14999</v>
      </c>
      <c r="F2756" s="17">
        <v>41503</v>
      </c>
      <c r="G2756" s="8" t="s">
        <v>15000</v>
      </c>
      <c r="H2756" s="8" t="s">
        <v>9828</v>
      </c>
      <c r="I2756" s="8" t="s">
        <v>52</v>
      </c>
      <c r="J2756" s="16" t="s">
        <v>15001</v>
      </c>
      <c r="K2756" s="2" t="s">
        <v>9830</v>
      </c>
      <c r="L2756" s="8" t="s">
        <v>15002</v>
      </c>
      <c r="M2756" s="8" t="s">
        <v>27</v>
      </c>
      <c r="N2756" s="8" t="s">
        <v>15003</v>
      </c>
      <c r="O2756" s="8" t="s">
        <v>1018</v>
      </c>
      <c r="P2756" s="8" t="s">
        <v>405</v>
      </c>
      <c r="Q2756" s="12" t="s">
        <v>15004</v>
      </c>
      <c r="R2756" s="8" t="s">
        <v>559</v>
      </c>
      <c r="S2756" s="7" t="s">
        <v>18</v>
      </c>
      <c r="T2756" s="6"/>
      <c r="U2756" s="8"/>
    </row>
    <row r="2757" spans="1:21" ht="13.5" customHeight="1">
      <c r="A2757" s="8" t="s">
        <v>15017</v>
      </c>
      <c r="B2757" s="16">
        <v>43</v>
      </c>
      <c r="C2757" s="8" t="s">
        <v>20</v>
      </c>
      <c r="D2757" s="8" t="s">
        <v>37</v>
      </c>
      <c r="E2757" s="8" t="s">
        <v>15018</v>
      </c>
      <c r="F2757" s="17">
        <v>41502</v>
      </c>
      <c r="G2757" s="8" t="s">
        <v>15019</v>
      </c>
      <c r="H2757" s="8" t="s">
        <v>3766</v>
      </c>
      <c r="I2757" s="8" t="s">
        <v>124</v>
      </c>
      <c r="J2757" s="16" t="s">
        <v>15020</v>
      </c>
      <c r="K2757" s="2" t="s">
        <v>5909</v>
      </c>
      <c r="L2757" s="8" t="s">
        <v>15021</v>
      </c>
      <c r="M2757" s="8" t="s">
        <v>27</v>
      </c>
      <c r="N2757" s="8" t="s">
        <v>15022</v>
      </c>
      <c r="O2757" s="8" t="s">
        <v>554</v>
      </c>
      <c r="P2757" s="8" t="s">
        <v>405</v>
      </c>
      <c r="Q2757" s="12" t="s">
        <v>15023</v>
      </c>
      <c r="R2757" s="8" t="s">
        <v>100</v>
      </c>
      <c r="S2757" s="7" t="s">
        <v>18</v>
      </c>
      <c r="T2757" s="6"/>
      <c r="U2757" s="8"/>
    </row>
    <row r="2758" spans="1:21" ht="13.5" customHeight="1">
      <c r="A2758" s="8" t="s">
        <v>15010</v>
      </c>
      <c r="B2758" s="16">
        <v>21</v>
      </c>
      <c r="C2758" s="8" t="s">
        <v>20</v>
      </c>
      <c r="D2758" s="8" t="s">
        <v>950</v>
      </c>
      <c r="E2758" s="8" t="s">
        <v>15011</v>
      </c>
      <c r="F2758" s="17">
        <v>41502</v>
      </c>
      <c r="G2758" s="8" t="s">
        <v>15012</v>
      </c>
      <c r="H2758" s="8" t="s">
        <v>15013</v>
      </c>
      <c r="I2758" s="8" t="s">
        <v>878</v>
      </c>
      <c r="J2758" s="16" t="s">
        <v>15014</v>
      </c>
      <c r="K2758" s="2" t="s">
        <v>5201</v>
      </c>
      <c r="L2758" s="8" t="s">
        <v>5202</v>
      </c>
      <c r="M2758" s="8" t="s">
        <v>27</v>
      </c>
      <c r="N2758" s="8" t="s">
        <v>15015</v>
      </c>
      <c r="O2758" s="8" t="s">
        <v>554</v>
      </c>
      <c r="P2758" s="8" t="s">
        <v>405</v>
      </c>
      <c r="Q2758" s="12" t="s">
        <v>15016</v>
      </c>
      <c r="R2758" s="8" t="s">
        <v>100</v>
      </c>
      <c r="S2758" s="7" t="s">
        <v>28</v>
      </c>
      <c r="T2758" s="6"/>
      <c r="U2758" s="8"/>
    </row>
    <row r="2759" spans="1:21" ht="13.5" customHeight="1">
      <c r="A2759" s="8" t="s">
        <v>15024</v>
      </c>
      <c r="B2759" s="16">
        <v>42</v>
      </c>
      <c r="C2759" s="8" t="s">
        <v>20</v>
      </c>
      <c r="D2759" s="8" t="s">
        <v>37</v>
      </c>
      <c r="F2759" s="17">
        <v>41502</v>
      </c>
      <c r="G2759" s="8" t="s">
        <v>15025</v>
      </c>
      <c r="H2759" s="8" t="s">
        <v>15026</v>
      </c>
      <c r="I2759" s="8" t="s">
        <v>45</v>
      </c>
      <c r="J2759" s="16" t="s">
        <v>15027</v>
      </c>
      <c r="K2759" s="2" t="s">
        <v>98</v>
      </c>
      <c r="L2759" s="8" t="s">
        <v>15028</v>
      </c>
      <c r="M2759" s="8" t="s">
        <v>27</v>
      </c>
      <c r="N2759" s="8" t="s">
        <v>15029</v>
      </c>
      <c r="O2759" s="8" t="s">
        <v>1018</v>
      </c>
      <c r="P2759" s="8" t="s">
        <v>405</v>
      </c>
      <c r="Q2759" s="12" t="s">
        <v>15030</v>
      </c>
      <c r="R2759" s="8" t="s">
        <v>29</v>
      </c>
      <c r="S2759" s="7" t="s">
        <v>28</v>
      </c>
      <c r="T2759" s="6"/>
      <c r="U2759" s="8"/>
    </row>
    <row r="2760" spans="1:21" ht="13.5" customHeight="1">
      <c r="A2760" s="8" t="s">
        <v>15005</v>
      </c>
      <c r="B2760" s="16">
        <v>74</v>
      </c>
      <c r="C2760" s="8" t="s">
        <v>20</v>
      </c>
      <c r="D2760" s="8" t="s">
        <v>85</v>
      </c>
      <c r="F2760" s="17">
        <v>41502</v>
      </c>
      <c r="G2760" s="8" t="s">
        <v>15006</v>
      </c>
      <c r="H2760" s="8" t="s">
        <v>15007</v>
      </c>
      <c r="I2760" s="8" t="s">
        <v>45</v>
      </c>
      <c r="J2760" s="16" t="s">
        <v>14895</v>
      </c>
      <c r="K2760" s="2" t="s">
        <v>98</v>
      </c>
      <c r="L2760" s="8" t="s">
        <v>14360</v>
      </c>
      <c r="M2760" s="8" t="s">
        <v>27</v>
      </c>
      <c r="N2760" s="8" t="s">
        <v>15008</v>
      </c>
      <c r="O2760" s="8" t="s">
        <v>1018</v>
      </c>
      <c r="P2760" s="8" t="s">
        <v>405</v>
      </c>
      <c r="Q2760" s="12" t="s">
        <v>15009</v>
      </c>
      <c r="R2760" s="8" t="s">
        <v>29</v>
      </c>
      <c r="S2760" s="7" t="s">
        <v>35</v>
      </c>
      <c r="T2760" s="6"/>
      <c r="U2760" s="8"/>
    </row>
    <row r="2761" spans="1:21" ht="13.5" customHeight="1">
      <c r="A2761" s="8" t="s">
        <v>15031</v>
      </c>
      <c r="B2761" s="16">
        <v>101</v>
      </c>
      <c r="C2761" s="8" t="s">
        <v>115</v>
      </c>
      <c r="D2761" s="8" t="s">
        <v>37</v>
      </c>
      <c r="E2761" s="8" t="s">
        <v>15032</v>
      </c>
      <c r="F2761" s="17">
        <v>41502</v>
      </c>
      <c r="G2761" s="8" t="s">
        <v>15033</v>
      </c>
      <c r="H2761" s="8" t="s">
        <v>224</v>
      </c>
      <c r="I2761" s="8" t="s">
        <v>135</v>
      </c>
      <c r="J2761" s="16" t="s">
        <v>15034</v>
      </c>
      <c r="K2761" s="2" t="s">
        <v>3639</v>
      </c>
      <c r="L2761" s="8" t="s">
        <v>4976</v>
      </c>
      <c r="M2761" s="8" t="s">
        <v>383</v>
      </c>
      <c r="N2761" s="8" t="s">
        <v>15035</v>
      </c>
      <c r="O2761" s="8" t="s">
        <v>1018</v>
      </c>
      <c r="P2761" s="8" t="s">
        <v>405</v>
      </c>
      <c r="Q2761" s="12" t="s">
        <v>15036</v>
      </c>
      <c r="R2761" s="8" t="s">
        <v>100</v>
      </c>
      <c r="S2761" s="7" t="s">
        <v>18</v>
      </c>
      <c r="T2761" s="6"/>
      <c r="U2761" s="8"/>
    </row>
    <row r="2762" spans="1:21" ht="13.5" customHeight="1">
      <c r="A2762" s="8" t="s">
        <v>15037</v>
      </c>
      <c r="B2762" s="16">
        <v>43</v>
      </c>
      <c r="C2762" s="8" t="s">
        <v>20</v>
      </c>
      <c r="D2762" s="8" t="s">
        <v>85</v>
      </c>
      <c r="F2762" s="17">
        <v>41501</v>
      </c>
      <c r="G2762" s="8" t="s">
        <v>15038</v>
      </c>
      <c r="H2762" s="8" t="s">
        <v>762</v>
      </c>
      <c r="I2762" s="8" t="s">
        <v>427</v>
      </c>
      <c r="J2762" s="16" t="s">
        <v>15039</v>
      </c>
      <c r="K2762" s="2" t="s">
        <v>1729</v>
      </c>
      <c r="L2762" s="8" t="s">
        <v>586</v>
      </c>
      <c r="M2762" s="8" t="s">
        <v>3407</v>
      </c>
      <c r="N2762" s="8" t="s">
        <v>15040</v>
      </c>
      <c r="O2762" s="8" t="s">
        <v>1018</v>
      </c>
      <c r="P2762" s="8" t="s">
        <v>405</v>
      </c>
      <c r="Q2762" s="12" t="s">
        <v>15041</v>
      </c>
      <c r="R2762" s="8" t="s">
        <v>100</v>
      </c>
      <c r="S2762" s="7" t="s">
        <v>18</v>
      </c>
      <c r="T2762" s="6"/>
      <c r="U2762" s="8"/>
    </row>
    <row r="2763" spans="1:21" ht="13.5" customHeight="1">
      <c r="A2763" s="8" t="s">
        <v>15042</v>
      </c>
      <c r="B2763" s="16">
        <v>23</v>
      </c>
      <c r="C2763" s="8" t="s">
        <v>20</v>
      </c>
      <c r="D2763" s="8" t="s">
        <v>85</v>
      </c>
      <c r="E2763" s="8" t="s">
        <v>15043</v>
      </c>
      <c r="F2763" s="17">
        <v>41501</v>
      </c>
      <c r="G2763" s="8" t="s">
        <v>15044</v>
      </c>
      <c r="H2763" s="8" t="s">
        <v>2120</v>
      </c>
      <c r="I2763" s="8" t="s">
        <v>81</v>
      </c>
      <c r="J2763" s="16" t="s">
        <v>15045</v>
      </c>
      <c r="K2763" s="2" t="s">
        <v>2933</v>
      </c>
      <c r="L2763" s="8" t="s">
        <v>2122</v>
      </c>
      <c r="M2763" s="8" t="s">
        <v>27</v>
      </c>
      <c r="N2763" s="8" t="s">
        <v>15046</v>
      </c>
      <c r="O2763" s="8" t="s">
        <v>554</v>
      </c>
      <c r="P2763" s="8" t="s">
        <v>405</v>
      </c>
      <c r="Q2763" s="12" t="s">
        <v>15047</v>
      </c>
      <c r="R2763" s="8" t="s">
        <v>29</v>
      </c>
      <c r="S2763" s="7" t="s">
        <v>28</v>
      </c>
      <c r="T2763" s="6"/>
      <c r="U2763" s="8"/>
    </row>
    <row r="2764" spans="1:21" ht="13.5" customHeight="1">
      <c r="A2764" s="8" t="s">
        <v>15059</v>
      </c>
      <c r="B2764" s="16">
        <v>43</v>
      </c>
      <c r="C2764" s="8" t="s">
        <v>20</v>
      </c>
      <c r="D2764" s="8" t="s">
        <v>37</v>
      </c>
      <c r="F2764" s="17">
        <v>41501</v>
      </c>
      <c r="G2764" s="8" t="s">
        <v>15060</v>
      </c>
      <c r="H2764" s="8" t="s">
        <v>15026</v>
      </c>
      <c r="I2764" s="8" t="s">
        <v>45</v>
      </c>
      <c r="J2764" s="16" t="s">
        <v>15027</v>
      </c>
      <c r="K2764" s="2" t="s">
        <v>98</v>
      </c>
      <c r="L2764" s="8" t="s">
        <v>15028</v>
      </c>
      <c r="M2764" s="8" t="s">
        <v>27</v>
      </c>
      <c r="N2764" s="8" t="s">
        <v>15061</v>
      </c>
      <c r="O2764" s="8" t="s">
        <v>1018</v>
      </c>
      <c r="P2764" s="8" t="s">
        <v>405</v>
      </c>
      <c r="Q2764" s="12" t="s">
        <v>15062</v>
      </c>
      <c r="R2764" s="8" t="s">
        <v>29</v>
      </c>
      <c r="S2764" s="7" t="s">
        <v>28</v>
      </c>
      <c r="T2764" s="6"/>
      <c r="U2764" s="8"/>
    </row>
    <row r="2765" spans="1:21" ht="13.5" customHeight="1">
      <c r="A2765" s="8" t="s">
        <v>3288</v>
      </c>
      <c r="C2765" s="8" t="s">
        <v>20</v>
      </c>
      <c r="D2765" s="8" t="s">
        <v>30</v>
      </c>
      <c r="F2765" s="17">
        <v>41501</v>
      </c>
      <c r="G2765" s="8" t="s">
        <v>15048</v>
      </c>
      <c r="H2765" s="8" t="s">
        <v>898</v>
      </c>
      <c r="I2765" s="8" t="s">
        <v>319</v>
      </c>
      <c r="J2765" s="16" t="s">
        <v>15049</v>
      </c>
      <c r="K2765" s="2" t="s">
        <v>1795</v>
      </c>
      <c r="L2765" s="8" t="s">
        <v>899</v>
      </c>
      <c r="M2765" s="8" t="s">
        <v>27</v>
      </c>
      <c r="N2765" s="8" t="s">
        <v>15050</v>
      </c>
      <c r="O2765" s="8" t="s">
        <v>1018</v>
      </c>
      <c r="P2765" s="8" t="s">
        <v>405</v>
      </c>
      <c r="Q2765" s="12" t="s">
        <v>15051</v>
      </c>
      <c r="R2765" s="8" t="s">
        <v>29</v>
      </c>
      <c r="S2765" s="7" t="s">
        <v>28</v>
      </c>
      <c r="T2765" s="6"/>
      <c r="U2765" s="8"/>
    </row>
    <row r="2766" spans="1:21" ht="13.5" customHeight="1">
      <c r="A2766" s="8" t="s">
        <v>15052</v>
      </c>
      <c r="B2766" s="16">
        <v>46</v>
      </c>
      <c r="C2766" s="8" t="s">
        <v>20</v>
      </c>
      <c r="D2766" s="8" t="s">
        <v>37</v>
      </c>
      <c r="F2766" s="17">
        <v>41501</v>
      </c>
      <c r="G2766" s="8" t="s">
        <v>15053</v>
      </c>
      <c r="H2766" s="8" t="s">
        <v>13645</v>
      </c>
      <c r="I2766" s="8" t="s">
        <v>319</v>
      </c>
      <c r="J2766" s="16" t="s">
        <v>15054</v>
      </c>
      <c r="K2766" s="2" t="s">
        <v>15055</v>
      </c>
      <c r="L2766" s="8" t="s">
        <v>15056</v>
      </c>
      <c r="M2766" s="8" t="s">
        <v>27</v>
      </c>
      <c r="N2766" s="8" t="s">
        <v>15057</v>
      </c>
      <c r="O2766" s="8" t="s">
        <v>29</v>
      </c>
      <c r="P2766" s="8" t="s">
        <v>405</v>
      </c>
      <c r="Q2766" s="12" t="s">
        <v>15058</v>
      </c>
      <c r="R2766" s="8" t="s">
        <v>100</v>
      </c>
      <c r="S2766" s="7" t="s">
        <v>28</v>
      </c>
      <c r="T2766" s="6"/>
      <c r="U2766" s="8"/>
    </row>
    <row r="2767" spans="1:21" ht="13.5" customHeight="1">
      <c r="A2767" s="8" t="s">
        <v>15074</v>
      </c>
      <c r="B2767" s="16">
        <v>50</v>
      </c>
      <c r="C2767" s="8" t="s">
        <v>20</v>
      </c>
      <c r="D2767" s="8" t="s">
        <v>37</v>
      </c>
      <c r="E2767" s="8" t="s">
        <v>15075</v>
      </c>
      <c r="F2767" s="17">
        <v>41500</v>
      </c>
      <c r="G2767" s="8" t="s">
        <v>15076</v>
      </c>
      <c r="H2767" s="8" t="s">
        <v>15077</v>
      </c>
      <c r="I2767" s="8" t="s">
        <v>135</v>
      </c>
      <c r="J2767" s="16" t="s">
        <v>15078</v>
      </c>
      <c r="K2767" s="2" t="s">
        <v>15079</v>
      </c>
      <c r="L2767" s="8" t="s">
        <v>15080</v>
      </c>
      <c r="M2767" s="8" t="s">
        <v>27</v>
      </c>
      <c r="N2767" s="8" t="s">
        <v>15081</v>
      </c>
      <c r="O2767" s="8" t="s">
        <v>554</v>
      </c>
      <c r="P2767" s="8" t="s">
        <v>405</v>
      </c>
      <c r="Q2767" s="12" t="s">
        <v>15082</v>
      </c>
      <c r="R2767" s="8" t="s">
        <v>29</v>
      </c>
      <c r="S2767" s="7" t="s">
        <v>28</v>
      </c>
      <c r="T2767" s="6"/>
      <c r="U2767" s="8"/>
    </row>
    <row r="2768" spans="1:21" ht="13.5" customHeight="1">
      <c r="A2768" s="8" t="s">
        <v>15083</v>
      </c>
      <c r="B2768" s="16">
        <v>37</v>
      </c>
      <c r="C2768" s="8" t="s">
        <v>20</v>
      </c>
      <c r="D2768" s="8" t="s">
        <v>37</v>
      </c>
      <c r="E2768" s="8" t="s">
        <v>15084</v>
      </c>
      <c r="F2768" s="17">
        <v>41500</v>
      </c>
      <c r="G2768" s="8" t="s">
        <v>15085</v>
      </c>
      <c r="H2768" s="8" t="s">
        <v>8816</v>
      </c>
      <c r="I2768" s="8" t="s">
        <v>45</v>
      </c>
      <c r="J2768" s="16" t="s">
        <v>15086</v>
      </c>
      <c r="K2768" s="2" t="s">
        <v>608</v>
      </c>
      <c r="L2768" s="8" t="s">
        <v>8818</v>
      </c>
      <c r="M2768" s="8" t="s">
        <v>27</v>
      </c>
      <c r="N2768" s="8" t="s">
        <v>15087</v>
      </c>
      <c r="O2768" s="8" t="s">
        <v>29</v>
      </c>
      <c r="P2768" s="8" t="s">
        <v>405</v>
      </c>
      <c r="Q2768" s="12" t="s">
        <v>15088</v>
      </c>
      <c r="R2768" s="8" t="s">
        <v>100</v>
      </c>
      <c r="S2768" s="7" t="s">
        <v>28</v>
      </c>
      <c r="T2768" s="6"/>
      <c r="U2768" s="8"/>
    </row>
    <row r="2769" spans="1:39" ht="13.5" customHeight="1">
      <c r="A2769" s="8" t="s">
        <v>15063</v>
      </c>
      <c r="B2769" s="16">
        <v>33</v>
      </c>
      <c r="C2769" s="8" t="s">
        <v>20</v>
      </c>
      <c r="D2769" s="8" t="s">
        <v>85</v>
      </c>
      <c r="F2769" s="17">
        <v>41500</v>
      </c>
      <c r="G2769" s="8" t="s">
        <v>15064</v>
      </c>
      <c r="H2769" s="8" t="s">
        <v>762</v>
      </c>
      <c r="I2769" s="8" t="s">
        <v>427</v>
      </c>
      <c r="J2769" s="16" t="s">
        <v>2158</v>
      </c>
      <c r="K2769" s="2" t="s">
        <v>1729</v>
      </c>
      <c r="L2769" s="8" t="s">
        <v>586</v>
      </c>
      <c r="M2769" s="8" t="s">
        <v>383</v>
      </c>
      <c r="N2769" s="8" t="s">
        <v>15065</v>
      </c>
      <c r="O2769" s="8" t="s">
        <v>1018</v>
      </c>
      <c r="P2769" s="8" t="s">
        <v>405</v>
      </c>
      <c r="Q2769" s="12" t="s">
        <v>15066</v>
      </c>
      <c r="R2769" s="8" t="s">
        <v>100</v>
      </c>
      <c r="S2769" s="7" t="s">
        <v>383</v>
      </c>
      <c r="T2769" s="6"/>
      <c r="U2769" s="8"/>
    </row>
    <row r="2770" spans="1:39" ht="13.5" customHeight="1">
      <c r="A2770" s="8" t="s">
        <v>15067</v>
      </c>
      <c r="B2770" s="16">
        <v>18</v>
      </c>
      <c r="C2770" s="8" t="s">
        <v>20</v>
      </c>
      <c r="D2770" s="8" t="s">
        <v>37</v>
      </c>
      <c r="E2770" s="8" t="s">
        <v>15068</v>
      </c>
      <c r="F2770" s="17">
        <v>41500</v>
      </c>
      <c r="G2770" s="8" t="s">
        <v>15069</v>
      </c>
      <c r="H2770" s="8" t="s">
        <v>5859</v>
      </c>
      <c r="I2770" s="8" t="s">
        <v>73</v>
      </c>
      <c r="J2770" s="16" t="s">
        <v>15070</v>
      </c>
      <c r="K2770" s="2" t="s">
        <v>288</v>
      </c>
      <c r="L2770" s="8" t="s">
        <v>15071</v>
      </c>
      <c r="M2770" s="8" t="s">
        <v>3407</v>
      </c>
      <c r="N2770" s="8" t="s">
        <v>15072</v>
      </c>
      <c r="O2770" s="8" t="s">
        <v>1018</v>
      </c>
      <c r="P2770" s="8" t="s">
        <v>405</v>
      </c>
      <c r="Q2770" s="12" t="s">
        <v>15073</v>
      </c>
      <c r="R2770" s="8" t="s">
        <v>972</v>
      </c>
      <c r="S2770" s="7" t="s">
        <v>18</v>
      </c>
      <c r="T2770" s="6"/>
      <c r="U2770" s="8"/>
    </row>
    <row r="2771" spans="1:39" ht="13.5" customHeight="1">
      <c r="A2771" s="8" t="s">
        <v>15089</v>
      </c>
      <c r="B2771" s="16">
        <v>20</v>
      </c>
      <c r="C2771" s="8" t="s">
        <v>20</v>
      </c>
      <c r="D2771" s="8" t="s">
        <v>37</v>
      </c>
      <c r="F2771" s="17">
        <v>41500</v>
      </c>
      <c r="G2771" s="8" t="s">
        <v>15090</v>
      </c>
      <c r="H2771" s="8" t="s">
        <v>15091</v>
      </c>
      <c r="I2771" s="8" t="s">
        <v>319</v>
      </c>
      <c r="J2771" s="16" t="s">
        <v>15092</v>
      </c>
      <c r="K2771" s="2" t="s">
        <v>8592</v>
      </c>
      <c r="L2771" s="8" t="s">
        <v>15093</v>
      </c>
      <c r="M2771" s="8" t="s">
        <v>27</v>
      </c>
      <c r="N2771" s="8" t="s">
        <v>15094</v>
      </c>
      <c r="O2771" s="8" t="s">
        <v>1018</v>
      </c>
      <c r="P2771" s="8" t="s">
        <v>405</v>
      </c>
      <c r="Q2771" s="12" t="s">
        <v>15095</v>
      </c>
      <c r="R2771" s="8" t="s">
        <v>100</v>
      </c>
      <c r="S2771" s="7" t="s">
        <v>28</v>
      </c>
      <c r="T2771" s="6"/>
      <c r="U2771" s="8"/>
    </row>
    <row r="2772" spans="1:39" ht="13.5" customHeight="1">
      <c r="A2772" s="8" t="s">
        <v>15109</v>
      </c>
      <c r="B2772" s="16">
        <v>35</v>
      </c>
      <c r="C2772" s="8" t="s">
        <v>20</v>
      </c>
      <c r="D2772" s="8" t="s">
        <v>48</v>
      </c>
      <c r="E2772" s="8" t="s">
        <v>15110</v>
      </c>
      <c r="F2772" s="17">
        <v>41499</v>
      </c>
      <c r="G2772" s="8" t="s">
        <v>15111</v>
      </c>
      <c r="H2772" s="8" t="s">
        <v>15112</v>
      </c>
      <c r="I2772" s="8" t="s">
        <v>510</v>
      </c>
      <c r="J2772" s="16" t="s">
        <v>15113</v>
      </c>
      <c r="K2772" s="2" t="s">
        <v>15114</v>
      </c>
      <c r="L2772" s="8" t="s">
        <v>15115</v>
      </c>
      <c r="M2772" s="8" t="s">
        <v>27</v>
      </c>
      <c r="N2772" s="8" t="s">
        <v>15116</v>
      </c>
      <c r="O2772" s="8" t="s">
        <v>554</v>
      </c>
      <c r="P2772" s="8" t="s">
        <v>405</v>
      </c>
      <c r="Q2772" s="12" t="s">
        <v>15117</v>
      </c>
      <c r="R2772" s="8" t="s">
        <v>100</v>
      </c>
      <c r="S2772" s="7" t="s">
        <v>18</v>
      </c>
      <c r="T2772" s="6"/>
      <c r="U2772" s="8"/>
    </row>
    <row r="2773" spans="1:39" ht="13.5" customHeight="1">
      <c r="A2773" s="8" t="s">
        <v>15104</v>
      </c>
      <c r="B2773" s="16">
        <v>23</v>
      </c>
      <c r="C2773" s="8" t="s">
        <v>20</v>
      </c>
      <c r="D2773" s="8" t="s">
        <v>85</v>
      </c>
      <c r="F2773" s="17">
        <v>41499</v>
      </c>
      <c r="G2773" s="8" t="s">
        <v>15105</v>
      </c>
      <c r="H2773" s="8" t="s">
        <v>1608</v>
      </c>
      <c r="I2773" s="8" t="s">
        <v>52</v>
      </c>
      <c r="J2773" s="16" t="s">
        <v>15106</v>
      </c>
      <c r="K2773" s="2" t="s">
        <v>1608</v>
      </c>
      <c r="L2773" s="8" t="s">
        <v>234</v>
      </c>
      <c r="M2773" s="8" t="s">
        <v>27</v>
      </c>
      <c r="N2773" s="8" t="s">
        <v>15107</v>
      </c>
      <c r="O2773" s="8" t="s">
        <v>29</v>
      </c>
      <c r="P2773" s="8" t="s">
        <v>405</v>
      </c>
      <c r="Q2773" s="12" t="s">
        <v>15108</v>
      </c>
      <c r="R2773" s="8" t="s">
        <v>100</v>
      </c>
      <c r="S2773" s="7" t="s">
        <v>383</v>
      </c>
      <c r="T2773" s="6"/>
      <c r="U2773" s="8"/>
    </row>
    <row r="2774" spans="1:39" ht="13.5" customHeight="1">
      <c r="A2774" s="8" t="s">
        <v>15096</v>
      </c>
      <c r="B2774" s="16">
        <v>20</v>
      </c>
      <c r="C2774" s="8" t="s">
        <v>20</v>
      </c>
      <c r="D2774" s="8" t="s">
        <v>21</v>
      </c>
      <c r="E2774" s="8" t="s">
        <v>15097</v>
      </c>
      <c r="F2774" s="17">
        <v>41499</v>
      </c>
      <c r="G2774" s="8" t="s">
        <v>15098</v>
      </c>
      <c r="H2774" s="8" t="s">
        <v>11277</v>
      </c>
      <c r="I2774" s="8" t="s">
        <v>25</v>
      </c>
      <c r="J2774" s="16" t="s">
        <v>15099</v>
      </c>
      <c r="K2774" s="2" t="s">
        <v>15100</v>
      </c>
      <c r="L2774" s="8" t="s">
        <v>15101</v>
      </c>
      <c r="M2774" s="8" t="s">
        <v>27</v>
      </c>
      <c r="N2774" s="8" t="s">
        <v>15102</v>
      </c>
      <c r="O2774" s="8" t="s">
        <v>554</v>
      </c>
      <c r="P2774" s="8" t="s">
        <v>405</v>
      </c>
      <c r="Q2774" s="12" t="s">
        <v>15103</v>
      </c>
      <c r="R2774" s="8" t="s">
        <v>559</v>
      </c>
      <c r="S2774" s="7" t="s">
        <v>28</v>
      </c>
      <c r="T2774" s="6"/>
      <c r="U2774" s="8"/>
      <c r="AI2774" s="8"/>
      <c r="AJ2774" s="8"/>
      <c r="AK2774" s="8"/>
      <c r="AL2774" s="8"/>
      <c r="AM2774" s="8"/>
    </row>
    <row r="2775" spans="1:39" ht="13.5" customHeight="1">
      <c r="A2775" s="8" t="s">
        <v>15130</v>
      </c>
      <c r="B2775" s="16">
        <v>59</v>
      </c>
      <c r="C2775" s="8" t="s">
        <v>20</v>
      </c>
      <c r="D2775" s="8" t="s">
        <v>37</v>
      </c>
      <c r="E2775" s="8" t="s">
        <v>15131</v>
      </c>
      <c r="F2775" s="17">
        <v>41499</v>
      </c>
      <c r="G2775" s="8" t="s">
        <v>15132</v>
      </c>
      <c r="H2775" s="8" t="s">
        <v>551</v>
      </c>
      <c r="I2775" s="8" t="s">
        <v>69</v>
      </c>
      <c r="J2775" s="16" t="s">
        <v>15133</v>
      </c>
      <c r="K2775" s="2" t="s">
        <v>552</v>
      </c>
      <c r="L2775" s="8" t="s">
        <v>622</v>
      </c>
      <c r="M2775" s="8" t="s">
        <v>1706</v>
      </c>
      <c r="N2775" s="8" t="s">
        <v>15134</v>
      </c>
      <c r="O2775" s="8" t="s">
        <v>1018</v>
      </c>
      <c r="P2775" s="8" t="s">
        <v>405</v>
      </c>
      <c r="Q2775" s="12" t="s">
        <v>15135</v>
      </c>
      <c r="R2775" s="8" t="s">
        <v>559</v>
      </c>
      <c r="S2775" s="7" t="s">
        <v>18</v>
      </c>
      <c r="T2775" s="6"/>
      <c r="U2775" s="8"/>
    </row>
    <row r="2776" spans="1:39" ht="13.5" customHeight="1">
      <c r="A2776" s="8" t="s">
        <v>15118</v>
      </c>
      <c r="B2776" s="16">
        <v>63</v>
      </c>
      <c r="C2776" s="8" t="s">
        <v>20</v>
      </c>
      <c r="D2776" s="8" t="s">
        <v>30</v>
      </c>
      <c r="F2776" s="17">
        <v>41499</v>
      </c>
      <c r="G2776" s="8" t="s">
        <v>15119</v>
      </c>
      <c r="H2776" s="8" t="s">
        <v>1311</v>
      </c>
      <c r="I2776" s="8" t="s">
        <v>212</v>
      </c>
      <c r="J2776" s="16" t="s">
        <v>15120</v>
      </c>
      <c r="K2776" s="2" t="s">
        <v>1311</v>
      </c>
      <c r="L2776" s="8" t="s">
        <v>1312</v>
      </c>
      <c r="M2776" s="8" t="s">
        <v>27</v>
      </c>
      <c r="N2776" s="8" t="s">
        <v>15121</v>
      </c>
      <c r="O2776" s="8" t="s">
        <v>1018</v>
      </c>
      <c r="P2776" s="8" t="s">
        <v>405</v>
      </c>
      <c r="Q2776" s="12" t="s">
        <v>15122</v>
      </c>
      <c r="R2776" s="8" t="s">
        <v>100</v>
      </c>
      <c r="S2776" s="7" t="s">
        <v>28</v>
      </c>
      <c r="T2776" s="6"/>
      <c r="U2776" s="8"/>
    </row>
    <row r="2777" spans="1:39" ht="13.5" customHeight="1">
      <c r="A2777" s="8" t="s">
        <v>15123</v>
      </c>
      <c r="B2777" s="16">
        <v>33</v>
      </c>
      <c r="C2777" s="8" t="s">
        <v>20</v>
      </c>
      <c r="D2777" s="8" t="s">
        <v>30</v>
      </c>
      <c r="F2777" s="17">
        <v>41499</v>
      </c>
      <c r="G2777" s="8" t="s">
        <v>15124</v>
      </c>
      <c r="H2777" s="8" t="s">
        <v>15125</v>
      </c>
      <c r="I2777" s="8" t="s">
        <v>675</v>
      </c>
      <c r="J2777" s="16" t="s">
        <v>15126</v>
      </c>
      <c r="K2777" s="2" t="s">
        <v>15127</v>
      </c>
      <c r="L2777" s="8" t="s">
        <v>15128</v>
      </c>
      <c r="M2777" s="8" t="s">
        <v>1706</v>
      </c>
      <c r="N2777" s="8" t="s">
        <v>15129</v>
      </c>
      <c r="O2777" s="8" t="s">
        <v>1018</v>
      </c>
      <c r="P2777" s="8" t="s">
        <v>405</v>
      </c>
      <c r="Q2777" s="12" t="str">
        <f>HYPERLINK("http://blog.gulflive.com/mississippi-press-news/2013/10/gloster_police_offer_reinstate.html","http://blog.gulflive.com/mississippi-press-news/2013/10/gloster_police_offer_reinstate.html")</f>
        <v>http://blog.gulflive.com/mississippi-press-news/2013/10/gloster_police_offer_reinstate.html</v>
      </c>
      <c r="R2777" s="8" t="s">
        <v>100</v>
      </c>
      <c r="S2777" s="7" t="s">
        <v>35</v>
      </c>
      <c r="T2777" s="6"/>
      <c r="U2777" s="8"/>
    </row>
    <row r="2778" spans="1:39" ht="13.5" customHeight="1">
      <c r="A2778" s="8" t="s">
        <v>15142</v>
      </c>
      <c r="B2778" s="16">
        <v>44</v>
      </c>
      <c r="C2778" s="8" t="s">
        <v>115</v>
      </c>
      <c r="D2778" s="8" t="s">
        <v>30</v>
      </c>
      <c r="F2778" s="17">
        <v>41498</v>
      </c>
      <c r="G2778" s="8" t="s">
        <v>15143</v>
      </c>
      <c r="H2778" s="8" t="s">
        <v>6506</v>
      </c>
      <c r="I2778" s="8" t="s">
        <v>62</v>
      </c>
      <c r="J2778" s="16" t="s">
        <v>15144</v>
      </c>
      <c r="K2778" s="2" t="s">
        <v>1134</v>
      </c>
      <c r="L2778" s="8" t="s">
        <v>4438</v>
      </c>
      <c r="M2778" s="8" t="s">
        <v>27</v>
      </c>
      <c r="N2778" s="8" t="s">
        <v>15145</v>
      </c>
      <c r="O2778" s="8" t="s">
        <v>1018</v>
      </c>
      <c r="P2778" s="8" t="s">
        <v>405</v>
      </c>
      <c r="Q2778" s="12" t="s">
        <v>15146</v>
      </c>
      <c r="R2778" s="8" t="s">
        <v>29</v>
      </c>
      <c r="S2778" s="7" t="s">
        <v>28</v>
      </c>
      <c r="T2778" s="6"/>
      <c r="U2778" s="8"/>
    </row>
    <row r="2779" spans="1:39" ht="13.5" customHeight="1">
      <c r="A2779" s="8" t="s">
        <v>15136</v>
      </c>
      <c r="B2779" s="16">
        <v>31</v>
      </c>
      <c r="C2779" s="8" t="s">
        <v>20</v>
      </c>
      <c r="D2779" s="8" t="s">
        <v>85</v>
      </c>
      <c r="E2779" s="8" t="s">
        <v>15137</v>
      </c>
      <c r="F2779" s="17">
        <v>41498</v>
      </c>
      <c r="G2779" s="8" t="s">
        <v>15138</v>
      </c>
      <c r="H2779" s="8" t="s">
        <v>1220</v>
      </c>
      <c r="I2779" s="8" t="s">
        <v>306</v>
      </c>
      <c r="J2779" s="16" t="s">
        <v>15139</v>
      </c>
      <c r="K2779" s="2" t="s">
        <v>1221</v>
      </c>
      <c r="L2779" s="8" t="s">
        <v>1222</v>
      </c>
      <c r="M2779" s="8" t="s">
        <v>27</v>
      </c>
      <c r="N2779" s="8" t="s">
        <v>15140</v>
      </c>
      <c r="O2779" s="8" t="s">
        <v>1018</v>
      </c>
      <c r="P2779" s="8" t="s">
        <v>405</v>
      </c>
      <c r="Q2779" s="12" t="s">
        <v>15141</v>
      </c>
      <c r="R2779" s="8" t="s">
        <v>29</v>
      </c>
      <c r="S2779" s="7" t="s">
        <v>28</v>
      </c>
      <c r="T2779" s="6"/>
      <c r="U2779" s="8"/>
    </row>
    <row r="2780" spans="1:39" ht="13.5" customHeight="1">
      <c r="A2780" s="8" t="s">
        <v>15147</v>
      </c>
      <c r="B2780" s="16">
        <v>46</v>
      </c>
      <c r="C2780" s="8" t="s">
        <v>20</v>
      </c>
      <c r="D2780" s="8" t="s">
        <v>37</v>
      </c>
      <c r="E2780" s="8" t="s">
        <v>15148</v>
      </c>
      <c r="F2780" s="17">
        <v>41498</v>
      </c>
      <c r="G2780" s="8" t="s">
        <v>15149</v>
      </c>
      <c r="H2780" s="8" t="s">
        <v>15150</v>
      </c>
      <c r="I2780" s="8" t="s">
        <v>408</v>
      </c>
      <c r="J2780" s="16" t="s">
        <v>15151</v>
      </c>
      <c r="K2780" s="2" t="s">
        <v>1507</v>
      </c>
      <c r="L2780" s="8" t="s">
        <v>15152</v>
      </c>
      <c r="M2780" s="8" t="s">
        <v>27</v>
      </c>
      <c r="N2780" s="8" t="s">
        <v>15153</v>
      </c>
      <c r="O2780" s="8" t="s">
        <v>554</v>
      </c>
      <c r="P2780" s="8" t="s">
        <v>405</v>
      </c>
      <c r="Q2780" s="12" t="s">
        <v>15154</v>
      </c>
      <c r="R2780" s="8" t="s">
        <v>29</v>
      </c>
      <c r="S2780" s="7" t="s">
        <v>18</v>
      </c>
      <c r="T2780" s="6"/>
      <c r="U2780" s="8"/>
    </row>
    <row r="2781" spans="1:39" ht="13.5" customHeight="1">
      <c r="A2781" s="8" t="s">
        <v>15155</v>
      </c>
      <c r="B2781" s="16">
        <v>44</v>
      </c>
      <c r="C2781" s="8" t="s">
        <v>20</v>
      </c>
      <c r="D2781" s="8" t="s">
        <v>85</v>
      </c>
      <c r="E2781" s="8" t="s">
        <v>15156</v>
      </c>
      <c r="F2781" s="17">
        <v>41497</v>
      </c>
      <c r="G2781" s="8" t="s">
        <v>15157</v>
      </c>
      <c r="H2781" s="8" t="s">
        <v>15158</v>
      </c>
      <c r="I2781" s="8" t="s">
        <v>44</v>
      </c>
      <c r="J2781" s="16" t="s">
        <v>15159</v>
      </c>
      <c r="K2781" s="2" t="s">
        <v>2883</v>
      </c>
      <c r="L2781" s="8" t="s">
        <v>10331</v>
      </c>
      <c r="M2781" s="8" t="s">
        <v>27</v>
      </c>
      <c r="N2781" s="8" t="s">
        <v>15160</v>
      </c>
      <c r="O2781" s="8" t="s">
        <v>554</v>
      </c>
      <c r="P2781" s="8" t="s">
        <v>405</v>
      </c>
      <c r="Q2781" s="12" t="s">
        <v>15161</v>
      </c>
      <c r="R2781" s="8" t="s">
        <v>100</v>
      </c>
      <c r="S2781" s="7" t="s">
        <v>28</v>
      </c>
      <c r="T2781" s="6"/>
      <c r="U2781" s="8"/>
    </row>
    <row r="2782" spans="1:39" ht="13.5" customHeight="1">
      <c r="A2782" s="8" t="s">
        <v>15162</v>
      </c>
      <c r="B2782" s="16">
        <v>23</v>
      </c>
      <c r="C2782" s="8" t="s">
        <v>20</v>
      </c>
      <c r="D2782" s="8" t="s">
        <v>85</v>
      </c>
      <c r="F2782" s="17">
        <v>41497</v>
      </c>
      <c r="G2782" s="8" t="s">
        <v>15163</v>
      </c>
      <c r="H2782" s="8" t="s">
        <v>4234</v>
      </c>
      <c r="I2782" s="8" t="s">
        <v>46</v>
      </c>
      <c r="J2782" s="16" t="s">
        <v>15164</v>
      </c>
      <c r="K2782" s="2" t="s">
        <v>9034</v>
      </c>
      <c r="L2782" s="8" t="s">
        <v>16834</v>
      </c>
      <c r="M2782" s="8" t="s">
        <v>27</v>
      </c>
      <c r="N2782" s="8" t="s">
        <v>15165</v>
      </c>
      <c r="O2782" s="8" t="s">
        <v>1018</v>
      </c>
      <c r="P2782" s="8" t="s">
        <v>405</v>
      </c>
      <c r="Q2782" s="12" t="s">
        <v>15166</v>
      </c>
      <c r="R2782" s="8" t="s">
        <v>100</v>
      </c>
      <c r="S2782" s="7" t="s">
        <v>28</v>
      </c>
      <c r="T2782" s="6"/>
      <c r="U2782" s="8"/>
    </row>
    <row r="2783" spans="1:39" ht="13.5" customHeight="1">
      <c r="A2783" s="8" t="s">
        <v>15167</v>
      </c>
      <c r="B2783" s="16" t="s">
        <v>9284</v>
      </c>
      <c r="C2783" s="8" t="s">
        <v>20</v>
      </c>
      <c r="D2783" s="8" t="s">
        <v>37</v>
      </c>
      <c r="E2783" s="8" t="s">
        <v>15168</v>
      </c>
      <c r="F2783" s="17">
        <v>41496</v>
      </c>
      <c r="G2783" s="8" t="s">
        <v>15169</v>
      </c>
      <c r="H2783" s="8" t="s">
        <v>15170</v>
      </c>
      <c r="I2783" s="8" t="s">
        <v>798</v>
      </c>
      <c r="J2783" s="16" t="s">
        <v>15171</v>
      </c>
      <c r="K2783" s="2" t="s">
        <v>15172</v>
      </c>
      <c r="L2783" s="8" t="s">
        <v>15173</v>
      </c>
      <c r="M2783" s="8" t="s">
        <v>27</v>
      </c>
      <c r="N2783" s="8" t="s">
        <v>15174</v>
      </c>
      <c r="O2783" s="8" t="s">
        <v>29</v>
      </c>
      <c r="P2783" s="8" t="s">
        <v>405</v>
      </c>
      <c r="Q2783" s="12" t="str">
        <f>HYPERLINK("http://www.huffingtonpost.com/2013/08/08/james-lee-dimaggio_n_3724734.html","http://www.huffingtonpost.com/2013/08/08/james-lee-dimaggio_n_3724734.html")</f>
        <v>http://www.huffingtonpost.com/2013/08/08/james-lee-dimaggio_n_3724734.html</v>
      </c>
      <c r="R2783" s="8" t="s">
        <v>100</v>
      </c>
      <c r="S2783" s="7" t="s">
        <v>28</v>
      </c>
      <c r="T2783" s="6"/>
      <c r="U2783" s="8"/>
      <c r="Y2783" s="8"/>
      <c r="Z2783" s="8"/>
      <c r="AA2783" s="8"/>
      <c r="AB2783" s="8"/>
      <c r="AC2783" s="8"/>
      <c r="AD2783" s="8"/>
      <c r="AE2783" s="8"/>
      <c r="AF2783" s="8"/>
      <c r="AG2783" s="8"/>
      <c r="AH2783" s="8"/>
    </row>
    <row r="2784" spans="1:39" ht="13.5" customHeight="1">
      <c r="A2784" s="8" t="s">
        <v>15175</v>
      </c>
      <c r="B2784" s="16">
        <v>31</v>
      </c>
      <c r="C2784" s="8" t="s">
        <v>20</v>
      </c>
      <c r="D2784" s="8" t="s">
        <v>37</v>
      </c>
      <c r="E2784" s="8" t="s">
        <v>15176</v>
      </c>
      <c r="F2784" s="17">
        <v>41496</v>
      </c>
      <c r="G2784" s="8" t="s">
        <v>15177</v>
      </c>
      <c r="H2784" s="8" t="s">
        <v>3332</v>
      </c>
      <c r="I2784" s="8" t="s">
        <v>94</v>
      </c>
      <c r="J2784" s="16" t="s">
        <v>15178</v>
      </c>
      <c r="K2784" s="2" t="s">
        <v>2780</v>
      </c>
      <c r="L2784" s="8" t="s">
        <v>15179</v>
      </c>
      <c r="M2784" s="8" t="s">
        <v>27</v>
      </c>
      <c r="N2784" s="8" t="s">
        <v>15180</v>
      </c>
      <c r="O2784" s="8" t="s">
        <v>554</v>
      </c>
      <c r="P2784" s="8" t="s">
        <v>405</v>
      </c>
      <c r="Q2784" s="12" t="s">
        <v>15181</v>
      </c>
      <c r="R2784" s="8" t="s">
        <v>100</v>
      </c>
      <c r="S2784" s="7" t="s">
        <v>28</v>
      </c>
      <c r="T2784" s="6"/>
      <c r="U2784" s="8"/>
    </row>
    <row r="2785" spans="1:21" ht="13.5" customHeight="1">
      <c r="A2785" s="8" t="s">
        <v>15182</v>
      </c>
      <c r="B2785" s="16">
        <v>57</v>
      </c>
      <c r="C2785" s="8" t="s">
        <v>20</v>
      </c>
      <c r="D2785" s="8" t="s">
        <v>37</v>
      </c>
      <c r="E2785" s="8" t="s">
        <v>15183</v>
      </c>
      <c r="F2785" s="17">
        <v>41495</v>
      </c>
      <c r="G2785" s="8" t="s">
        <v>15184</v>
      </c>
      <c r="H2785" s="8" t="s">
        <v>2179</v>
      </c>
      <c r="I2785" s="8" t="s">
        <v>94</v>
      </c>
      <c r="J2785" s="16" t="s">
        <v>15185</v>
      </c>
      <c r="K2785" s="2" t="s">
        <v>2179</v>
      </c>
      <c r="L2785" s="8" t="s">
        <v>2180</v>
      </c>
      <c r="M2785" s="8" t="s">
        <v>27</v>
      </c>
      <c r="N2785" s="8" t="s">
        <v>15186</v>
      </c>
      <c r="O2785" s="8" t="s">
        <v>619</v>
      </c>
      <c r="P2785" s="8" t="s">
        <v>405</v>
      </c>
      <c r="Q2785" s="12" t="s">
        <v>15187</v>
      </c>
      <c r="R2785" s="8" t="s">
        <v>100</v>
      </c>
      <c r="S2785" s="7" t="s">
        <v>28</v>
      </c>
      <c r="T2785" s="6"/>
      <c r="U2785" s="8"/>
    </row>
    <row r="2786" spans="1:21" ht="13.5" customHeight="1">
      <c r="A2786" s="8" t="s">
        <v>15188</v>
      </c>
      <c r="B2786" s="16">
        <v>21</v>
      </c>
      <c r="C2786" s="8" t="s">
        <v>20</v>
      </c>
      <c r="D2786" s="8" t="s">
        <v>37</v>
      </c>
      <c r="E2786" s="8" t="s">
        <v>15189</v>
      </c>
      <c r="F2786" s="17">
        <v>41495</v>
      </c>
      <c r="G2786" s="8" t="s">
        <v>15190</v>
      </c>
      <c r="H2786" s="8" t="s">
        <v>219</v>
      </c>
      <c r="I2786" s="8" t="s">
        <v>220</v>
      </c>
      <c r="J2786" s="16" t="s">
        <v>11428</v>
      </c>
      <c r="K2786" s="2" t="s">
        <v>424</v>
      </c>
      <c r="L2786" s="8" t="s">
        <v>221</v>
      </c>
      <c r="M2786" s="8" t="s">
        <v>27</v>
      </c>
      <c r="N2786" s="8" t="s">
        <v>15191</v>
      </c>
      <c r="O2786" s="8" t="s">
        <v>1018</v>
      </c>
      <c r="P2786" s="8" t="s">
        <v>405</v>
      </c>
      <c r="Q2786" s="12" t="s">
        <v>15192</v>
      </c>
      <c r="R2786" s="8" t="s">
        <v>100</v>
      </c>
      <c r="S2786" s="7" t="s">
        <v>28</v>
      </c>
      <c r="T2786" s="6"/>
      <c r="U2786" s="8"/>
    </row>
    <row r="2787" spans="1:21" ht="13.5" customHeight="1">
      <c r="A2787" s="8" t="s">
        <v>15193</v>
      </c>
      <c r="B2787" s="16">
        <v>31</v>
      </c>
      <c r="C2787" s="8" t="s">
        <v>20</v>
      </c>
      <c r="D2787" s="8" t="s">
        <v>37</v>
      </c>
      <c r="E2787" s="8" t="s">
        <v>15194</v>
      </c>
      <c r="F2787" s="17">
        <v>41495</v>
      </c>
      <c r="G2787" s="8" t="s">
        <v>15195</v>
      </c>
      <c r="H2787" s="8" t="s">
        <v>2098</v>
      </c>
      <c r="I2787" s="8" t="s">
        <v>247</v>
      </c>
      <c r="J2787" s="16" t="s">
        <v>15196</v>
      </c>
      <c r="K2787" s="2" t="s">
        <v>15197</v>
      </c>
      <c r="L2787" s="8" t="s">
        <v>15198</v>
      </c>
      <c r="M2787" s="8" t="s">
        <v>27</v>
      </c>
      <c r="N2787" s="8" t="s">
        <v>15199</v>
      </c>
      <c r="O2787" s="8" t="s">
        <v>1018</v>
      </c>
      <c r="P2787" s="8" t="s">
        <v>405</v>
      </c>
      <c r="Q2787" s="12" t="str">
        <f>HYPERLINK("http://hamptonroads.com/2013/08/man-killed-deputyinvolved-isle-wight-shooting","http://hamptonroads.com/2013/08/man-killed-deputyinvolved-isle-wight-shooting")</f>
        <v>http://hamptonroads.com/2013/08/man-killed-deputyinvolved-isle-wight-shooting</v>
      </c>
      <c r="R2787" s="8" t="s">
        <v>100</v>
      </c>
      <c r="S2787" s="7" t="s">
        <v>28</v>
      </c>
      <c r="T2787" s="6"/>
      <c r="U2787" s="8"/>
    </row>
    <row r="2788" spans="1:21" ht="13.5" customHeight="1">
      <c r="A2788" s="8" t="s">
        <v>15200</v>
      </c>
      <c r="B2788" s="16">
        <v>62</v>
      </c>
      <c r="C2788" s="8" t="s">
        <v>20</v>
      </c>
      <c r="D2788" s="8" t="s">
        <v>37</v>
      </c>
      <c r="E2788" s="8" t="s">
        <v>15201</v>
      </c>
      <c r="F2788" s="17">
        <v>41495</v>
      </c>
      <c r="G2788" s="8" t="s">
        <v>15202</v>
      </c>
      <c r="H2788" s="8" t="s">
        <v>9955</v>
      </c>
      <c r="I2788" s="8" t="s">
        <v>62</v>
      </c>
      <c r="J2788" s="16" t="s">
        <v>15203</v>
      </c>
      <c r="K2788" s="2" t="s">
        <v>4406</v>
      </c>
      <c r="L2788" s="8" t="s">
        <v>5469</v>
      </c>
      <c r="M2788" s="8" t="s">
        <v>27</v>
      </c>
      <c r="N2788" s="8" t="s">
        <v>15204</v>
      </c>
      <c r="O2788" s="8" t="s">
        <v>554</v>
      </c>
      <c r="P2788" s="8" t="s">
        <v>405</v>
      </c>
      <c r="Q2788" s="12" t="s">
        <v>15205</v>
      </c>
      <c r="R2788" s="8" t="s">
        <v>100</v>
      </c>
      <c r="S2788" s="7" t="s">
        <v>28</v>
      </c>
      <c r="T2788" s="6"/>
      <c r="U2788" s="8"/>
    </row>
    <row r="2789" spans="1:21" ht="13.5" customHeight="1">
      <c r="A2789" s="8" t="s">
        <v>15206</v>
      </c>
      <c r="B2789" s="16">
        <v>23</v>
      </c>
      <c r="C2789" s="8" t="s">
        <v>20</v>
      </c>
      <c r="D2789" s="8" t="s">
        <v>85</v>
      </c>
      <c r="E2789" s="8" t="s">
        <v>15207</v>
      </c>
      <c r="F2789" s="17">
        <v>41494</v>
      </c>
      <c r="G2789" s="8" t="s">
        <v>15208</v>
      </c>
      <c r="H2789" s="8" t="s">
        <v>7670</v>
      </c>
      <c r="I2789" s="8" t="s">
        <v>220</v>
      </c>
      <c r="J2789" s="16" t="s">
        <v>15209</v>
      </c>
      <c r="K2789" s="2" t="s">
        <v>1269</v>
      </c>
      <c r="L2789" s="8" t="s">
        <v>15210</v>
      </c>
      <c r="M2789" s="8" t="s">
        <v>27</v>
      </c>
      <c r="N2789" s="8" t="s">
        <v>15211</v>
      </c>
      <c r="O2789" s="8" t="s">
        <v>15212</v>
      </c>
      <c r="P2789" s="8" t="s">
        <v>21080</v>
      </c>
      <c r="Q2789" s="12" t="s">
        <v>15213</v>
      </c>
      <c r="R2789" s="8" t="s">
        <v>100</v>
      </c>
      <c r="S2789" s="7" t="s">
        <v>18</v>
      </c>
      <c r="T2789" s="6"/>
      <c r="U2789" s="8"/>
    </row>
    <row r="2790" spans="1:21" ht="13.5" customHeight="1">
      <c r="A2790" s="8" t="s">
        <v>15214</v>
      </c>
      <c r="B2790" s="16">
        <v>22</v>
      </c>
      <c r="C2790" s="8" t="s">
        <v>20</v>
      </c>
      <c r="D2790" s="8" t="s">
        <v>85</v>
      </c>
      <c r="E2790" s="8" t="s">
        <v>15215</v>
      </c>
      <c r="F2790" s="17">
        <v>41494</v>
      </c>
      <c r="G2790" s="8" t="s">
        <v>15216</v>
      </c>
      <c r="H2790" s="8" t="s">
        <v>219</v>
      </c>
      <c r="I2790" s="8" t="s">
        <v>220</v>
      </c>
      <c r="J2790" s="16" t="s">
        <v>1632</v>
      </c>
      <c r="K2790" s="2" t="s">
        <v>424</v>
      </c>
      <c r="L2790" s="8" t="s">
        <v>221</v>
      </c>
      <c r="M2790" s="8" t="s">
        <v>1706</v>
      </c>
      <c r="N2790" s="8" t="s">
        <v>15217</v>
      </c>
      <c r="O2790" s="8" t="s">
        <v>1018</v>
      </c>
      <c r="P2790" s="8" t="s">
        <v>405</v>
      </c>
      <c r="Q2790" s="12" t="str">
        <f>HYPERLINK("http://www.theindychannel.com/news/local-news/impd-suspect-dies-while-being-arrested","http://www.theindychannel.com/news/local-news/impd-suspect-dies-while-being-arrested")</f>
        <v>http://www.theindychannel.com/news/local-news/impd-suspect-dies-while-being-arrested</v>
      </c>
      <c r="R2790" s="8" t="s">
        <v>100</v>
      </c>
      <c r="S2790" s="7" t="s">
        <v>18</v>
      </c>
      <c r="T2790" s="6"/>
      <c r="U2790" s="8"/>
    </row>
    <row r="2791" spans="1:21" ht="13.5" customHeight="1">
      <c r="A2791" s="8" t="s">
        <v>15222</v>
      </c>
      <c r="B2791" s="16">
        <v>44</v>
      </c>
      <c r="C2791" s="8" t="s">
        <v>20</v>
      </c>
      <c r="D2791" s="8" t="s">
        <v>37</v>
      </c>
      <c r="E2791" s="8" t="s">
        <v>15223</v>
      </c>
      <c r="F2791" s="17">
        <v>41494</v>
      </c>
      <c r="G2791" s="8" t="s">
        <v>15224</v>
      </c>
      <c r="H2791" s="8" t="s">
        <v>434</v>
      </c>
      <c r="I2791" s="8" t="s">
        <v>435</v>
      </c>
      <c r="J2791" s="16">
        <v>64105</v>
      </c>
      <c r="K2791" s="2" t="s">
        <v>437</v>
      </c>
      <c r="L2791" s="8" t="s">
        <v>2140</v>
      </c>
      <c r="M2791" s="8" t="s">
        <v>27</v>
      </c>
      <c r="N2791" s="8" t="s">
        <v>15225</v>
      </c>
      <c r="O2791" s="8" t="s">
        <v>29</v>
      </c>
      <c r="P2791" s="8" t="s">
        <v>405</v>
      </c>
      <c r="Q2791" s="12" t="s">
        <v>15226</v>
      </c>
      <c r="R2791" s="8" t="s">
        <v>100</v>
      </c>
      <c r="S2791" s="7" t="s">
        <v>18</v>
      </c>
      <c r="T2791" s="6"/>
      <c r="U2791" s="8"/>
    </row>
    <row r="2792" spans="1:21" ht="13.5" customHeight="1">
      <c r="A2792" s="8" t="s">
        <v>15218</v>
      </c>
      <c r="B2792" s="16">
        <v>68</v>
      </c>
      <c r="C2792" s="8" t="s">
        <v>20</v>
      </c>
      <c r="D2792" s="8" t="s">
        <v>37</v>
      </c>
      <c r="F2792" s="17">
        <v>41494</v>
      </c>
      <c r="G2792" s="8" t="s">
        <v>15219</v>
      </c>
      <c r="H2792" s="8" t="s">
        <v>779</v>
      </c>
      <c r="I2792" s="8" t="s">
        <v>45</v>
      </c>
      <c r="J2792" s="16" t="s">
        <v>9488</v>
      </c>
      <c r="K2792" s="2" t="s">
        <v>613</v>
      </c>
      <c r="L2792" s="8" t="s">
        <v>780</v>
      </c>
      <c r="M2792" s="8" t="s">
        <v>27</v>
      </c>
      <c r="N2792" s="8" t="s">
        <v>15220</v>
      </c>
      <c r="O2792" s="8" t="s">
        <v>554</v>
      </c>
      <c r="P2792" s="8" t="s">
        <v>405</v>
      </c>
      <c r="Q2792" s="12" t="s">
        <v>15221</v>
      </c>
      <c r="R2792" s="8" t="s">
        <v>100</v>
      </c>
      <c r="S2792" s="7" t="s">
        <v>28</v>
      </c>
      <c r="T2792" s="6"/>
      <c r="U2792" s="8"/>
    </row>
    <row r="2793" spans="1:21" ht="13.5" customHeight="1">
      <c r="A2793" s="8" t="s">
        <v>15206</v>
      </c>
      <c r="B2793" s="16">
        <v>23</v>
      </c>
      <c r="C2793" s="8" t="s">
        <v>20</v>
      </c>
      <c r="D2793" s="8" t="s">
        <v>85</v>
      </c>
      <c r="E2793" s="8" t="s">
        <v>15207</v>
      </c>
      <c r="F2793" s="17">
        <v>41494</v>
      </c>
      <c r="G2793" s="8" t="s">
        <v>15208</v>
      </c>
      <c r="H2793" s="8" t="s">
        <v>7670</v>
      </c>
      <c r="I2793" s="8" t="s">
        <v>220</v>
      </c>
      <c r="J2793" s="16" t="s">
        <v>15209</v>
      </c>
      <c r="K2793" s="2" t="s">
        <v>1269</v>
      </c>
      <c r="L2793" s="8" t="s">
        <v>15210</v>
      </c>
      <c r="M2793" s="8" t="s">
        <v>27</v>
      </c>
      <c r="N2793" s="8" t="s">
        <v>15211</v>
      </c>
      <c r="O2793" s="8" t="s">
        <v>15212</v>
      </c>
      <c r="P2793" s="8" t="s">
        <v>15212</v>
      </c>
      <c r="Q2793" s="12" t="s">
        <v>15213</v>
      </c>
      <c r="R2793" s="8" t="s">
        <v>100</v>
      </c>
      <c r="S2793" s="7" t="s">
        <v>18</v>
      </c>
      <c r="T2793" s="6"/>
      <c r="U2793" s="8"/>
    </row>
    <row r="2794" spans="1:21" ht="13.5" customHeight="1">
      <c r="A2794" s="8" t="s">
        <v>15231</v>
      </c>
      <c r="B2794" s="16">
        <v>46</v>
      </c>
      <c r="C2794" s="8" t="s">
        <v>20</v>
      </c>
      <c r="D2794" s="8" t="s">
        <v>37</v>
      </c>
      <c r="E2794" s="8" t="s">
        <v>15232</v>
      </c>
      <c r="F2794" s="17">
        <v>41493</v>
      </c>
      <c r="G2794" s="8" t="s">
        <v>15233</v>
      </c>
      <c r="H2794" s="8" t="s">
        <v>8449</v>
      </c>
      <c r="I2794" s="8" t="s">
        <v>73</v>
      </c>
      <c r="J2794" s="16" t="s">
        <v>15234</v>
      </c>
      <c r="K2794" s="2" t="s">
        <v>15235</v>
      </c>
      <c r="L2794" s="8" t="s">
        <v>10409</v>
      </c>
      <c r="M2794" s="8" t="s">
        <v>27</v>
      </c>
      <c r="N2794" s="8" t="s">
        <v>15236</v>
      </c>
      <c r="O2794" s="8" t="s">
        <v>1018</v>
      </c>
      <c r="P2794" s="8" t="s">
        <v>405</v>
      </c>
      <c r="Q2794" s="12" t="s">
        <v>15237</v>
      </c>
      <c r="R2794" s="8" t="s">
        <v>100</v>
      </c>
      <c r="S2794" s="7" t="s">
        <v>28</v>
      </c>
      <c r="T2794" s="6"/>
      <c r="U2794" s="8"/>
    </row>
    <row r="2795" spans="1:21" ht="13.5" customHeight="1">
      <c r="A2795" s="8" t="s">
        <v>15227</v>
      </c>
      <c r="B2795" s="16">
        <v>21</v>
      </c>
      <c r="C2795" s="8" t="s">
        <v>20</v>
      </c>
      <c r="D2795" s="8" t="s">
        <v>85</v>
      </c>
      <c r="F2795" s="17">
        <v>41493</v>
      </c>
      <c r="G2795" s="8" t="s">
        <v>15228</v>
      </c>
      <c r="H2795" s="8" t="s">
        <v>1714</v>
      </c>
      <c r="I2795" s="8" t="s">
        <v>46</v>
      </c>
      <c r="J2795" s="16" t="s">
        <v>12828</v>
      </c>
      <c r="K2795" s="2" t="s">
        <v>1716</v>
      </c>
      <c r="L2795" s="8" t="s">
        <v>3266</v>
      </c>
      <c r="M2795" s="8" t="s">
        <v>27</v>
      </c>
      <c r="N2795" s="8" t="s">
        <v>15229</v>
      </c>
      <c r="O2795" s="8" t="s">
        <v>29</v>
      </c>
      <c r="P2795" s="8" t="s">
        <v>405</v>
      </c>
      <c r="Q2795" s="12" t="s">
        <v>15230</v>
      </c>
      <c r="R2795" s="8" t="s">
        <v>100</v>
      </c>
      <c r="S2795" s="7" t="s">
        <v>28</v>
      </c>
      <c r="T2795" s="6"/>
      <c r="U2795" s="8"/>
    </row>
    <row r="2796" spans="1:21" ht="13.5" customHeight="1">
      <c r="A2796" s="8" t="s">
        <v>15238</v>
      </c>
      <c r="B2796" s="16">
        <v>61</v>
      </c>
      <c r="C2796" s="8" t="s">
        <v>20</v>
      </c>
      <c r="D2796" s="8" t="s">
        <v>48</v>
      </c>
      <c r="F2796" s="17">
        <v>41492</v>
      </c>
      <c r="G2796" s="8" t="s">
        <v>15239</v>
      </c>
      <c r="H2796" s="8" t="s">
        <v>9401</v>
      </c>
      <c r="I2796" s="8" t="s">
        <v>198</v>
      </c>
      <c r="J2796" s="16">
        <v>88220</v>
      </c>
      <c r="K2796" s="2" t="s">
        <v>9403</v>
      </c>
      <c r="L2796" s="8" t="s">
        <v>9404</v>
      </c>
      <c r="M2796" s="8" t="s">
        <v>27</v>
      </c>
      <c r="N2796" s="8" t="s">
        <v>15240</v>
      </c>
      <c r="O2796" s="8" t="s">
        <v>554</v>
      </c>
      <c r="P2796" s="8" t="s">
        <v>405</v>
      </c>
      <c r="Q2796" s="12" t="s">
        <v>15241</v>
      </c>
      <c r="R2796" s="8" t="s">
        <v>100</v>
      </c>
      <c r="S2796" s="7" t="s">
        <v>28</v>
      </c>
      <c r="T2796" s="6"/>
      <c r="U2796" s="8"/>
    </row>
    <row r="2797" spans="1:21" ht="13.5" customHeight="1">
      <c r="A2797" s="8" t="s">
        <v>15242</v>
      </c>
      <c r="B2797" s="16">
        <v>18</v>
      </c>
      <c r="C2797" s="8" t="s">
        <v>20</v>
      </c>
      <c r="D2797" s="8" t="s">
        <v>48</v>
      </c>
      <c r="E2797" s="8" t="s">
        <v>15243</v>
      </c>
      <c r="F2797" s="17">
        <v>41492</v>
      </c>
      <c r="G2797" s="8" t="s">
        <v>15244</v>
      </c>
      <c r="H2797" s="8" t="s">
        <v>1536</v>
      </c>
      <c r="I2797" s="8" t="s">
        <v>62</v>
      </c>
      <c r="J2797" s="16" t="s">
        <v>15245</v>
      </c>
      <c r="K2797" s="2" t="s">
        <v>163</v>
      </c>
      <c r="L2797" s="8" t="s">
        <v>164</v>
      </c>
      <c r="M2797" s="8" t="s">
        <v>1706</v>
      </c>
      <c r="N2797" s="8" t="s">
        <v>15246</v>
      </c>
      <c r="O2797" s="8" t="s">
        <v>554</v>
      </c>
      <c r="P2797" s="8" t="s">
        <v>405</v>
      </c>
      <c r="Q2797" s="12" t="s">
        <v>15247</v>
      </c>
      <c r="R2797" s="8" t="s">
        <v>100</v>
      </c>
      <c r="S2797" s="7" t="s">
        <v>18</v>
      </c>
      <c r="T2797" s="6"/>
      <c r="U2797" s="8"/>
    </row>
    <row r="2798" spans="1:21" ht="13.5" customHeight="1">
      <c r="A2798" s="8" t="s">
        <v>3288</v>
      </c>
      <c r="B2798" s="16" t="s">
        <v>15248</v>
      </c>
      <c r="C2798" s="8" t="s">
        <v>20</v>
      </c>
      <c r="D2798" s="8" t="s">
        <v>48</v>
      </c>
      <c r="F2798" s="17">
        <v>41491</v>
      </c>
      <c r="G2798" s="8" t="s">
        <v>15249</v>
      </c>
      <c r="H2798" s="8" t="s">
        <v>731</v>
      </c>
      <c r="I2798" s="8" t="s">
        <v>73</v>
      </c>
      <c r="J2798" s="16" t="s">
        <v>6913</v>
      </c>
      <c r="K2798" s="2" t="s">
        <v>562</v>
      </c>
      <c r="L2798" s="8" t="s">
        <v>732</v>
      </c>
      <c r="M2798" s="8" t="s">
        <v>27</v>
      </c>
      <c r="N2798" s="8" t="s">
        <v>15250</v>
      </c>
      <c r="O2798" s="8" t="s">
        <v>1018</v>
      </c>
      <c r="P2798" s="8" t="s">
        <v>405</v>
      </c>
      <c r="Q2798" s="12" t="s">
        <v>15251</v>
      </c>
      <c r="R2798" s="8" t="s">
        <v>100</v>
      </c>
      <c r="S2798" s="7" t="s">
        <v>28</v>
      </c>
      <c r="T2798" s="6"/>
      <c r="U2798" s="8"/>
    </row>
    <row r="2799" spans="1:21" ht="13.5" customHeight="1">
      <c r="A2799" s="8" t="s">
        <v>15252</v>
      </c>
      <c r="B2799" s="16">
        <v>35</v>
      </c>
      <c r="C2799" s="8" t="s">
        <v>20</v>
      </c>
      <c r="D2799" s="8" t="s">
        <v>30</v>
      </c>
      <c r="F2799" s="17">
        <v>41491</v>
      </c>
      <c r="G2799" s="8" t="s">
        <v>15253</v>
      </c>
      <c r="H2799" s="8" t="s">
        <v>638</v>
      </c>
      <c r="I2799" s="8" t="s">
        <v>124</v>
      </c>
      <c r="J2799" s="16" t="s">
        <v>15254</v>
      </c>
      <c r="K2799" s="2" t="s">
        <v>639</v>
      </c>
      <c r="L2799" s="8" t="s">
        <v>640</v>
      </c>
      <c r="M2799" s="8" t="s">
        <v>27</v>
      </c>
      <c r="N2799" s="8" t="s">
        <v>15255</v>
      </c>
      <c r="O2799" s="8" t="s">
        <v>1018</v>
      </c>
      <c r="P2799" s="8" t="s">
        <v>405</v>
      </c>
      <c r="Q2799" s="12" t="s">
        <v>15256</v>
      </c>
      <c r="R2799" s="8" t="s">
        <v>972</v>
      </c>
      <c r="S2799" s="7" t="s">
        <v>28</v>
      </c>
      <c r="T2799" s="6"/>
      <c r="U2799" s="8"/>
    </row>
    <row r="2800" spans="1:21" ht="13.5" customHeight="1">
      <c r="A2800" s="8" t="s">
        <v>15268</v>
      </c>
      <c r="B2800" s="16">
        <v>25</v>
      </c>
      <c r="C2800" s="8" t="s">
        <v>20</v>
      </c>
      <c r="D2800" s="8" t="s">
        <v>30</v>
      </c>
      <c r="F2800" s="17">
        <v>41490</v>
      </c>
      <c r="G2800" s="8" t="s">
        <v>15269</v>
      </c>
      <c r="H2800" s="8" t="s">
        <v>15270</v>
      </c>
      <c r="I2800" s="8" t="s">
        <v>862</v>
      </c>
      <c r="J2800" s="16" t="s">
        <v>15271</v>
      </c>
      <c r="K2800" s="2" t="s">
        <v>1795</v>
      </c>
      <c r="L2800" s="8" t="s">
        <v>15272</v>
      </c>
      <c r="M2800" s="8" t="s">
        <v>383</v>
      </c>
      <c r="N2800" s="8" t="s">
        <v>15273</v>
      </c>
      <c r="O2800" s="8" t="s">
        <v>1018</v>
      </c>
      <c r="P2800" s="8" t="s">
        <v>405</v>
      </c>
      <c r="Q2800" s="12" t="s">
        <v>15274</v>
      </c>
      <c r="R2800" s="8" t="s">
        <v>100</v>
      </c>
      <c r="S2800" s="7" t="s">
        <v>383</v>
      </c>
      <c r="T2800" s="6"/>
      <c r="U2800" s="8"/>
    </row>
    <row r="2801" spans="1:34" ht="13.5" customHeight="1">
      <c r="A2801" s="8" t="s">
        <v>15275</v>
      </c>
      <c r="B2801" s="16" t="s">
        <v>15276</v>
      </c>
      <c r="C2801" s="8" t="s">
        <v>20</v>
      </c>
      <c r="D2801" s="8" t="s">
        <v>37</v>
      </c>
      <c r="F2801" s="17">
        <v>41490</v>
      </c>
      <c r="G2801" s="8" t="s">
        <v>15277</v>
      </c>
      <c r="H2801" s="8" t="s">
        <v>1442</v>
      </c>
      <c r="I2801" s="8" t="s">
        <v>124</v>
      </c>
      <c r="J2801" s="16" t="s">
        <v>15278</v>
      </c>
      <c r="K2801" s="2" t="s">
        <v>639</v>
      </c>
      <c r="L2801" s="8" t="s">
        <v>1443</v>
      </c>
      <c r="M2801" s="8" t="s">
        <v>27</v>
      </c>
      <c r="N2801" s="8" t="s">
        <v>15279</v>
      </c>
      <c r="O2801" s="8" t="s">
        <v>29</v>
      </c>
      <c r="P2801" s="8" t="s">
        <v>405</v>
      </c>
      <c r="Q2801" s="12" t="s">
        <v>15280</v>
      </c>
      <c r="R2801" s="8" t="s">
        <v>100</v>
      </c>
      <c r="S2801" s="7" t="s">
        <v>28</v>
      </c>
      <c r="T2801" s="6"/>
      <c r="U2801" s="8"/>
    </row>
    <row r="2802" spans="1:34" ht="13.5" customHeight="1">
      <c r="A2802" s="8" t="s">
        <v>15262</v>
      </c>
      <c r="B2802" s="16">
        <v>54</v>
      </c>
      <c r="C2802" s="8" t="s">
        <v>20</v>
      </c>
      <c r="D2802" s="8" t="s">
        <v>48</v>
      </c>
      <c r="F2802" s="17">
        <v>41490</v>
      </c>
      <c r="G2802" s="8" t="s">
        <v>15263</v>
      </c>
      <c r="H2802" s="8" t="s">
        <v>15264</v>
      </c>
      <c r="I2802" s="8" t="s">
        <v>198</v>
      </c>
      <c r="J2802" s="16" t="s">
        <v>15265</v>
      </c>
      <c r="K2802" s="2" t="s">
        <v>471</v>
      </c>
      <c r="L2802" s="8" t="s">
        <v>8243</v>
      </c>
      <c r="M2802" s="8" t="s">
        <v>27</v>
      </c>
      <c r="N2802" s="8" t="s">
        <v>15266</v>
      </c>
      <c r="O2802" s="8" t="s">
        <v>1018</v>
      </c>
      <c r="P2802" s="8" t="s">
        <v>405</v>
      </c>
      <c r="Q2802" s="12" t="s">
        <v>15267</v>
      </c>
      <c r="R2802" s="8" t="s">
        <v>29</v>
      </c>
      <c r="S2802" s="7" t="s">
        <v>28</v>
      </c>
      <c r="T2802" s="6"/>
      <c r="U2802" s="8"/>
    </row>
    <row r="2803" spans="1:34" ht="13.5" customHeight="1">
      <c r="A2803" s="8" t="s">
        <v>15257</v>
      </c>
      <c r="B2803" s="16">
        <v>14</v>
      </c>
      <c r="C2803" s="8" t="s">
        <v>20</v>
      </c>
      <c r="D2803" s="8" t="s">
        <v>85</v>
      </c>
      <c r="E2803" s="8" t="s">
        <v>15258</v>
      </c>
      <c r="F2803" s="17">
        <v>41490</v>
      </c>
      <c r="G2803" s="8" t="s">
        <v>15259</v>
      </c>
      <c r="H2803" s="8" t="s">
        <v>1861</v>
      </c>
      <c r="I2803" s="8" t="s">
        <v>427</v>
      </c>
      <c r="J2803" s="16" t="s">
        <v>15260</v>
      </c>
      <c r="K2803" s="2" t="s">
        <v>585</v>
      </c>
      <c r="L2803" s="8" t="s">
        <v>586</v>
      </c>
      <c r="M2803" s="8" t="s">
        <v>27</v>
      </c>
      <c r="N2803" s="8" t="s">
        <v>15261</v>
      </c>
      <c r="O2803" s="8" t="s">
        <v>554</v>
      </c>
      <c r="P2803" s="8" t="s">
        <v>405</v>
      </c>
      <c r="Q2803" s="12" t="str">
        <f>HYPERLINK("http://www.huffingtonpost.com/2013/08/05/shaaliver-douse-shooting_n_3705623.html","http://www.huffingtonpost.com/2013/08/05/shaaliver-douse-shooting_n_3705623.html")</f>
        <v>http://www.huffingtonpost.com/2013/08/05/shaaliver-douse-shooting_n_3705623.html</v>
      </c>
      <c r="R2803" s="8" t="s">
        <v>100</v>
      </c>
      <c r="S2803" s="7" t="s">
        <v>18</v>
      </c>
      <c r="T2803" s="6"/>
      <c r="U2803" s="8"/>
    </row>
    <row r="2804" spans="1:34" ht="13.5" customHeight="1">
      <c r="A2804" s="8" t="s">
        <v>15291</v>
      </c>
      <c r="B2804" s="16">
        <v>41</v>
      </c>
      <c r="C2804" s="8" t="s">
        <v>20</v>
      </c>
      <c r="D2804" s="8" t="s">
        <v>37</v>
      </c>
      <c r="E2804" s="8" t="s">
        <v>15292</v>
      </c>
      <c r="F2804" s="17">
        <v>41489</v>
      </c>
      <c r="G2804" s="8" t="s">
        <v>15293</v>
      </c>
      <c r="H2804" s="8" t="s">
        <v>565</v>
      </c>
      <c r="I2804" s="8" t="s">
        <v>124</v>
      </c>
      <c r="J2804" s="16" t="s">
        <v>6401</v>
      </c>
      <c r="K2804" s="2" t="s">
        <v>566</v>
      </c>
      <c r="L2804" s="8" t="s">
        <v>12910</v>
      </c>
      <c r="M2804" s="8" t="s">
        <v>27</v>
      </c>
      <c r="N2804" s="8" t="s">
        <v>15294</v>
      </c>
      <c r="O2804" s="8" t="s">
        <v>1018</v>
      </c>
      <c r="P2804" s="8" t="s">
        <v>405</v>
      </c>
      <c r="Q2804" s="12" t="s">
        <v>15295</v>
      </c>
      <c r="R2804" s="8" t="s">
        <v>100</v>
      </c>
      <c r="S2804" s="7" t="s">
        <v>28</v>
      </c>
      <c r="T2804" s="6"/>
      <c r="U2804" s="8"/>
    </row>
    <row r="2805" spans="1:34" ht="13.5" customHeight="1">
      <c r="A2805" s="8" t="s">
        <v>15281</v>
      </c>
      <c r="B2805" s="16">
        <v>26</v>
      </c>
      <c r="C2805" s="8" t="s">
        <v>20</v>
      </c>
      <c r="D2805" s="8" t="s">
        <v>48</v>
      </c>
      <c r="F2805" s="17">
        <v>41489</v>
      </c>
      <c r="G2805" s="8" t="s">
        <v>15282</v>
      </c>
      <c r="H2805" s="8" t="s">
        <v>6566</v>
      </c>
      <c r="I2805" s="8" t="s">
        <v>45</v>
      </c>
      <c r="J2805" s="16" t="s">
        <v>15283</v>
      </c>
      <c r="K2805" s="2" t="s">
        <v>1070</v>
      </c>
      <c r="L2805" s="8" t="s">
        <v>6568</v>
      </c>
      <c r="M2805" s="8" t="s">
        <v>27</v>
      </c>
      <c r="N2805" s="8" t="s">
        <v>15284</v>
      </c>
      <c r="O2805" s="8" t="s">
        <v>29</v>
      </c>
      <c r="P2805" s="8" t="s">
        <v>405</v>
      </c>
      <c r="Q2805" s="12" t="s">
        <v>15285</v>
      </c>
      <c r="R2805" s="8" t="s">
        <v>100</v>
      </c>
      <c r="S2805" s="7" t="s">
        <v>28</v>
      </c>
      <c r="T2805" s="6"/>
      <c r="U2805" s="8"/>
    </row>
    <row r="2806" spans="1:34" ht="13.5" customHeight="1">
      <c r="A2806" s="8" t="s">
        <v>15286</v>
      </c>
      <c r="B2806" s="16">
        <v>28</v>
      </c>
      <c r="C2806" s="8" t="s">
        <v>20</v>
      </c>
      <c r="D2806" s="8" t="s">
        <v>37</v>
      </c>
      <c r="E2806" s="8" t="s">
        <v>15287</v>
      </c>
      <c r="F2806" s="17">
        <v>41489</v>
      </c>
      <c r="G2806" s="8" t="s">
        <v>15288</v>
      </c>
      <c r="H2806" s="8" t="s">
        <v>1104</v>
      </c>
      <c r="I2806" s="8" t="s">
        <v>399</v>
      </c>
      <c r="J2806" s="16" t="s">
        <v>4087</v>
      </c>
      <c r="K2806" s="2" t="s">
        <v>1105</v>
      </c>
      <c r="L2806" s="8" t="s">
        <v>1106</v>
      </c>
      <c r="M2806" s="8" t="s">
        <v>3407</v>
      </c>
      <c r="N2806" s="8" t="s">
        <v>15289</v>
      </c>
      <c r="O2806" s="8" t="s">
        <v>1018</v>
      </c>
      <c r="P2806" s="8" t="s">
        <v>405</v>
      </c>
      <c r="Q2806" s="12" t="s">
        <v>15290</v>
      </c>
      <c r="R2806" s="8" t="s">
        <v>972</v>
      </c>
      <c r="S2806" s="7" t="s">
        <v>18</v>
      </c>
      <c r="T2806" s="6"/>
      <c r="U2806" s="8"/>
    </row>
    <row r="2807" spans="1:34" ht="13.5" customHeight="1">
      <c r="A2807" s="8" t="s">
        <v>15296</v>
      </c>
      <c r="B2807" s="16" t="s">
        <v>13885</v>
      </c>
      <c r="C2807" s="8" t="s">
        <v>20</v>
      </c>
      <c r="D2807" s="8" t="s">
        <v>37</v>
      </c>
      <c r="E2807" s="8" t="s">
        <v>15297</v>
      </c>
      <c r="F2807" s="17">
        <v>41488</v>
      </c>
      <c r="G2807" s="8" t="s">
        <v>15298</v>
      </c>
      <c r="H2807" s="8" t="s">
        <v>1104</v>
      </c>
      <c r="I2807" s="8" t="s">
        <v>399</v>
      </c>
      <c r="J2807" s="16" t="s">
        <v>15299</v>
      </c>
      <c r="K2807" s="2" t="s">
        <v>15300</v>
      </c>
      <c r="L2807" s="8" t="s">
        <v>15301</v>
      </c>
      <c r="M2807" s="8" t="s">
        <v>27</v>
      </c>
      <c r="N2807" s="8" t="s">
        <v>15302</v>
      </c>
      <c r="O2807" s="8" t="s">
        <v>29</v>
      </c>
      <c r="P2807" s="8" t="s">
        <v>405</v>
      </c>
      <c r="Q2807" s="12" t="str">
        <f>HYPERLINK("http://kfor.com/2013/08/02/warr-acres-police-involved-in-chase-shooting-reported/","http://kfor.com/2013/08/02/warr-acres-police-involved-in-chase-shooting-reported/")</f>
        <v>http://kfor.com/2013/08/02/warr-acres-police-involved-in-chase-shooting-reported/</v>
      </c>
      <c r="R2807" s="8" t="s">
        <v>100</v>
      </c>
      <c r="S2807" s="7" t="s">
        <v>35</v>
      </c>
      <c r="T2807" s="6"/>
      <c r="U2807" s="8"/>
    </row>
    <row r="2808" spans="1:34" ht="13.5" customHeight="1">
      <c r="A2808" s="8" t="s">
        <v>15303</v>
      </c>
      <c r="B2808" s="16">
        <v>33</v>
      </c>
      <c r="C2808" s="8" t="s">
        <v>20</v>
      </c>
      <c r="D2808" s="8" t="s">
        <v>85</v>
      </c>
      <c r="E2808" s="8" t="s">
        <v>15304</v>
      </c>
      <c r="F2808" s="17">
        <v>41486</v>
      </c>
      <c r="G2808" s="8" t="s">
        <v>15305</v>
      </c>
      <c r="H2808" s="8" t="s">
        <v>2215</v>
      </c>
      <c r="I2808" s="8" t="s">
        <v>62</v>
      </c>
      <c r="J2808" s="16" t="s">
        <v>15306</v>
      </c>
      <c r="K2808" s="2" t="s">
        <v>1134</v>
      </c>
      <c r="L2808" s="8" t="s">
        <v>4438</v>
      </c>
      <c r="M2808" s="8" t="s">
        <v>27</v>
      </c>
      <c r="N2808" s="8" t="s">
        <v>15307</v>
      </c>
      <c r="O2808" s="8" t="s">
        <v>1018</v>
      </c>
      <c r="P2808" s="8" t="s">
        <v>1171</v>
      </c>
      <c r="Q2808" s="12" t="s">
        <v>15308</v>
      </c>
      <c r="R2808" s="8" t="s">
        <v>100</v>
      </c>
      <c r="S2808" s="7" t="s">
        <v>18</v>
      </c>
      <c r="T2808" s="6"/>
      <c r="U2808" s="8"/>
    </row>
    <row r="2809" spans="1:34" ht="13.5" customHeight="1">
      <c r="A2809" s="8" t="s">
        <v>15309</v>
      </c>
      <c r="B2809" s="16">
        <v>19</v>
      </c>
      <c r="C2809" s="8" t="s">
        <v>20</v>
      </c>
      <c r="D2809" s="8" t="s">
        <v>48</v>
      </c>
      <c r="E2809" s="8" t="s">
        <v>15310</v>
      </c>
      <c r="F2809" s="17">
        <v>41486</v>
      </c>
      <c r="G2809" s="8" t="s">
        <v>15311</v>
      </c>
      <c r="H2809" s="8" t="s">
        <v>10779</v>
      </c>
      <c r="I2809" s="8" t="s">
        <v>73</v>
      </c>
      <c r="J2809" s="16" t="s">
        <v>15312</v>
      </c>
      <c r="K2809" s="2" t="s">
        <v>1065</v>
      </c>
      <c r="L2809" s="8" t="s">
        <v>15313</v>
      </c>
      <c r="M2809" s="8" t="s">
        <v>27</v>
      </c>
      <c r="N2809" s="8" t="s">
        <v>15314</v>
      </c>
      <c r="O2809" s="8" t="s">
        <v>15315</v>
      </c>
      <c r="P2809" s="8" t="s">
        <v>21079</v>
      </c>
      <c r="Q2809" s="12" t="s">
        <v>15317</v>
      </c>
      <c r="R2809" s="8" t="s">
        <v>100</v>
      </c>
      <c r="S2809" s="7" t="s">
        <v>18</v>
      </c>
      <c r="T2809" s="6"/>
      <c r="U2809" s="8"/>
    </row>
    <row r="2810" spans="1:34" ht="13.5" customHeight="1">
      <c r="A2810" s="8" t="s">
        <v>15318</v>
      </c>
      <c r="B2810" s="16">
        <v>42</v>
      </c>
      <c r="C2810" s="8" t="s">
        <v>20</v>
      </c>
      <c r="D2810" s="8" t="s">
        <v>37</v>
      </c>
      <c r="E2810" s="8" t="s">
        <v>15319</v>
      </c>
      <c r="F2810" s="17">
        <v>41486</v>
      </c>
      <c r="G2810" s="8" t="s">
        <v>15320</v>
      </c>
      <c r="H2810" s="8" t="s">
        <v>15321</v>
      </c>
      <c r="I2810" s="8" t="s">
        <v>69</v>
      </c>
      <c r="J2810" s="16" t="s">
        <v>15322</v>
      </c>
      <c r="K2810" s="2" t="s">
        <v>5008</v>
      </c>
      <c r="L2810" s="8" t="s">
        <v>15323</v>
      </c>
      <c r="M2810" s="8" t="s">
        <v>27</v>
      </c>
      <c r="N2810" s="8" t="s">
        <v>15324</v>
      </c>
      <c r="O2810" s="8" t="s">
        <v>554</v>
      </c>
      <c r="P2810" s="8" t="s">
        <v>405</v>
      </c>
      <c r="Q2810" s="12" t="s">
        <v>15325</v>
      </c>
      <c r="R2810" s="8" t="s">
        <v>29</v>
      </c>
      <c r="S2810" s="7" t="s">
        <v>28</v>
      </c>
      <c r="T2810" s="6"/>
      <c r="U2810" s="8"/>
      <c r="V2810" s="8"/>
      <c r="W2810" s="8"/>
      <c r="X2810" s="8"/>
      <c r="Y2810" s="8"/>
      <c r="Z2810" s="8"/>
      <c r="AA2810" s="8"/>
      <c r="AB2810" s="8"/>
      <c r="AC2810" s="8"/>
      <c r="AD2810" s="8"/>
      <c r="AE2810" s="8"/>
      <c r="AF2810" s="8"/>
      <c r="AG2810" s="8"/>
      <c r="AH2810" s="8"/>
    </row>
    <row r="2811" spans="1:34" ht="13.5" customHeight="1">
      <c r="A2811" s="8" t="s">
        <v>15309</v>
      </c>
      <c r="B2811" s="16">
        <v>19</v>
      </c>
      <c r="C2811" s="8" t="s">
        <v>20</v>
      </c>
      <c r="D2811" s="8" t="s">
        <v>48</v>
      </c>
      <c r="E2811" s="8" t="s">
        <v>15310</v>
      </c>
      <c r="F2811" s="17">
        <v>41486</v>
      </c>
      <c r="G2811" s="8" t="s">
        <v>15311</v>
      </c>
      <c r="H2811" s="8" t="s">
        <v>10779</v>
      </c>
      <c r="I2811" s="8" t="s">
        <v>73</v>
      </c>
      <c r="J2811" s="16" t="s">
        <v>15312</v>
      </c>
      <c r="K2811" s="2" t="s">
        <v>1065</v>
      </c>
      <c r="L2811" s="8" t="s">
        <v>15313</v>
      </c>
      <c r="M2811" s="8" t="s">
        <v>27</v>
      </c>
      <c r="N2811" s="8" t="s">
        <v>15314</v>
      </c>
      <c r="O2811" s="8" t="s">
        <v>15315</v>
      </c>
      <c r="P2811" s="8" t="s">
        <v>15316</v>
      </c>
      <c r="Q2811" s="12" t="s">
        <v>15317</v>
      </c>
      <c r="R2811" s="8" t="s">
        <v>100</v>
      </c>
      <c r="S2811" s="7" t="s">
        <v>18</v>
      </c>
      <c r="T2811" s="6"/>
      <c r="U2811" s="8"/>
    </row>
    <row r="2812" spans="1:34" ht="13.5" customHeight="1">
      <c r="A2812" s="8" t="s">
        <v>15326</v>
      </c>
      <c r="B2812" s="16">
        <v>37</v>
      </c>
      <c r="C2812" s="8" t="s">
        <v>20</v>
      </c>
      <c r="D2812" s="8" t="s">
        <v>85</v>
      </c>
      <c r="E2812" s="8" t="s">
        <v>15327</v>
      </c>
      <c r="F2812" s="17">
        <v>41485</v>
      </c>
      <c r="G2812" s="8" t="s">
        <v>15328</v>
      </c>
      <c r="H2812" s="8" t="s">
        <v>1048</v>
      </c>
      <c r="I2812" s="8" t="s">
        <v>25</v>
      </c>
      <c r="J2812" s="16" t="s">
        <v>15329</v>
      </c>
      <c r="K2812" s="2" t="s">
        <v>2605</v>
      </c>
      <c r="L2812" s="8" t="s">
        <v>409</v>
      </c>
      <c r="M2812" s="8" t="s">
        <v>27</v>
      </c>
      <c r="N2812" s="8" t="s">
        <v>15330</v>
      </c>
      <c r="O2812" s="8" t="s">
        <v>554</v>
      </c>
      <c r="P2812" s="8" t="s">
        <v>405</v>
      </c>
      <c r="Q2812" s="12" t="str">
        <f>HYPERLINK("http://www.nola.com/crime/index.ssf/2014/04/report_doj_drops_probe_of_fbi-.html","http://www.nola.com/crime/index.ssf/2014/04/report_doj_drops_probe_of_fbi-.html")</f>
        <v>http://www.nola.com/crime/index.ssf/2014/04/report_doj_drops_probe_of_fbi-.html</v>
      </c>
      <c r="R2812" s="8" t="s">
        <v>100</v>
      </c>
      <c r="S2812" s="7" t="s">
        <v>18</v>
      </c>
      <c r="T2812" s="6"/>
      <c r="U2812" s="8"/>
    </row>
    <row r="2813" spans="1:34" ht="13.5" customHeight="1">
      <c r="A2813" s="8" t="s">
        <v>15354</v>
      </c>
      <c r="B2813" s="16">
        <v>21</v>
      </c>
      <c r="C2813" s="8" t="s">
        <v>20</v>
      </c>
      <c r="D2813" s="8" t="s">
        <v>37</v>
      </c>
      <c r="E2813" s="8" t="s">
        <v>15355</v>
      </c>
      <c r="F2813" s="17">
        <v>41485</v>
      </c>
      <c r="G2813" s="8" t="s">
        <v>15356</v>
      </c>
      <c r="H2813" s="8" t="s">
        <v>15357</v>
      </c>
      <c r="I2813" s="8" t="s">
        <v>306</v>
      </c>
      <c r="J2813" s="16" t="s">
        <v>15358</v>
      </c>
      <c r="K2813" s="2" t="s">
        <v>891</v>
      </c>
      <c r="L2813" s="8" t="s">
        <v>15359</v>
      </c>
      <c r="M2813" s="8" t="s">
        <v>27</v>
      </c>
      <c r="N2813" s="8" t="s">
        <v>15360</v>
      </c>
      <c r="O2813" s="8" t="s">
        <v>1018</v>
      </c>
      <c r="P2813" s="8" t="s">
        <v>405</v>
      </c>
      <c r="Q2813" s="12" t="s">
        <v>15361</v>
      </c>
      <c r="R2813" s="8" t="s">
        <v>559</v>
      </c>
      <c r="S2813" s="7" t="s">
        <v>28</v>
      </c>
      <c r="T2813" s="6"/>
      <c r="U2813" s="8"/>
    </row>
    <row r="2814" spans="1:34" ht="13.5" customHeight="1">
      <c r="A2814" s="8" t="s">
        <v>15347</v>
      </c>
      <c r="B2814" s="16">
        <v>29</v>
      </c>
      <c r="C2814" s="8" t="s">
        <v>20</v>
      </c>
      <c r="D2814" s="8" t="s">
        <v>37</v>
      </c>
      <c r="E2814" s="8" t="s">
        <v>15348</v>
      </c>
      <c r="F2814" s="17">
        <v>41485</v>
      </c>
      <c r="G2814" s="8" t="s">
        <v>15349</v>
      </c>
      <c r="H2814" s="8" t="s">
        <v>2534</v>
      </c>
      <c r="I2814" s="8" t="s">
        <v>986</v>
      </c>
      <c r="J2814" s="16" t="s">
        <v>15350</v>
      </c>
      <c r="K2814" s="2" t="s">
        <v>5153</v>
      </c>
      <c r="L2814" s="8" t="s">
        <v>15351</v>
      </c>
      <c r="M2814" s="8" t="s">
        <v>27</v>
      </c>
      <c r="N2814" s="8" t="s">
        <v>15352</v>
      </c>
      <c r="O2814" s="8" t="s">
        <v>4742</v>
      </c>
      <c r="P2814" s="8" t="s">
        <v>405</v>
      </c>
      <c r="Q2814" s="12" t="s">
        <v>15353</v>
      </c>
      <c r="R2814" s="8" t="s">
        <v>100</v>
      </c>
      <c r="S2814" s="7" t="s">
        <v>28</v>
      </c>
      <c r="T2814" s="6"/>
      <c r="U2814" s="8"/>
    </row>
    <row r="2815" spans="1:34" ht="13.5" customHeight="1">
      <c r="A2815" s="8" t="s">
        <v>15331</v>
      </c>
      <c r="B2815" s="16">
        <v>22</v>
      </c>
      <c r="C2815" s="8" t="s">
        <v>20</v>
      </c>
      <c r="D2815" s="8" t="s">
        <v>48</v>
      </c>
      <c r="E2815" s="8" t="s">
        <v>15332</v>
      </c>
      <c r="F2815" s="17">
        <v>41485</v>
      </c>
      <c r="G2815" s="8" t="s">
        <v>15333</v>
      </c>
      <c r="H2815" s="8" t="s">
        <v>3736</v>
      </c>
      <c r="I2815" s="8" t="s">
        <v>45</v>
      </c>
      <c r="J2815" s="16" t="s">
        <v>15334</v>
      </c>
      <c r="K2815" s="2" t="s">
        <v>1070</v>
      </c>
      <c r="L2815" s="8" t="s">
        <v>3738</v>
      </c>
      <c r="M2815" s="8" t="s">
        <v>27</v>
      </c>
      <c r="N2815" s="8" t="s">
        <v>15335</v>
      </c>
      <c r="O2815" s="8" t="s">
        <v>554</v>
      </c>
      <c r="P2815" s="8" t="s">
        <v>405</v>
      </c>
      <c r="Q2815" s="12" t="s">
        <v>15336</v>
      </c>
      <c r="S2815" s="7" t="s">
        <v>18</v>
      </c>
      <c r="T2815" s="6"/>
      <c r="U2815" s="8"/>
    </row>
    <row r="2816" spans="1:34" ht="13.5" customHeight="1">
      <c r="A2816" s="8" t="s">
        <v>15342</v>
      </c>
      <c r="B2816" s="16">
        <v>29</v>
      </c>
      <c r="C2816" s="8" t="s">
        <v>20</v>
      </c>
      <c r="D2816" s="8" t="s">
        <v>30</v>
      </c>
      <c r="F2816" s="17">
        <v>41485</v>
      </c>
      <c r="G2816" s="8" t="s">
        <v>15343</v>
      </c>
      <c r="H2816" s="8" t="s">
        <v>713</v>
      </c>
      <c r="I2816" s="8" t="s">
        <v>94</v>
      </c>
      <c r="J2816" s="16" t="s">
        <v>15344</v>
      </c>
      <c r="K2816" s="2" t="s">
        <v>713</v>
      </c>
      <c r="L2816" s="8" t="s">
        <v>714</v>
      </c>
      <c r="M2816" s="8" t="s">
        <v>383</v>
      </c>
      <c r="N2816" s="8" t="s">
        <v>15345</v>
      </c>
      <c r="O2816" s="8" t="s">
        <v>1018</v>
      </c>
      <c r="P2816" s="8" t="s">
        <v>405</v>
      </c>
      <c r="Q2816" s="12" t="s">
        <v>15346</v>
      </c>
      <c r="R2816" s="8" t="s">
        <v>100</v>
      </c>
      <c r="S2816" s="7" t="s">
        <v>383</v>
      </c>
      <c r="T2816" s="6"/>
      <c r="U2816" s="8"/>
    </row>
    <row r="2817" spans="1:34" ht="13.5" customHeight="1">
      <c r="A2817" s="8" t="s">
        <v>15337</v>
      </c>
      <c r="B2817" s="16">
        <v>19</v>
      </c>
      <c r="C2817" s="8" t="s">
        <v>20</v>
      </c>
      <c r="D2817" s="8" t="s">
        <v>30</v>
      </c>
      <c r="F2817" s="17">
        <v>41485</v>
      </c>
      <c r="G2817" s="8" t="s">
        <v>15338</v>
      </c>
      <c r="H2817" s="8" t="s">
        <v>6635</v>
      </c>
      <c r="I2817" s="8" t="s">
        <v>124</v>
      </c>
      <c r="J2817" s="16" t="s">
        <v>15339</v>
      </c>
      <c r="K2817" s="2" t="s">
        <v>639</v>
      </c>
      <c r="L2817" s="8" t="s">
        <v>6637</v>
      </c>
      <c r="M2817" s="8" t="s">
        <v>27</v>
      </c>
      <c r="N2817" s="8" t="s">
        <v>15340</v>
      </c>
      <c r="O2817" s="8" t="s">
        <v>29</v>
      </c>
      <c r="P2817" s="8" t="s">
        <v>405</v>
      </c>
      <c r="Q2817" s="12" t="s">
        <v>15341</v>
      </c>
      <c r="R2817" s="8" t="s">
        <v>100</v>
      </c>
      <c r="S2817" s="7" t="s">
        <v>28</v>
      </c>
      <c r="T2817" s="6"/>
      <c r="U2817" s="8"/>
      <c r="Y2817" s="8"/>
      <c r="Z2817" s="8"/>
      <c r="AA2817" s="8"/>
      <c r="AB2817" s="8"/>
      <c r="AC2817" s="8"/>
      <c r="AD2817" s="8"/>
      <c r="AE2817" s="8"/>
      <c r="AF2817" s="8"/>
      <c r="AG2817" s="8"/>
      <c r="AH2817" s="8"/>
    </row>
    <row r="2818" spans="1:34" ht="13.5" customHeight="1">
      <c r="A2818" s="8" t="s">
        <v>15373</v>
      </c>
      <c r="B2818" s="16">
        <v>38</v>
      </c>
      <c r="C2818" s="8" t="s">
        <v>20</v>
      </c>
      <c r="D2818" s="8" t="s">
        <v>30</v>
      </c>
      <c r="F2818" s="17">
        <v>41484</v>
      </c>
      <c r="G2818" s="8" t="s">
        <v>15374</v>
      </c>
      <c r="H2818" s="8" t="s">
        <v>865</v>
      </c>
      <c r="I2818" s="8" t="s">
        <v>73</v>
      </c>
      <c r="J2818" s="16" t="s">
        <v>15375</v>
      </c>
      <c r="K2818" s="2" t="s">
        <v>865</v>
      </c>
      <c r="L2818" s="8" t="s">
        <v>866</v>
      </c>
      <c r="M2818" s="8" t="s">
        <v>27</v>
      </c>
      <c r="N2818" s="8" t="s">
        <v>15376</v>
      </c>
      <c r="O2818" s="8" t="s">
        <v>1018</v>
      </c>
      <c r="P2818" s="8" t="s">
        <v>405</v>
      </c>
      <c r="Q2818" s="12" t="s">
        <v>15377</v>
      </c>
      <c r="R2818" s="8" t="s">
        <v>100</v>
      </c>
      <c r="S2818" s="7" t="s">
        <v>28</v>
      </c>
      <c r="T2818" s="6"/>
      <c r="U2818" s="8"/>
    </row>
    <row r="2819" spans="1:34" ht="13.5" customHeight="1">
      <c r="A2819" s="8" t="s">
        <v>15378</v>
      </c>
      <c r="B2819" s="16">
        <v>56</v>
      </c>
      <c r="C2819" s="8" t="s">
        <v>20</v>
      </c>
      <c r="D2819" s="8" t="s">
        <v>30</v>
      </c>
      <c r="F2819" s="17">
        <v>41484</v>
      </c>
      <c r="G2819" s="8" t="s">
        <v>15379</v>
      </c>
      <c r="H2819" s="8" t="s">
        <v>2817</v>
      </c>
      <c r="I2819" s="8" t="s">
        <v>367</v>
      </c>
      <c r="J2819" s="16" t="s">
        <v>2818</v>
      </c>
      <c r="K2819" s="2" t="s">
        <v>2819</v>
      </c>
      <c r="L2819" s="8" t="s">
        <v>2820</v>
      </c>
      <c r="M2819" s="8" t="s">
        <v>27</v>
      </c>
      <c r="N2819" s="8" t="s">
        <v>15380</v>
      </c>
      <c r="O2819" s="8" t="s">
        <v>554</v>
      </c>
      <c r="P2819" s="8" t="s">
        <v>405</v>
      </c>
      <c r="Q2819" s="12" t="s">
        <v>15381</v>
      </c>
      <c r="R2819" s="8" t="s">
        <v>29</v>
      </c>
      <c r="S2819" s="7" t="s">
        <v>28</v>
      </c>
      <c r="T2819" s="6"/>
      <c r="U2819" s="8"/>
    </row>
    <row r="2820" spans="1:34" ht="13.5" customHeight="1">
      <c r="A2820" s="8" t="s">
        <v>15382</v>
      </c>
      <c r="B2820" s="16">
        <v>40</v>
      </c>
      <c r="C2820" s="8" t="s">
        <v>115</v>
      </c>
      <c r="D2820" s="8" t="s">
        <v>37</v>
      </c>
      <c r="E2820" s="8" t="s">
        <v>15383</v>
      </c>
      <c r="F2820" s="17">
        <v>41484</v>
      </c>
      <c r="G2820" s="8" t="s">
        <v>15384</v>
      </c>
      <c r="H2820" s="8" t="s">
        <v>15385</v>
      </c>
      <c r="I2820" s="8" t="s">
        <v>62</v>
      </c>
      <c r="J2820" s="16" t="s">
        <v>15386</v>
      </c>
      <c r="K2820" s="2" t="s">
        <v>5608</v>
      </c>
      <c r="L2820" s="8" t="s">
        <v>15387</v>
      </c>
      <c r="M2820" s="8" t="s">
        <v>27</v>
      </c>
      <c r="N2820" s="8" t="s">
        <v>15388</v>
      </c>
      <c r="O2820" s="8" t="s">
        <v>1018</v>
      </c>
      <c r="P2820" s="8" t="s">
        <v>405</v>
      </c>
      <c r="Q2820" s="12" t="s">
        <v>15389</v>
      </c>
      <c r="R2820" s="8" t="s">
        <v>100</v>
      </c>
      <c r="S2820" s="7" t="s">
        <v>28</v>
      </c>
      <c r="T2820" s="6"/>
      <c r="U2820" s="8"/>
    </row>
    <row r="2821" spans="1:34" ht="13.5" customHeight="1">
      <c r="A2821" s="8" t="s">
        <v>15362</v>
      </c>
      <c r="B2821" s="16">
        <v>29</v>
      </c>
      <c r="C2821" s="8" t="s">
        <v>20</v>
      </c>
      <c r="D2821" s="8" t="s">
        <v>85</v>
      </c>
      <c r="E2821" s="8" t="s">
        <v>15363</v>
      </c>
      <c r="F2821" s="17">
        <v>41484</v>
      </c>
      <c r="H2821" s="8" t="s">
        <v>552</v>
      </c>
      <c r="I2821" s="8" t="s">
        <v>94</v>
      </c>
      <c r="J2821" s="16" t="s">
        <v>15364</v>
      </c>
      <c r="K2821" s="2" t="s">
        <v>424</v>
      </c>
      <c r="L2821" s="8" t="s">
        <v>622</v>
      </c>
      <c r="M2821" s="8" t="s">
        <v>27</v>
      </c>
      <c r="N2821" s="8" t="s">
        <v>15365</v>
      </c>
      <c r="O2821" s="8" t="s">
        <v>1018</v>
      </c>
      <c r="P2821" s="8" t="s">
        <v>405</v>
      </c>
      <c r="Q2821" s="12" t="s">
        <v>15366</v>
      </c>
      <c r="R2821" s="8" t="s">
        <v>29</v>
      </c>
      <c r="S2821" s="7" t="s">
        <v>28</v>
      </c>
      <c r="T2821" s="6"/>
      <c r="U2821" s="8"/>
    </row>
    <row r="2822" spans="1:34" ht="13.5" customHeight="1">
      <c r="A2822" s="8" t="s">
        <v>3288</v>
      </c>
      <c r="C2822" s="8" t="s">
        <v>20</v>
      </c>
      <c r="D2822" s="8" t="s">
        <v>85</v>
      </c>
      <c r="F2822" s="17">
        <v>41484</v>
      </c>
      <c r="G2822" s="8" t="s">
        <v>15367</v>
      </c>
      <c r="H2822" s="8" t="s">
        <v>15368</v>
      </c>
      <c r="I2822" s="8" t="s">
        <v>94</v>
      </c>
      <c r="J2822" s="16" t="s">
        <v>15369</v>
      </c>
      <c r="K2822" s="2" t="s">
        <v>1532</v>
      </c>
      <c r="L2822" s="8" t="s">
        <v>15370</v>
      </c>
      <c r="M2822" s="8" t="s">
        <v>27</v>
      </c>
      <c r="N2822" s="8" t="s">
        <v>15371</v>
      </c>
      <c r="O2822" s="8" t="s">
        <v>1018</v>
      </c>
      <c r="P2822" s="8" t="s">
        <v>405</v>
      </c>
      <c r="Q2822" s="12" t="s">
        <v>15372</v>
      </c>
      <c r="R2822" s="8" t="s">
        <v>100</v>
      </c>
      <c r="S2822" s="7" t="s">
        <v>28</v>
      </c>
      <c r="T2822" s="6"/>
      <c r="U2822" s="8"/>
      <c r="V2822" s="13"/>
      <c r="W2822" s="13"/>
      <c r="X2822" s="13"/>
    </row>
    <row r="2823" spans="1:34" ht="13.5" customHeight="1">
      <c r="A2823" s="8" t="s">
        <v>15425</v>
      </c>
      <c r="B2823" s="16">
        <v>31</v>
      </c>
      <c r="C2823" s="8" t="s">
        <v>20</v>
      </c>
      <c r="D2823" s="8" t="s">
        <v>37</v>
      </c>
      <c r="E2823" s="8" t="s">
        <v>15426</v>
      </c>
      <c r="F2823" s="17">
        <v>41483</v>
      </c>
      <c r="G2823" s="8" t="s">
        <v>15427</v>
      </c>
      <c r="H2823" s="8" t="s">
        <v>2540</v>
      </c>
      <c r="I2823" s="8" t="s">
        <v>73</v>
      </c>
      <c r="J2823" s="16" t="s">
        <v>15428</v>
      </c>
      <c r="K2823" s="2" t="s">
        <v>288</v>
      </c>
      <c r="L2823" s="8" t="s">
        <v>2541</v>
      </c>
      <c r="M2823" s="8" t="s">
        <v>27</v>
      </c>
      <c r="N2823" s="8" t="s">
        <v>15429</v>
      </c>
      <c r="O2823" s="8" t="s">
        <v>1018</v>
      </c>
      <c r="P2823" s="8" t="s">
        <v>405</v>
      </c>
      <c r="Q2823" s="12" t="s">
        <v>15430</v>
      </c>
      <c r="R2823" s="8" t="s">
        <v>100</v>
      </c>
      <c r="S2823" s="7" t="s">
        <v>28</v>
      </c>
      <c r="T2823" s="6"/>
      <c r="U2823" s="8"/>
    </row>
    <row r="2824" spans="1:34" ht="13.5" customHeight="1">
      <c r="A2824" s="8" t="s">
        <v>15402</v>
      </c>
      <c r="B2824" s="16">
        <v>39</v>
      </c>
      <c r="C2824" s="8" t="s">
        <v>20</v>
      </c>
      <c r="D2824" s="8" t="s">
        <v>48</v>
      </c>
      <c r="F2824" s="17">
        <v>41483</v>
      </c>
      <c r="G2824" s="8" t="s">
        <v>15403</v>
      </c>
      <c r="H2824" s="8" t="s">
        <v>87</v>
      </c>
      <c r="I2824" s="8" t="s">
        <v>44</v>
      </c>
      <c r="J2824" s="16" t="s">
        <v>8556</v>
      </c>
      <c r="K2824" s="2" t="s">
        <v>88</v>
      </c>
      <c r="L2824" s="8" t="s">
        <v>89</v>
      </c>
      <c r="M2824" s="8" t="s">
        <v>27</v>
      </c>
      <c r="N2824" s="8" t="s">
        <v>15404</v>
      </c>
      <c r="O2824" s="8" t="s">
        <v>404</v>
      </c>
      <c r="P2824" s="8" t="s">
        <v>405</v>
      </c>
      <c r="Q2824" s="12" t="s">
        <v>15405</v>
      </c>
      <c r="R2824" s="8" t="s">
        <v>100</v>
      </c>
      <c r="S2824" s="7" t="s">
        <v>28</v>
      </c>
      <c r="T2824" s="6"/>
      <c r="U2824" s="8"/>
    </row>
    <row r="2825" spans="1:34" ht="13.5" customHeight="1">
      <c r="A2825" s="8" t="s">
        <v>15406</v>
      </c>
      <c r="B2825" s="16">
        <v>44</v>
      </c>
      <c r="C2825" s="8" t="s">
        <v>20</v>
      </c>
      <c r="D2825" s="8" t="s">
        <v>48</v>
      </c>
      <c r="E2825" s="8" t="s">
        <v>15407</v>
      </c>
      <c r="F2825" s="17">
        <v>41483</v>
      </c>
      <c r="G2825" s="8" t="s">
        <v>15408</v>
      </c>
      <c r="H2825" s="8" t="s">
        <v>638</v>
      </c>
      <c r="I2825" s="8" t="s">
        <v>124</v>
      </c>
      <c r="J2825" s="16" t="s">
        <v>7530</v>
      </c>
      <c r="K2825" s="2" t="s">
        <v>639</v>
      </c>
      <c r="L2825" s="8" t="s">
        <v>640</v>
      </c>
      <c r="M2825" s="8" t="s">
        <v>1706</v>
      </c>
      <c r="N2825" s="8" t="s">
        <v>15409</v>
      </c>
      <c r="O2825" s="8" t="s">
        <v>1018</v>
      </c>
      <c r="P2825" s="8" t="s">
        <v>405</v>
      </c>
      <c r="Q2825" s="12" t="s">
        <v>15410</v>
      </c>
      <c r="R2825" s="8" t="s">
        <v>972</v>
      </c>
      <c r="S2825" s="7" t="s">
        <v>18</v>
      </c>
      <c r="T2825" s="6"/>
      <c r="U2825" s="8"/>
    </row>
    <row r="2826" spans="1:34" ht="13.5" customHeight="1">
      <c r="A2826" s="8" t="s">
        <v>15396</v>
      </c>
      <c r="B2826" s="16">
        <v>24</v>
      </c>
      <c r="C2826" s="8" t="s">
        <v>20</v>
      </c>
      <c r="D2826" s="8" t="s">
        <v>85</v>
      </c>
      <c r="E2826" s="8" t="s">
        <v>15397</v>
      </c>
      <c r="F2826" s="17">
        <v>41483</v>
      </c>
      <c r="G2826" s="8" t="s">
        <v>15398</v>
      </c>
      <c r="H2826" s="8" t="s">
        <v>434</v>
      </c>
      <c r="I2826" s="8" t="s">
        <v>435</v>
      </c>
      <c r="J2826" s="16" t="s">
        <v>15399</v>
      </c>
      <c r="K2826" s="2" t="s">
        <v>437</v>
      </c>
      <c r="L2826" s="8" t="s">
        <v>438</v>
      </c>
      <c r="M2826" s="8" t="s">
        <v>27</v>
      </c>
      <c r="N2826" s="8" t="s">
        <v>15400</v>
      </c>
      <c r="O2826" s="8" t="s">
        <v>554</v>
      </c>
      <c r="P2826" s="8" t="s">
        <v>405</v>
      </c>
      <c r="Q2826" s="12" t="s">
        <v>15401</v>
      </c>
      <c r="R2826" s="8" t="s">
        <v>100</v>
      </c>
      <c r="S2826" s="7" t="s">
        <v>35</v>
      </c>
      <c r="T2826" s="6"/>
      <c r="U2826" s="8"/>
    </row>
    <row r="2827" spans="1:34" ht="13.5" customHeight="1">
      <c r="A2827" s="8" t="s">
        <v>15417</v>
      </c>
      <c r="B2827" s="16">
        <v>28</v>
      </c>
      <c r="C2827" s="8" t="s">
        <v>20</v>
      </c>
      <c r="D2827" s="8" t="s">
        <v>37</v>
      </c>
      <c r="E2827" s="8" t="s">
        <v>15418</v>
      </c>
      <c r="F2827" s="17">
        <v>41483</v>
      </c>
      <c r="G2827" s="8" t="s">
        <v>15419</v>
      </c>
      <c r="H2827" s="8" t="s">
        <v>15420</v>
      </c>
      <c r="I2827" s="8" t="s">
        <v>69</v>
      </c>
      <c r="J2827" s="16" t="s">
        <v>15421</v>
      </c>
      <c r="K2827" s="2" t="s">
        <v>2287</v>
      </c>
      <c r="L2827" s="8" t="s">
        <v>15422</v>
      </c>
      <c r="M2827" s="8" t="s">
        <v>27</v>
      </c>
      <c r="N2827" s="8" t="s">
        <v>15423</v>
      </c>
      <c r="O2827" s="8" t="s">
        <v>404</v>
      </c>
      <c r="P2827" s="8" t="s">
        <v>405</v>
      </c>
      <c r="Q2827" s="12" t="s">
        <v>15424</v>
      </c>
      <c r="R2827" s="8" t="s">
        <v>100</v>
      </c>
      <c r="S2827" s="7" t="s">
        <v>28</v>
      </c>
      <c r="T2827" s="6"/>
      <c r="U2827" s="8"/>
    </row>
    <row r="2828" spans="1:34" ht="13.5" customHeight="1">
      <c r="A2828" s="8" t="s">
        <v>15390</v>
      </c>
      <c r="B2828" s="16">
        <v>32</v>
      </c>
      <c r="C2828" s="8" t="s">
        <v>20</v>
      </c>
      <c r="D2828" s="8" t="s">
        <v>85</v>
      </c>
      <c r="E2828" s="8" t="s">
        <v>15391</v>
      </c>
      <c r="F2828" s="17">
        <v>41483</v>
      </c>
      <c r="G2828" s="8" t="s">
        <v>15392</v>
      </c>
      <c r="H2828" s="8" t="s">
        <v>192</v>
      </c>
      <c r="I2828" s="8" t="s">
        <v>25</v>
      </c>
      <c r="J2828" s="16" t="s">
        <v>15393</v>
      </c>
      <c r="K2828" s="2" t="s">
        <v>3789</v>
      </c>
      <c r="L2828" s="8" t="s">
        <v>1699</v>
      </c>
      <c r="M2828" s="8" t="s">
        <v>27</v>
      </c>
      <c r="N2828" s="8" t="s">
        <v>15394</v>
      </c>
      <c r="O2828" s="8" t="s">
        <v>554</v>
      </c>
      <c r="P2828" s="8" t="s">
        <v>405</v>
      </c>
      <c r="Q2828" s="12" t="s">
        <v>15395</v>
      </c>
      <c r="R2828" s="8" t="s">
        <v>100</v>
      </c>
      <c r="S2828" s="7" t="s">
        <v>383</v>
      </c>
      <c r="T2828" s="6"/>
      <c r="U2828" s="8"/>
    </row>
    <row r="2829" spans="1:34" ht="13.5" customHeight="1">
      <c r="A2829" s="8" t="s">
        <v>15411</v>
      </c>
      <c r="B2829" s="16">
        <v>30</v>
      </c>
      <c r="C2829" s="8" t="s">
        <v>20</v>
      </c>
      <c r="D2829" s="8" t="s">
        <v>30</v>
      </c>
      <c r="F2829" s="17">
        <v>41483</v>
      </c>
      <c r="H2829" s="8" t="s">
        <v>15412</v>
      </c>
      <c r="I2829" s="8" t="s">
        <v>124</v>
      </c>
      <c r="J2829" s="16" t="s">
        <v>15413</v>
      </c>
      <c r="K2829" s="2" t="s">
        <v>639</v>
      </c>
      <c r="L2829" s="8" t="s">
        <v>15414</v>
      </c>
      <c r="M2829" s="8" t="s">
        <v>27</v>
      </c>
      <c r="N2829" s="8" t="s">
        <v>15415</v>
      </c>
      <c r="O2829" s="8" t="s">
        <v>1018</v>
      </c>
      <c r="P2829" s="8" t="s">
        <v>405</v>
      </c>
      <c r="Q2829" s="12" t="s">
        <v>15416</v>
      </c>
      <c r="R2829" s="8" t="s">
        <v>100</v>
      </c>
      <c r="S2829" s="7" t="s">
        <v>28</v>
      </c>
      <c r="T2829" s="6"/>
      <c r="U2829" s="8"/>
    </row>
    <row r="2830" spans="1:34" ht="13.5" customHeight="1">
      <c r="A2830" s="8" t="s">
        <v>15448</v>
      </c>
      <c r="B2830" s="16">
        <v>52</v>
      </c>
      <c r="C2830" s="8" t="s">
        <v>20</v>
      </c>
      <c r="D2830" s="8" t="s">
        <v>37</v>
      </c>
      <c r="F2830" s="17">
        <v>41482</v>
      </c>
      <c r="G2830" s="8" t="s">
        <v>15449</v>
      </c>
      <c r="H2830" s="8" t="s">
        <v>15450</v>
      </c>
      <c r="I2830" s="8" t="s">
        <v>81</v>
      </c>
      <c r="J2830" s="16" t="s">
        <v>15451</v>
      </c>
      <c r="K2830" s="2" t="s">
        <v>5160</v>
      </c>
      <c r="L2830" s="8" t="s">
        <v>15452</v>
      </c>
      <c r="M2830" s="8" t="s">
        <v>383</v>
      </c>
      <c r="N2830" s="8" t="s">
        <v>15453</v>
      </c>
      <c r="O2830" s="8" t="s">
        <v>404</v>
      </c>
      <c r="P2830" s="8" t="s">
        <v>405</v>
      </c>
      <c r="Q2830" s="12" t="s">
        <v>15454</v>
      </c>
      <c r="R2830" s="8" t="s">
        <v>100</v>
      </c>
      <c r="S2830" s="7" t="s">
        <v>18</v>
      </c>
      <c r="T2830" s="6"/>
      <c r="U2830" s="8"/>
    </row>
    <row r="2831" spans="1:34" ht="13.5" customHeight="1">
      <c r="A2831" s="8" t="s">
        <v>15455</v>
      </c>
      <c r="B2831" s="16">
        <v>20</v>
      </c>
      <c r="C2831" s="8" t="s">
        <v>20</v>
      </c>
      <c r="D2831" s="8" t="s">
        <v>37</v>
      </c>
      <c r="E2831" s="8" t="s">
        <v>15456</v>
      </c>
      <c r="F2831" s="17">
        <v>41482</v>
      </c>
      <c r="G2831" s="8" t="s">
        <v>15457</v>
      </c>
      <c r="H2831" s="8" t="s">
        <v>15458</v>
      </c>
      <c r="I2831" s="8" t="s">
        <v>408</v>
      </c>
      <c r="J2831" s="16" t="s">
        <v>15459</v>
      </c>
      <c r="K2831" s="2" t="s">
        <v>4367</v>
      </c>
      <c r="L2831" s="8" t="s">
        <v>15460</v>
      </c>
      <c r="M2831" s="8" t="s">
        <v>27</v>
      </c>
      <c r="N2831" s="8" t="s">
        <v>15461</v>
      </c>
      <c r="O2831" s="8" t="s">
        <v>554</v>
      </c>
      <c r="P2831" s="8" t="s">
        <v>405</v>
      </c>
      <c r="Q2831" s="12" t="s">
        <v>15462</v>
      </c>
      <c r="R2831" s="8" t="s">
        <v>100</v>
      </c>
      <c r="S2831" s="7" t="s">
        <v>28</v>
      </c>
      <c r="T2831" s="6"/>
      <c r="U2831" s="8"/>
    </row>
    <row r="2832" spans="1:34" ht="13.5" customHeight="1">
      <c r="A2832" s="8" t="s">
        <v>15436</v>
      </c>
      <c r="B2832" s="16">
        <v>33</v>
      </c>
      <c r="C2832" s="8" t="s">
        <v>20</v>
      </c>
      <c r="D2832" s="8" t="s">
        <v>48</v>
      </c>
      <c r="E2832" s="8" t="s">
        <v>15437</v>
      </c>
      <c r="F2832" s="17">
        <v>41482</v>
      </c>
      <c r="G2832" s="8" t="s">
        <v>15438</v>
      </c>
      <c r="H2832" s="8" t="s">
        <v>497</v>
      </c>
      <c r="I2832" s="8" t="s">
        <v>370</v>
      </c>
      <c r="J2832" s="16" t="s">
        <v>498</v>
      </c>
      <c r="K2832" s="2" t="s">
        <v>497</v>
      </c>
      <c r="L2832" s="8" t="s">
        <v>499</v>
      </c>
      <c r="M2832" s="8" t="s">
        <v>27</v>
      </c>
      <c r="N2832" s="8" t="s">
        <v>15439</v>
      </c>
      <c r="O2832" s="8" t="s">
        <v>554</v>
      </c>
      <c r="P2832" s="8" t="s">
        <v>405</v>
      </c>
      <c r="Q2832" s="12" t="s">
        <v>15440</v>
      </c>
      <c r="R2832" s="8" t="s">
        <v>100</v>
      </c>
      <c r="S2832" s="7" t="s">
        <v>28</v>
      </c>
      <c r="T2832" s="6"/>
      <c r="U2832" s="8"/>
    </row>
    <row r="2833" spans="1:39" ht="13.5" customHeight="1">
      <c r="A2833" s="8" t="s">
        <v>15431</v>
      </c>
      <c r="B2833" s="16">
        <v>42</v>
      </c>
      <c r="C2833" s="8" t="s">
        <v>20</v>
      </c>
      <c r="D2833" s="8" t="s">
        <v>48</v>
      </c>
      <c r="E2833" s="8" t="s">
        <v>15432</v>
      </c>
      <c r="F2833" s="17">
        <v>41482</v>
      </c>
      <c r="G2833" s="8" t="s">
        <v>15433</v>
      </c>
      <c r="H2833" s="8" t="s">
        <v>6521</v>
      </c>
      <c r="I2833" s="8" t="s">
        <v>62</v>
      </c>
      <c r="J2833" s="16">
        <v>33012</v>
      </c>
      <c r="K2833" s="2" t="s">
        <v>163</v>
      </c>
      <c r="L2833" s="8" t="s">
        <v>164</v>
      </c>
      <c r="M2833" s="8" t="s">
        <v>27</v>
      </c>
      <c r="N2833" s="8" t="s">
        <v>15434</v>
      </c>
      <c r="O2833" s="8" t="s">
        <v>29</v>
      </c>
      <c r="P2833" s="8" t="s">
        <v>405</v>
      </c>
      <c r="Q2833" s="12" t="s">
        <v>15435</v>
      </c>
      <c r="R2833" s="8" t="s">
        <v>100</v>
      </c>
      <c r="S2833" s="7" t="s">
        <v>28</v>
      </c>
      <c r="T2833" s="6"/>
      <c r="U2833" s="8"/>
    </row>
    <row r="2834" spans="1:39" ht="13.5" customHeight="1">
      <c r="A2834" s="8" t="s">
        <v>15441</v>
      </c>
      <c r="B2834" s="16">
        <v>49</v>
      </c>
      <c r="C2834" s="8" t="s">
        <v>115</v>
      </c>
      <c r="D2834" s="8" t="s">
        <v>30</v>
      </c>
      <c r="F2834" s="17">
        <v>41482</v>
      </c>
      <c r="G2834" s="8" t="s">
        <v>15442</v>
      </c>
      <c r="H2834" s="8" t="s">
        <v>3142</v>
      </c>
      <c r="I2834" s="8" t="s">
        <v>73</v>
      </c>
      <c r="J2834" s="16" t="s">
        <v>15443</v>
      </c>
      <c r="K2834" s="2" t="s">
        <v>15444</v>
      </c>
      <c r="L2834" s="8" t="s">
        <v>15445</v>
      </c>
      <c r="M2834" s="8" t="s">
        <v>27</v>
      </c>
      <c r="N2834" s="8" t="s">
        <v>15446</v>
      </c>
      <c r="O2834" s="8" t="s">
        <v>404</v>
      </c>
      <c r="P2834" s="8" t="s">
        <v>405</v>
      </c>
      <c r="Q2834" s="12" t="s">
        <v>15447</v>
      </c>
      <c r="R2834" s="8" t="s">
        <v>100</v>
      </c>
      <c r="S2834" s="7" t="s">
        <v>28</v>
      </c>
      <c r="T2834" s="6"/>
      <c r="U2834" s="8"/>
      <c r="Y2834" s="8"/>
      <c r="Z2834" s="8"/>
      <c r="AA2834" s="8"/>
      <c r="AB2834" s="8"/>
      <c r="AC2834" s="8"/>
      <c r="AD2834" s="8"/>
      <c r="AE2834" s="8"/>
      <c r="AF2834" s="8"/>
      <c r="AG2834" s="8"/>
      <c r="AH2834" s="8"/>
    </row>
    <row r="2835" spans="1:39" ht="13.5" customHeight="1">
      <c r="A2835" s="8" t="s">
        <v>15463</v>
      </c>
      <c r="B2835" s="16" t="s">
        <v>13885</v>
      </c>
      <c r="C2835" s="8" t="s">
        <v>20</v>
      </c>
      <c r="D2835" s="8" t="s">
        <v>85</v>
      </c>
      <c r="E2835" s="8" t="s">
        <v>15464</v>
      </c>
      <c r="F2835" s="17">
        <v>41481</v>
      </c>
      <c r="G2835" s="8" t="s">
        <v>15465</v>
      </c>
      <c r="H2835" s="8" t="s">
        <v>1326</v>
      </c>
      <c r="I2835" s="8" t="s">
        <v>73</v>
      </c>
      <c r="J2835" s="16" t="s">
        <v>15466</v>
      </c>
      <c r="K2835" s="2" t="s">
        <v>1327</v>
      </c>
      <c r="L2835" s="8" t="s">
        <v>1328</v>
      </c>
      <c r="M2835" s="8" t="s">
        <v>27</v>
      </c>
      <c r="N2835" s="8" t="s">
        <v>15467</v>
      </c>
      <c r="O2835" s="8" t="s">
        <v>1170</v>
      </c>
      <c r="P2835" s="8" t="s">
        <v>1171</v>
      </c>
      <c r="Q2835" s="12"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2835" s="8" t="s">
        <v>100</v>
      </c>
      <c r="S2835" s="7" t="s">
        <v>18</v>
      </c>
      <c r="T2835" s="6"/>
      <c r="U2835" s="8"/>
      <c r="Y2835" s="8"/>
      <c r="Z2835" s="8"/>
      <c r="AA2835" s="8"/>
      <c r="AB2835" s="8"/>
      <c r="AC2835" s="8"/>
      <c r="AD2835" s="8"/>
      <c r="AE2835" s="8"/>
      <c r="AF2835" s="8"/>
      <c r="AG2835" s="8"/>
      <c r="AH2835" s="8"/>
    </row>
    <row r="2836" spans="1:39" ht="13.5" customHeight="1">
      <c r="A2836" s="8" t="s">
        <v>15468</v>
      </c>
      <c r="B2836" s="16">
        <v>30</v>
      </c>
      <c r="C2836" s="8" t="s">
        <v>20</v>
      </c>
      <c r="D2836" s="8" t="s">
        <v>48</v>
      </c>
      <c r="E2836" s="8" t="s">
        <v>15469</v>
      </c>
      <c r="F2836" s="17">
        <v>41481</v>
      </c>
      <c r="G2836" s="8" t="s">
        <v>15470</v>
      </c>
      <c r="H2836" s="8" t="s">
        <v>6421</v>
      </c>
      <c r="I2836" s="8" t="s">
        <v>45</v>
      </c>
      <c r="J2836" s="16" t="s">
        <v>6422</v>
      </c>
      <c r="K2836" s="2" t="s">
        <v>65</v>
      </c>
      <c r="L2836" s="8" t="s">
        <v>6423</v>
      </c>
      <c r="M2836" s="8" t="s">
        <v>27</v>
      </c>
      <c r="N2836" s="8" t="s">
        <v>15471</v>
      </c>
      <c r="O2836" s="8" t="s">
        <v>1018</v>
      </c>
      <c r="P2836" s="8" t="s">
        <v>405</v>
      </c>
      <c r="Q2836" s="12" t="s">
        <v>15472</v>
      </c>
      <c r="R2836" s="8" t="s">
        <v>100</v>
      </c>
      <c r="S2836" s="7" t="s">
        <v>28</v>
      </c>
      <c r="T2836" s="6"/>
      <c r="U2836" s="8"/>
    </row>
    <row r="2837" spans="1:39" ht="13.5" customHeight="1">
      <c r="A2837" s="8" t="s">
        <v>15487</v>
      </c>
      <c r="B2837" s="16">
        <v>49</v>
      </c>
      <c r="C2837" s="8" t="s">
        <v>20</v>
      </c>
      <c r="D2837" s="8" t="s">
        <v>30</v>
      </c>
      <c r="F2837" s="17">
        <v>41480</v>
      </c>
      <c r="G2837" s="8" t="s">
        <v>15488</v>
      </c>
      <c r="H2837" s="8" t="s">
        <v>1115</v>
      </c>
      <c r="I2837" s="8" t="s">
        <v>370</v>
      </c>
      <c r="J2837" s="16" t="s">
        <v>15489</v>
      </c>
      <c r="K2837" s="2" t="s">
        <v>676</v>
      </c>
      <c r="L2837" s="8" t="s">
        <v>5075</v>
      </c>
      <c r="M2837" s="8" t="s">
        <v>27</v>
      </c>
      <c r="N2837" s="8" t="s">
        <v>15490</v>
      </c>
      <c r="O2837" s="8" t="s">
        <v>554</v>
      </c>
      <c r="P2837" s="8" t="s">
        <v>405</v>
      </c>
      <c r="Q2837" s="12" t="s">
        <v>15491</v>
      </c>
      <c r="R2837" s="8" t="s">
        <v>100</v>
      </c>
      <c r="S2837" s="7" t="s">
        <v>28</v>
      </c>
      <c r="T2837" s="6"/>
      <c r="U2837" s="8"/>
    </row>
    <row r="2838" spans="1:39" ht="13.5" customHeight="1">
      <c r="A2838" s="8" t="s">
        <v>15473</v>
      </c>
      <c r="B2838" s="16">
        <v>29</v>
      </c>
      <c r="C2838" s="8" t="s">
        <v>20</v>
      </c>
      <c r="D2838" s="8" t="s">
        <v>85</v>
      </c>
      <c r="E2838" s="8" t="s">
        <v>15474</v>
      </c>
      <c r="F2838" s="17">
        <v>41480</v>
      </c>
      <c r="G2838" s="8" t="s">
        <v>15475</v>
      </c>
      <c r="H2838" s="8" t="s">
        <v>15476</v>
      </c>
      <c r="I2838" s="8" t="s">
        <v>427</v>
      </c>
      <c r="J2838" s="16" t="s">
        <v>15477</v>
      </c>
      <c r="K2838" s="2" t="s">
        <v>1716</v>
      </c>
      <c r="L2838" s="8" t="s">
        <v>3391</v>
      </c>
      <c r="M2838" s="8" t="s">
        <v>1706</v>
      </c>
      <c r="N2838" s="8" t="s">
        <v>15478</v>
      </c>
      <c r="O2838" s="8" t="s">
        <v>1018</v>
      </c>
      <c r="P2838" s="8" t="s">
        <v>405</v>
      </c>
      <c r="Q2838" s="12" t="s">
        <v>15479</v>
      </c>
      <c r="R2838" s="8" t="s">
        <v>559</v>
      </c>
      <c r="S2838" s="7" t="s">
        <v>18</v>
      </c>
      <c r="T2838" s="6"/>
      <c r="U2838" s="8"/>
    </row>
    <row r="2839" spans="1:39" ht="13.5" customHeight="1">
      <c r="A2839" s="8" t="s">
        <v>15483</v>
      </c>
      <c r="B2839" s="16">
        <v>42</v>
      </c>
      <c r="C2839" s="8" t="s">
        <v>20</v>
      </c>
      <c r="D2839" s="8" t="s">
        <v>48</v>
      </c>
      <c r="F2839" s="17">
        <v>41480</v>
      </c>
      <c r="G2839" s="8" t="s">
        <v>15484</v>
      </c>
      <c r="H2839" s="8" t="s">
        <v>5259</v>
      </c>
      <c r="I2839" s="8" t="s">
        <v>45</v>
      </c>
      <c r="J2839" s="16" t="s">
        <v>9068</v>
      </c>
      <c r="K2839" s="2" t="s">
        <v>98</v>
      </c>
      <c r="L2839" s="8" t="s">
        <v>14360</v>
      </c>
      <c r="M2839" s="8" t="s">
        <v>27</v>
      </c>
      <c r="N2839" s="8" t="s">
        <v>15485</v>
      </c>
      <c r="O2839" s="8" t="s">
        <v>1018</v>
      </c>
      <c r="P2839" s="8" t="s">
        <v>405</v>
      </c>
      <c r="Q2839" s="12" t="s">
        <v>15486</v>
      </c>
      <c r="R2839" s="8" t="s">
        <v>29</v>
      </c>
      <c r="S2839" s="7" t="s">
        <v>35</v>
      </c>
      <c r="T2839" s="6"/>
      <c r="U2839" s="8"/>
    </row>
    <row r="2840" spans="1:39" ht="13.5" customHeight="1">
      <c r="A2840" s="8" t="s">
        <v>3288</v>
      </c>
      <c r="B2840" s="16">
        <v>42</v>
      </c>
      <c r="C2840" s="8" t="s">
        <v>20</v>
      </c>
      <c r="D2840" s="8" t="s">
        <v>48</v>
      </c>
      <c r="F2840" s="17">
        <v>41480</v>
      </c>
      <c r="G2840" s="8" t="s">
        <v>15480</v>
      </c>
      <c r="H2840" s="8" t="s">
        <v>5259</v>
      </c>
      <c r="I2840" s="8" t="s">
        <v>45</v>
      </c>
      <c r="J2840" s="16" t="s">
        <v>9068</v>
      </c>
      <c r="K2840" s="2" t="s">
        <v>98</v>
      </c>
      <c r="L2840" s="8" t="s">
        <v>5043</v>
      </c>
      <c r="M2840" s="8" t="s">
        <v>27</v>
      </c>
      <c r="N2840" s="8" t="s">
        <v>15481</v>
      </c>
      <c r="O2840" s="8" t="s">
        <v>404</v>
      </c>
      <c r="P2840" s="8" t="s">
        <v>405</v>
      </c>
      <c r="Q2840" s="12" t="s">
        <v>15482</v>
      </c>
      <c r="R2840" s="8" t="s">
        <v>100</v>
      </c>
      <c r="S2840" s="7" t="s">
        <v>18</v>
      </c>
      <c r="T2840" s="6"/>
      <c r="U2840" s="8"/>
    </row>
    <row r="2841" spans="1:39" ht="13.5" customHeight="1">
      <c r="A2841" s="8" t="s">
        <v>15492</v>
      </c>
      <c r="B2841" s="16">
        <v>32</v>
      </c>
      <c r="C2841" s="8" t="s">
        <v>20</v>
      </c>
      <c r="D2841" s="8" t="s">
        <v>37</v>
      </c>
      <c r="E2841" s="8" t="s">
        <v>15493</v>
      </c>
      <c r="F2841" s="17">
        <v>41479</v>
      </c>
      <c r="G2841" s="8" t="s">
        <v>15494</v>
      </c>
      <c r="H2841" s="8" t="s">
        <v>551</v>
      </c>
      <c r="I2841" s="8" t="s">
        <v>69</v>
      </c>
      <c r="J2841" s="16" t="s">
        <v>15495</v>
      </c>
      <c r="K2841" s="2" t="s">
        <v>552</v>
      </c>
      <c r="L2841" s="8" t="s">
        <v>553</v>
      </c>
      <c r="M2841" s="8" t="s">
        <v>27</v>
      </c>
      <c r="N2841" s="8" t="s">
        <v>15496</v>
      </c>
      <c r="O2841" s="8" t="s">
        <v>29</v>
      </c>
      <c r="P2841" s="8" t="s">
        <v>405</v>
      </c>
      <c r="Q2841" s="12" t="s">
        <v>15497</v>
      </c>
      <c r="R2841" s="8" t="s">
        <v>559</v>
      </c>
      <c r="S2841" s="7" t="s">
        <v>28</v>
      </c>
      <c r="T2841" s="6"/>
      <c r="U2841" s="8"/>
    </row>
    <row r="2842" spans="1:39" ht="13.5" customHeight="1">
      <c r="A2842" s="8" t="s">
        <v>15504</v>
      </c>
      <c r="B2842" s="16">
        <v>40</v>
      </c>
      <c r="C2842" s="8" t="s">
        <v>20</v>
      </c>
      <c r="D2842" s="8" t="s">
        <v>85</v>
      </c>
      <c r="E2842" s="8" t="s">
        <v>15505</v>
      </c>
      <c r="F2842" s="17">
        <v>41478</v>
      </c>
      <c r="G2842" s="8" t="s">
        <v>15506</v>
      </c>
      <c r="H2842" s="8" t="s">
        <v>12738</v>
      </c>
      <c r="I2842" s="8" t="s">
        <v>306</v>
      </c>
      <c r="J2842" s="16" t="s">
        <v>14093</v>
      </c>
      <c r="K2842" s="2" t="s">
        <v>14094</v>
      </c>
      <c r="L2842" s="8" t="s">
        <v>1645</v>
      </c>
      <c r="M2842" s="8" t="s">
        <v>3407</v>
      </c>
      <c r="N2842" s="8" t="s">
        <v>15507</v>
      </c>
      <c r="O2842" s="8" t="s">
        <v>404</v>
      </c>
      <c r="P2842" s="8" t="s">
        <v>405</v>
      </c>
      <c r="Q2842" s="12" t="s">
        <v>15508</v>
      </c>
      <c r="R2842" s="8" t="s">
        <v>100</v>
      </c>
      <c r="S2842" s="7" t="s">
        <v>18</v>
      </c>
      <c r="T2842" s="6"/>
      <c r="U2842" s="8"/>
    </row>
    <row r="2843" spans="1:39" ht="13.5" customHeight="1">
      <c r="A2843" s="8" t="s">
        <v>15509</v>
      </c>
      <c r="B2843" s="16">
        <v>43</v>
      </c>
      <c r="C2843" s="8" t="s">
        <v>20</v>
      </c>
      <c r="D2843" s="8" t="s">
        <v>30</v>
      </c>
      <c r="F2843" s="17">
        <v>41478</v>
      </c>
      <c r="G2843" s="8" t="s">
        <v>15510</v>
      </c>
      <c r="H2843" s="8" t="s">
        <v>3954</v>
      </c>
      <c r="I2843" s="8" t="s">
        <v>124</v>
      </c>
      <c r="J2843" s="16" t="s">
        <v>11266</v>
      </c>
      <c r="K2843" s="2" t="s">
        <v>639</v>
      </c>
      <c r="L2843" s="8" t="s">
        <v>15511</v>
      </c>
      <c r="M2843" s="8" t="s">
        <v>27</v>
      </c>
      <c r="N2843" s="8" t="s">
        <v>15512</v>
      </c>
      <c r="O2843" s="8" t="s">
        <v>29</v>
      </c>
      <c r="P2843" s="8" t="s">
        <v>405</v>
      </c>
      <c r="Q2843" s="12" t="s">
        <v>15513</v>
      </c>
      <c r="R2843" s="8" t="s">
        <v>100</v>
      </c>
      <c r="S2843" s="7" t="s">
        <v>18</v>
      </c>
      <c r="T2843" s="6"/>
      <c r="U2843" s="8"/>
    </row>
    <row r="2844" spans="1:39" ht="13.5" customHeight="1">
      <c r="A2844" s="8" t="s">
        <v>15498</v>
      </c>
      <c r="B2844" s="16">
        <v>35</v>
      </c>
      <c r="C2844" s="8" t="s">
        <v>20</v>
      </c>
      <c r="D2844" s="8" t="s">
        <v>21</v>
      </c>
      <c r="E2844" s="8" t="s">
        <v>15499</v>
      </c>
      <c r="F2844" s="17">
        <v>41478</v>
      </c>
      <c r="G2844" s="8" t="s">
        <v>15500</v>
      </c>
      <c r="H2844" s="8" t="s">
        <v>661</v>
      </c>
      <c r="I2844" s="8" t="s">
        <v>272</v>
      </c>
      <c r="J2844" s="16" t="s">
        <v>15501</v>
      </c>
      <c r="K2844" s="2" t="s">
        <v>574</v>
      </c>
      <c r="L2844" s="8" t="s">
        <v>575</v>
      </c>
      <c r="M2844" s="8" t="s">
        <v>27</v>
      </c>
      <c r="N2844" s="8" t="s">
        <v>15502</v>
      </c>
      <c r="O2844" s="8" t="s">
        <v>554</v>
      </c>
      <c r="P2844" s="8" t="s">
        <v>405</v>
      </c>
      <c r="Q2844" s="12" t="s">
        <v>15503</v>
      </c>
      <c r="R2844" s="8" t="s">
        <v>100</v>
      </c>
      <c r="S2844" s="7" t="s">
        <v>28</v>
      </c>
      <c r="T2844" s="6"/>
      <c r="U2844" s="8"/>
      <c r="AI2844" s="8"/>
      <c r="AJ2844" s="8"/>
      <c r="AK2844" s="8"/>
      <c r="AL2844" s="8"/>
      <c r="AM2844" s="8"/>
    </row>
    <row r="2845" spans="1:39" ht="13.5" customHeight="1">
      <c r="A2845" s="8" t="s">
        <v>15514</v>
      </c>
      <c r="B2845" s="16">
        <v>37</v>
      </c>
      <c r="C2845" s="8" t="s">
        <v>115</v>
      </c>
      <c r="D2845" s="8" t="s">
        <v>85</v>
      </c>
      <c r="E2845" s="8" t="s">
        <v>15515</v>
      </c>
      <c r="F2845" s="17">
        <v>41477</v>
      </c>
      <c r="G2845" s="8" t="s">
        <v>15516</v>
      </c>
      <c r="H2845" s="8" t="s">
        <v>762</v>
      </c>
      <c r="I2845" s="8" t="s">
        <v>427</v>
      </c>
      <c r="J2845" s="16" t="s">
        <v>15517</v>
      </c>
      <c r="K2845" s="2" t="s">
        <v>762</v>
      </c>
      <c r="L2845" s="8" t="s">
        <v>586</v>
      </c>
      <c r="M2845" s="8" t="s">
        <v>3407</v>
      </c>
      <c r="N2845" s="8" t="s">
        <v>15518</v>
      </c>
      <c r="O2845" s="8" t="s">
        <v>404</v>
      </c>
      <c r="P2845" s="8" t="s">
        <v>405</v>
      </c>
      <c r="Q2845" s="12" t="s">
        <v>15519</v>
      </c>
      <c r="R2845" s="8" t="s">
        <v>100</v>
      </c>
      <c r="S2845" s="7" t="s">
        <v>18</v>
      </c>
      <c r="T2845" s="6"/>
      <c r="U2845" s="8"/>
    </row>
    <row r="2846" spans="1:39" ht="13.5" customHeight="1">
      <c r="A2846" s="8" t="s">
        <v>15520</v>
      </c>
      <c r="B2846" s="16">
        <v>21</v>
      </c>
      <c r="C2846" s="8" t="s">
        <v>20</v>
      </c>
      <c r="D2846" s="8" t="s">
        <v>85</v>
      </c>
      <c r="E2846" s="8" t="s">
        <v>15521</v>
      </c>
      <c r="F2846" s="17">
        <v>41477</v>
      </c>
      <c r="G2846" s="8" t="s">
        <v>15522</v>
      </c>
      <c r="H2846" s="8" t="s">
        <v>1110</v>
      </c>
      <c r="I2846" s="8" t="s">
        <v>408</v>
      </c>
      <c r="J2846" s="16" t="s">
        <v>15523</v>
      </c>
      <c r="K2846" s="2" t="s">
        <v>1110</v>
      </c>
      <c r="L2846" s="8" t="s">
        <v>1111</v>
      </c>
      <c r="M2846" s="8" t="s">
        <v>27</v>
      </c>
      <c r="N2846" s="8" t="s">
        <v>15524</v>
      </c>
      <c r="O2846" s="8" t="s">
        <v>554</v>
      </c>
      <c r="P2846" s="8" t="s">
        <v>405</v>
      </c>
      <c r="Q2846" s="12" t="s">
        <v>15525</v>
      </c>
      <c r="R2846" s="8" t="s">
        <v>100</v>
      </c>
      <c r="S2846" s="7" t="s">
        <v>28</v>
      </c>
      <c r="T2846" s="6"/>
      <c r="U2846" s="8"/>
    </row>
    <row r="2847" spans="1:39" ht="13.5" customHeight="1">
      <c r="A2847" s="8" t="s">
        <v>15526</v>
      </c>
      <c r="B2847" s="16">
        <v>40</v>
      </c>
      <c r="C2847" s="8" t="s">
        <v>20</v>
      </c>
      <c r="D2847" s="8" t="s">
        <v>48</v>
      </c>
      <c r="F2847" s="17">
        <v>41477</v>
      </c>
      <c r="G2847" s="8" t="s">
        <v>15527</v>
      </c>
      <c r="H2847" s="8" t="s">
        <v>15528</v>
      </c>
      <c r="I2847" s="8" t="s">
        <v>374</v>
      </c>
      <c r="J2847" s="16" t="s">
        <v>15529</v>
      </c>
      <c r="K2847" s="2" t="s">
        <v>3324</v>
      </c>
      <c r="L2847" s="8" t="s">
        <v>15530</v>
      </c>
      <c r="M2847" s="8" t="s">
        <v>15531</v>
      </c>
      <c r="N2847" s="8" t="s">
        <v>15532</v>
      </c>
      <c r="O2847" s="8" t="s">
        <v>404</v>
      </c>
      <c r="P2847" s="8" t="s">
        <v>405</v>
      </c>
      <c r="Q2847" s="12" t="s">
        <v>15533</v>
      </c>
      <c r="R2847" s="8" t="s">
        <v>100</v>
      </c>
      <c r="S2847" s="7" t="s">
        <v>18</v>
      </c>
      <c r="T2847" s="6"/>
      <c r="U2847" s="8"/>
    </row>
    <row r="2848" spans="1:39" ht="13.5" customHeight="1">
      <c r="A2848" s="8" t="s">
        <v>15534</v>
      </c>
      <c r="B2848" s="16">
        <v>28</v>
      </c>
      <c r="C2848" s="8" t="s">
        <v>20</v>
      </c>
      <c r="D2848" s="8" t="s">
        <v>85</v>
      </c>
      <c r="E2848" s="8" t="s">
        <v>15535</v>
      </c>
      <c r="F2848" s="17">
        <v>41476</v>
      </c>
      <c r="G2848" s="8" t="s">
        <v>15536</v>
      </c>
      <c r="H2848" s="8" t="s">
        <v>227</v>
      </c>
      <c r="I2848" s="8" t="s">
        <v>228</v>
      </c>
      <c r="J2848" s="16" t="s">
        <v>15537</v>
      </c>
      <c r="K2848" s="2" t="s">
        <v>3858</v>
      </c>
      <c r="L2848" s="8" t="s">
        <v>229</v>
      </c>
      <c r="M2848" s="8" t="s">
        <v>1706</v>
      </c>
      <c r="N2848" s="8" t="s">
        <v>15538</v>
      </c>
      <c r="O2848" s="8" t="s">
        <v>1018</v>
      </c>
      <c r="P2848" s="8" t="s">
        <v>405</v>
      </c>
      <c r="Q2848" s="12" t="s">
        <v>15539</v>
      </c>
      <c r="R2848" s="8" t="s">
        <v>100</v>
      </c>
      <c r="S2848" s="7" t="s">
        <v>18</v>
      </c>
      <c r="T2848" s="6"/>
      <c r="U2848" s="8"/>
      <c r="V2848" s="8"/>
      <c r="W2848" s="8"/>
      <c r="X2848" s="8"/>
    </row>
    <row r="2849" spans="1:39" ht="13.5" customHeight="1">
      <c r="A2849" s="8" t="s">
        <v>15548</v>
      </c>
      <c r="B2849" s="16">
        <v>28</v>
      </c>
      <c r="C2849" s="8" t="s">
        <v>20</v>
      </c>
      <c r="D2849" s="8" t="s">
        <v>37</v>
      </c>
      <c r="E2849" s="8" t="s">
        <v>15549</v>
      </c>
      <c r="F2849" s="17">
        <v>41476</v>
      </c>
      <c r="G2849" s="8" t="s">
        <v>15550</v>
      </c>
      <c r="H2849" s="8" t="s">
        <v>15551</v>
      </c>
      <c r="I2849" s="8" t="s">
        <v>370</v>
      </c>
      <c r="J2849" s="16" t="s">
        <v>15552</v>
      </c>
      <c r="K2849" s="2" t="s">
        <v>15551</v>
      </c>
      <c r="L2849" s="8" t="s">
        <v>15553</v>
      </c>
      <c r="M2849" s="8" t="s">
        <v>27</v>
      </c>
      <c r="N2849" s="8" t="s">
        <v>15554</v>
      </c>
      <c r="O2849" s="8" t="s">
        <v>554</v>
      </c>
      <c r="P2849" s="8" t="s">
        <v>405</v>
      </c>
      <c r="Q2849" s="12" t="str">
        <f>HYPERLINK("http://www.wral.com/suspect-killed-in-officer-involved-shooting-identified/12688890/","http://www.wral.com/suspect-killed-in-officer-involved-shooting-identified/12688890/")</f>
        <v>http://www.wral.com/suspect-killed-in-officer-involved-shooting-identified/12688890/</v>
      </c>
      <c r="R2849" s="8" t="s">
        <v>100</v>
      </c>
      <c r="S2849" s="7" t="s">
        <v>28</v>
      </c>
      <c r="T2849" s="6"/>
      <c r="U2849" s="8"/>
      <c r="V2849" s="8"/>
      <c r="W2849" s="8"/>
      <c r="X2849" s="8"/>
    </row>
    <row r="2850" spans="1:39" ht="13.5" customHeight="1">
      <c r="A2850" s="8" t="s">
        <v>15540</v>
      </c>
      <c r="B2850" s="16">
        <v>36</v>
      </c>
      <c r="C2850" s="8" t="s">
        <v>20</v>
      </c>
      <c r="D2850" s="8" t="s">
        <v>37</v>
      </c>
      <c r="E2850" s="8" t="s">
        <v>15541</v>
      </c>
      <c r="F2850" s="17">
        <v>41476</v>
      </c>
      <c r="G2850" s="8" t="s">
        <v>15542</v>
      </c>
      <c r="H2850" s="8" t="s">
        <v>15543</v>
      </c>
      <c r="I2850" s="8" t="s">
        <v>1733</v>
      </c>
      <c r="J2850" s="16" t="s">
        <v>15544</v>
      </c>
      <c r="K2850" s="2" t="s">
        <v>15543</v>
      </c>
      <c r="L2850" s="8" t="s">
        <v>15545</v>
      </c>
      <c r="M2850" s="8" t="s">
        <v>27</v>
      </c>
      <c r="N2850" s="8" t="s">
        <v>15546</v>
      </c>
      <c r="O2850" s="8" t="s">
        <v>1018</v>
      </c>
      <c r="P2850" s="8" t="s">
        <v>405</v>
      </c>
      <c r="Q2850" s="12" t="s">
        <v>15547</v>
      </c>
      <c r="R2850" s="8" t="s">
        <v>100</v>
      </c>
      <c r="S2850" s="7" t="s">
        <v>28</v>
      </c>
      <c r="T2850" s="6"/>
      <c r="U2850" s="8"/>
    </row>
    <row r="2851" spans="1:39" ht="13.5" customHeight="1">
      <c r="A2851" s="8" t="s">
        <v>15561</v>
      </c>
      <c r="B2851" s="16">
        <v>24</v>
      </c>
      <c r="C2851" s="8" t="s">
        <v>20</v>
      </c>
      <c r="D2851" s="8" t="s">
        <v>30</v>
      </c>
      <c r="F2851" s="17">
        <v>41475</v>
      </c>
      <c r="G2851" s="8" t="s">
        <v>15562</v>
      </c>
      <c r="H2851" s="8" t="s">
        <v>4145</v>
      </c>
      <c r="I2851" s="8" t="s">
        <v>175</v>
      </c>
      <c r="J2851" s="16" t="s">
        <v>4146</v>
      </c>
      <c r="K2851" s="2" t="s">
        <v>3345</v>
      </c>
      <c r="L2851" s="8" t="s">
        <v>15563</v>
      </c>
      <c r="M2851" s="8" t="s">
        <v>27</v>
      </c>
      <c r="N2851" s="8" t="s">
        <v>15564</v>
      </c>
      <c r="O2851" s="8" t="s">
        <v>1018</v>
      </c>
      <c r="P2851" s="8" t="s">
        <v>405</v>
      </c>
      <c r="Q2851" s="12" t="s">
        <v>15565</v>
      </c>
      <c r="R2851" s="8" t="s">
        <v>100</v>
      </c>
      <c r="S2851" s="7" t="s">
        <v>28</v>
      </c>
      <c r="T2851" s="6"/>
      <c r="U2851" s="8"/>
    </row>
    <row r="2852" spans="1:39" ht="13.5" customHeight="1">
      <c r="A2852" s="8" t="s">
        <v>15555</v>
      </c>
      <c r="B2852" s="16">
        <v>49</v>
      </c>
      <c r="C2852" s="8" t="s">
        <v>20</v>
      </c>
      <c r="D2852" s="8" t="s">
        <v>30</v>
      </c>
      <c r="F2852" s="17">
        <v>41475</v>
      </c>
      <c r="G2852" s="8" t="s">
        <v>15556</v>
      </c>
      <c r="H2852" s="8" t="s">
        <v>15557</v>
      </c>
      <c r="I2852" s="8" t="s">
        <v>52</v>
      </c>
      <c r="J2852" s="16" t="s">
        <v>15558</v>
      </c>
      <c r="K2852" s="2" t="s">
        <v>1608</v>
      </c>
      <c r="L2852" s="8" t="s">
        <v>234</v>
      </c>
      <c r="M2852" s="8" t="s">
        <v>27</v>
      </c>
      <c r="N2852" s="8" t="s">
        <v>15559</v>
      </c>
      <c r="O2852" s="8" t="s">
        <v>1018</v>
      </c>
      <c r="P2852" s="8" t="s">
        <v>405</v>
      </c>
      <c r="Q2852" s="12" t="s">
        <v>15560</v>
      </c>
      <c r="R2852" s="8" t="s">
        <v>100</v>
      </c>
      <c r="S2852" s="7" t="s">
        <v>28</v>
      </c>
      <c r="T2852" s="6"/>
      <c r="U2852" s="8"/>
    </row>
    <row r="2853" spans="1:39" ht="13.5" customHeight="1">
      <c r="A2853" s="8" t="s">
        <v>15577</v>
      </c>
      <c r="B2853" s="16" t="s">
        <v>15578</v>
      </c>
      <c r="C2853" s="8" t="s">
        <v>20</v>
      </c>
      <c r="D2853" s="8" t="s">
        <v>37</v>
      </c>
      <c r="E2853" s="8" t="s">
        <v>15579</v>
      </c>
      <c r="F2853" s="17">
        <v>41474</v>
      </c>
      <c r="G2853" s="8" t="s">
        <v>15580</v>
      </c>
      <c r="H2853" s="8" t="s">
        <v>15581</v>
      </c>
      <c r="I2853" s="8" t="s">
        <v>862</v>
      </c>
      <c r="J2853" s="16" t="s">
        <v>15582</v>
      </c>
      <c r="K2853" s="2" t="s">
        <v>863</v>
      </c>
      <c r="L2853" s="8" t="s">
        <v>15583</v>
      </c>
      <c r="M2853" s="8" t="s">
        <v>27</v>
      </c>
      <c r="N2853" s="8" t="s">
        <v>15584</v>
      </c>
      <c r="O2853" s="8" t="s">
        <v>29</v>
      </c>
      <c r="P2853" s="8" t="s">
        <v>405</v>
      </c>
      <c r="Q2853" s="12" t="s">
        <v>15585</v>
      </c>
      <c r="R2853" s="8" t="s">
        <v>100</v>
      </c>
      <c r="S2853" s="7" t="s">
        <v>28</v>
      </c>
      <c r="T2853" s="6"/>
      <c r="U2853" s="8"/>
    </row>
    <row r="2854" spans="1:39" ht="13.5" customHeight="1">
      <c r="A2854" s="8" t="s">
        <v>15566</v>
      </c>
      <c r="B2854" s="16">
        <v>47</v>
      </c>
      <c r="C2854" s="8" t="s">
        <v>20</v>
      </c>
      <c r="D2854" s="8" t="s">
        <v>85</v>
      </c>
      <c r="E2854" s="8" t="s">
        <v>15567</v>
      </c>
      <c r="F2854" s="17">
        <v>41474</v>
      </c>
      <c r="G2854" s="8" t="s">
        <v>15568</v>
      </c>
      <c r="H2854" s="8" t="s">
        <v>4944</v>
      </c>
      <c r="I2854" s="8" t="s">
        <v>45</v>
      </c>
      <c r="J2854" s="16" t="s">
        <v>4945</v>
      </c>
      <c r="K2854" s="2" t="s">
        <v>3463</v>
      </c>
      <c r="L2854" s="8" t="s">
        <v>4946</v>
      </c>
      <c r="M2854" s="8" t="s">
        <v>27</v>
      </c>
      <c r="N2854" s="8" t="s">
        <v>15569</v>
      </c>
      <c r="O2854" s="8" t="s">
        <v>554</v>
      </c>
      <c r="P2854" s="8" t="s">
        <v>405</v>
      </c>
      <c r="Q2854" s="12" t="s">
        <v>15570</v>
      </c>
      <c r="R2854" s="8" t="s">
        <v>100</v>
      </c>
      <c r="S2854" s="7" t="s">
        <v>28</v>
      </c>
      <c r="T2854" s="6"/>
      <c r="U2854" s="8"/>
    </row>
    <row r="2855" spans="1:39" ht="13.5" customHeight="1">
      <c r="A2855" s="8" t="s">
        <v>15571</v>
      </c>
      <c r="B2855" s="16">
        <v>29</v>
      </c>
      <c r="C2855" s="8" t="s">
        <v>20</v>
      </c>
      <c r="D2855" s="8" t="s">
        <v>48</v>
      </c>
      <c r="E2855" s="8" t="s">
        <v>15572</v>
      </c>
      <c r="F2855" s="17">
        <v>41474</v>
      </c>
      <c r="G2855" s="8" t="s">
        <v>15573</v>
      </c>
      <c r="H2855" s="8" t="s">
        <v>975</v>
      </c>
      <c r="I2855" s="8" t="s">
        <v>45</v>
      </c>
      <c r="J2855" s="16" t="s">
        <v>15574</v>
      </c>
      <c r="K2855" s="2" t="s">
        <v>98</v>
      </c>
      <c r="L2855" s="8" t="s">
        <v>5043</v>
      </c>
      <c r="M2855" s="8" t="s">
        <v>27</v>
      </c>
      <c r="N2855" s="8" t="s">
        <v>15575</v>
      </c>
      <c r="O2855" s="8" t="s">
        <v>1018</v>
      </c>
      <c r="P2855" s="8" t="s">
        <v>405</v>
      </c>
      <c r="Q2855" s="12" t="s">
        <v>15576</v>
      </c>
      <c r="R2855" s="8" t="s">
        <v>29</v>
      </c>
      <c r="S2855" s="7" t="s">
        <v>35</v>
      </c>
      <c r="T2855" s="6"/>
      <c r="U2855" s="8"/>
      <c r="V2855" s="8"/>
      <c r="W2855" s="8"/>
      <c r="X2855" s="8"/>
    </row>
    <row r="2856" spans="1:39" ht="13.5" customHeight="1">
      <c r="A2856" s="8" t="s">
        <v>15586</v>
      </c>
      <c r="B2856" s="16">
        <v>46</v>
      </c>
      <c r="C2856" s="8" t="s">
        <v>20</v>
      </c>
      <c r="D2856" s="8" t="s">
        <v>37</v>
      </c>
      <c r="E2856" s="8" t="s">
        <v>15587</v>
      </c>
      <c r="F2856" s="17">
        <v>41474</v>
      </c>
      <c r="G2856" s="8" t="s">
        <v>15588</v>
      </c>
      <c r="H2856" s="8" t="s">
        <v>15589</v>
      </c>
      <c r="I2856" s="8" t="s">
        <v>408</v>
      </c>
      <c r="J2856" s="16" t="s">
        <v>15590</v>
      </c>
      <c r="K2856" s="2" t="s">
        <v>12138</v>
      </c>
      <c r="L2856" s="8" t="s">
        <v>9453</v>
      </c>
      <c r="M2856" s="8" t="s">
        <v>27</v>
      </c>
      <c r="N2856" s="8" t="s">
        <v>15591</v>
      </c>
      <c r="O2856" s="8" t="s">
        <v>1018</v>
      </c>
      <c r="P2856" s="8" t="s">
        <v>405</v>
      </c>
      <c r="Q2856" s="12" t="s">
        <v>15592</v>
      </c>
      <c r="R2856" s="8" t="s">
        <v>100</v>
      </c>
      <c r="S2856" s="7" t="s">
        <v>28</v>
      </c>
      <c r="T2856" s="6"/>
      <c r="U2856" s="8"/>
    </row>
    <row r="2857" spans="1:39" ht="13.5" customHeight="1">
      <c r="A2857" s="8" t="s">
        <v>15609</v>
      </c>
      <c r="B2857" s="16">
        <v>23</v>
      </c>
      <c r="C2857" s="8" t="s">
        <v>20</v>
      </c>
      <c r="D2857" s="8" t="s">
        <v>85</v>
      </c>
      <c r="F2857" s="17">
        <v>41473</v>
      </c>
      <c r="G2857" s="8" t="s">
        <v>15610</v>
      </c>
      <c r="H2857" s="8" t="s">
        <v>15611</v>
      </c>
      <c r="I2857" s="8" t="s">
        <v>62</v>
      </c>
      <c r="J2857" s="16" t="s">
        <v>15612</v>
      </c>
      <c r="K2857" s="2" t="s">
        <v>1134</v>
      </c>
      <c r="L2857" s="8" t="s">
        <v>4438</v>
      </c>
      <c r="M2857" s="8" t="s">
        <v>27</v>
      </c>
      <c r="N2857" s="8" t="s">
        <v>15613</v>
      </c>
      <c r="O2857" s="8" t="s">
        <v>554</v>
      </c>
      <c r="P2857" s="8" t="s">
        <v>405</v>
      </c>
      <c r="Q2857" s="12" t="s">
        <v>15614</v>
      </c>
      <c r="R2857" s="8" t="s">
        <v>100</v>
      </c>
      <c r="S2857" s="7" t="s">
        <v>28</v>
      </c>
      <c r="T2857" s="6"/>
      <c r="U2857" s="8"/>
    </row>
    <row r="2858" spans="1:39" ht="13.5" customHeight="1">
      <c r="A2858" s="8" t="s">
        <v>15622</v>
      </c>
      <c r="B2858" s="16">
        <v>37</v>
      </c>
      <c r="C2858" s="8" t="s">
        <v>20</v>
      </c>
      <c r="D2858" s="8" t="s">
        <v>30</v>
      </c>
      <c r="F2858" s="17">
        <v>41473</v>
      </c>
      <c r="G2858" s="8" t="s">
        <v>15623</v>
      </c>
      <c r="H2858" s="8" t="s">
        <v>15624</v>
      </c>
      <c r="I2858" s="8" t="s">
        <v>118</v>
      </c>
      <c r="J2858" s="16" t="s">
        <v>15625</v>
      </c>
      <c r="K2858" s="2" t="s">
        <v>7603</v>
      </c>
      <c r="L2858" s="8" t="s">
        <v>15626</v>
      </c>
      <c r="M2858" s="8" t="s">
        <v>383</v>
      </c>
      <c r="N2858" s="8" t="s">
        <v>15627</v>
      </c>
      <c r="O2858" s="8" t="s">
        <v>1018</v>
      </c>
      <c r="P2858" s="8" t="s">
        <v>405</v>
      </c>
      <c r="Q2858" s="12" t="s">
        <v>15628</v>
      </c>
      <c r="R2858" s="8" t="s">
        <v>100</v>
      </c>
      <c r="S2858" s="7" t="s">
        <v>383</v>
      </c>
      <c r="T2858" s="6"/>
      <c r="U2858" s="8"/>
    </row>
    <row r="2859" spans="1:39" ht="13.5" customHeight="1">
      <c r="A2859" s="8" t="s">
        <v>15615</v>
      </c>
      <c r="B2859" s="16">
        <v>24</v>
      </c>
      <c r="C2859" s="8" t="s">
        <v>20</v>
      </c>
      <c r="D2859" s="8" t="s">
        <v>85</v>
      </c>
      <c r="F2859" s="17">
        <v>41473</v>
      </c>
      <c r="G2859" s="8" t="s">
        <v>15616</v>
      </c>
      <c r="H2859" s="8" t="s">
        <v>15617</v>
      </c>
      <c r="I2859" s="8" t="s">
        <v>45</v>
      </c>
      <c r="J2859" s="16" t="s">
        <v>15618</v>
      </c>
      <c r="K2859" s="2" t="s">
        <v>3463</v>
      </c>
      <c r="L2859" s="8" t="s">
        <v>15619</v>
      </c>
      <c r="M2859" s="8" t="s">
        <v>27</v>
      </c>
      <c r="N2859" s="8" t="s">
        <v>15620</v>
      </c>
      <c r="O2859" s="8" t="s">
        <v>29</v>
      </c>
      <c r="P2859" s="8" t="s">
        <v>405</v>
      </c>
      <c r="Q2859" s="12" t="s">
        <v>15621</v>
      </c>
      <c r="R2859" s="8" t="s">
        <v>100</v>
      </c>
      <c r="S2859" s="7" t="s">
        <v>28</v>
      </c>
      <c r="T2859" s="6"/>
      <c r="U2859" s="8"/>
    </row>
    <row r="2860" spans="1:39" ht="13.5" customHeight="1">
      <c r="A2860" s="8" t="s">
        <v>15593</v>
      </c>
      <c r="B2860" s="16">
        <v>34</v>
      </c>
      <c r="C2860" s="8" t="s">
        <v>20</v>
      </c>
      <c r="D2860" s="8" t="s">
        <v>21</v>
      </c>
      <c r="F2860" s="17">
        <v>41473</v>
      </c>
      <c r="G2860" s="8" t="s">
        <v>15594</v>
      </c>
      <c r="H2860" s="8" t="s">
        <v>51</v>
      </c>
      <c r="I2860" s="8" t="s">
        <v>32</v>
      </c>
      <c r="J2860" s="16" t="s">
        <v>15595</v>
      </c>
      <c r="K2860" s="2" t="s">
        <v>2615</v>
      </c>
      <c r="L2860" s="8" t="s">
        <v>11202</v>
      </c>
      <c r="M2860" s="8" t="s">
        <v>27</v>
      </c>
      <c r="N2860" s="8" t="s">
        <v>15596</v>
      </c>
      <c r="O2860" s="8" t="s">
        <v>404</v>
      </c>
      <c r="P2860" s="8" t="s">
        <v>405</v>
      </c>
      <c r="Q2860" s="12" t="s">
        <v>15597</v>
      </c>
      <c r="R2860" s="8" t="s">
        <v>100</v>
      </c>
      <c r="S2860" s="7" t="s">
        <v>28</v>
      </c>
      <c r="T2860" s="6"/>
      <c r="U2860" s="8"/>
      <c r="AI2860" s="8"/>
      <c r="AJ2860" s="8"/>
      <c r="AK2860" s="8"/>
      <c r="AL2860" s="8"/>
      <c r="AM2860" s="8"/>
    </row>
    <row r="2861" spans="1:39" ht="13.5" customHeight="1">
      <c r="A2861" s="8" t="s">
        <v>15598</v>
      </c>
      <c r="B2861" s="16">
        <v>42</v>
      </c>
      <c r="C2861" s="8" t="s">
        <v>20</v>
      </c>
      <c r="D2861" s="8" t="s">
        <v>85</v>
      </c>
      <c r="F2861" s="17">
        <v>41473</v>
      </c>
      <c r="G2861" s="8" t="s">
        <v>15599</v>
      </c>
      <c r="H2861" s="8" t="s">
        <v>608</v>
      </c>
      <c r="I2861" s="8" t="s">
        <v>45</v>
      </c>
      <c r="J2861" s="16" t="s">
        <v>15600</v>
      </c>
      <c r="K2861" s="2" t="s">
        <v>608</v>
      </c>
      <c r="L2861" s="8" t="s">
        <v>15601</v>
      </c>
      <c r="M2861" s="8" t="s">
        <v>27</v>
      </c>
      <c r="N2861" s="8" t="s">
        <v>15602</v>
      </c>
      <c r="O2861" s="8" t="s">
        <v>4742</v>
      </c>
      <c r="P2861" s="8" t="s">
        <v>405</v>
      </c>
      <c r="Q2861" s="12" t="s">
        <v>15603</v>
      </c>
      <c r="R2861" s="8" t="s">
        <v>100</v>
      </c>
      <c r="S2861" s="7" t="s">
        <v>28</v>
      </c>
      <c r="T2861" s="6"/>
      <c r="U2861" s="8"/>
      <c r="Y2861" s="8"/>
      <c r="Z2861" s="8"/>
      <c r="AA2861" s="8"/>
      <c r="AB2861" s="8"/>
      <c r="AC2861" s="8"/>
      <c r="AD2861" s="8"/>
      <c r="AE2861" s="8"/>
      <c r="AF2861" s="8"/>
      <c r="AG2861" s="8"/>
      <c r="AH2861" s="8"/>
    </row>
    <row r="2862" spans="1:39" ht="13.5" customHeight="1">
      <c r="A2862" s="8" t="s">
        <v>15604</v>
      </c>
      <c r="B2862" s="16">
        <v>44</v>
      </c>
      <c r="C2862" s="8" t="s">
        <v>20</v>
      </c>
      <c r="D2862" s="8" t="s">
        <v>85</v>
      </c>
      <c r="E2862" s="8" t="s">
        <v>15605</v>
      </c>
      <c r="F2862" s="17">
        <v>41473</v>
      </c>
      <c r="G2862" s="8" t="s">
        <v>15606</v>
      </c>
      <c r="H2862" s="8" t="s">
        <v>1608</v>
      </c>
      <c r="I2862" s="8" t="s">
        <v>52</v>
      </c>
      <c r="J2862" s="16" t="s">
        <v>10146</v>
      </c>
      <c r="K2862" s="2" t="s">
        <v>4755</v>
      </c>
      <c r="L2862" s="8" t="s">
        <v>2799</v>
      </c>
      <c r="M2862" s="8" t="s">
        <v>3189</v>
      </c>
      <c r="N2862" s="8" t="s">
        <v>15607</v>
      </c>
      <c r="O2862" s="8" t="s">
        <v>554</v>
      </c>
      <c r="P2862" s="8" t="s">
        <v>405</v>
      </c>
      <c r="Q2862" s="12" t="s">
        <v>15608</v>
      </c>
      <c r="R2862" s="8" t="s">
        <v>100</v>
      </c>
      <c r="S2862" s="7" t="s">
        <v>18</v>
      </c>
      <c r="T2862" s="6"/>
      <c r="U2862" s="8"/>
    </row>
    <row r="2863" spans="1:39" ht="13.5" customHeight="1">
      <c r="A2863" s="8" t="s">
        <v>15629</v>
      </c>
      <c r="B2863" s="16">
        <v>19</v>
      </c>
      <c r="C2863" s="8" t="s">
        <v>20</v>
      </c>
      <c r="D2863" s="8" t="s">
        <v>48</v>
      </c>
      <c r="E2863" s="8" t="s">
        <v>15630</v>
      </c>
      <c r="F2863" s="17">
        <v>41472</v>
      </c>
      <c r="G2863" s="8" t="s">
        <v>15631</v>
      </c>
      <c r="H2863" s="8" t="s">
        <v>288</v>
      </c>
      <c r="I2863" s="8" t="s">
        <v>73</v>
      </c>
      <c r="J2863" s="16" t="s">
        <v>7707</v>
      </c>
      <c r="K2863" s="2" t="s">
        <v>288</v>
      </c>
      <c r="L2863" s="8" t="s">
        <v>289</v>
      </c>
      <c r="M2863" s="8" t="s">
        <v>27</v>
      </c>
      <c r="N2863" s="8" t="s">
        <v>15632</v>
      </c>
      <c r="O2863" s="8" t="s">
        <v>554</v>
      </c>
      <c r="P2863" s="8" t="s">
        <v>405</v>
      </c>
      <c r="Q2863" s="12"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2863" s="8" t="s">
        <v>29</v>
      </c>
      <c r="S2863" s="7" t="s">
        <v>18</v>
      </c>
      <c r="T2863" s="6"/>
      <c r="U2863" s="8"/>
    </row>
    <row r="2864" spans="1:39" ht="13.5" customHeight="1">
      <c r="A2864" s="8" t="s">
        <v>15633</v>
      </c>
      <c r="B2864" s="16">
        <v>38</v>
      </c>
      <c r="C2864" s="8" t="s">
        <v>20</v>
      </c>
      <c r="D2864" s="8" t="s">
        <v>37</v>
      </c>
      <c r="E2864" s="8" t="s">
        <v>15634</v>
      </c>
      <c r="F2864" s="17">
        <v>41472</v>
      </c>
      <c r="G2864" s="8" t="s">
        <v>15635</v>
      </c>
      <c r="H2864" s="8" t="s">
        <v>255</v>
      </c>
      <c r="I2864" s="8" t="s">
        <v>45</v>
      </c>
      <c r="J2864" s="16" t="s">
        <v>15636</v>
      </c>
      <c r="K2864" s="2" t="s">
        <v>7629</v>
      </c>
      <c r="L2864" s="8" t="s">
        <v>15637</v>
      </c>
      <c r="M2864" s="8" t="s">
        <v>27</v>
      </c>
      <c r="N2864" s="8" t="s">
        <v>15638</v>
      </c>
      <c r="O2864" s="8" t="s">
        <v>554</v>
      </c>
      <c r="P2864" s="8" t="s">
        <v>405</v>
      </c>
      <c r="Q2864" s="12" t="s">
        <v>15639</v>
      </c>
      <c r="R2864" s="8" t="s">
        <v>100</v>
      </c>
      <c r="S2864" s="7" t="s">
        <v>28</v>
      </c>
      <c r="T2864" s="6"/>
      <c r="U2864" s="8"/>
    </row>
    <row r="2865" spans="1:39" ht="13.5" customHeight="1">
      <c r="A2865" s="8" t="s">
        <v>15646</v>
      </c>
      <c r="B2865" s="16">
        <v>39</v>
      </c>
      <c r="C2865" s="8" t="s">
        <v>20</v>
      </c>
      <c r="D2865" s="8" t="s">
        <v>85</v>
      </c>
      <c r="E2865" s="8" t="s">
        <v>15647</v>
      </c>
      <c r="F2865" s="17">
        <v>41471</v>
      </c>
      <c r="G2865" s="8" t="s">
        <v>15648</v>
      </c>
      <c r="H2865" s="8" t="s">
        <v>13659</v>
      </c>
      <c r="I2865" s="8" t="s">
        <v>62</v>
      </c>
      <c r="J2865" s="16" t="s">
        <v>15649</v>
      </c>
      <c r="K2865" s="2" t="s">
        <v>2331</v>
      </c>
      <c r="L2865" s="8" t="s">
        <v>14296</v>
      </c>
      <c r="M2865" s="8" t="s">
        <v>27</v>
      </c>
      <c r="N2865" s="8" t="s">
        <v>15650</v>
      </c>
      <c r="O2865" s="8" t="s">
        <v>554</v>
      </c>
      <c r="P2865" s="8" t="s">
        <v>405</v>
      </c>
      <c r="Q2865" s="12" t="s">
        <v>15651</v>
      </c>
      <c r="R2865" s="8" t="s">
        <v>100</v>
      </c>
      <c r="S2865" s="7" t="s">
        <v>28</v>
      </c>
      <c r="T2865" s="6"/>
      <c r="U2865" s="8"/>
    </row>
    <row r="2866" spans="1:39" ht="13.5" customHeight="1">
      <c r="A2866" s="8" t="s">
        <v>15640</v>
      </c>
      <c r="B2866" s="16">
        <v>19</v>
      </c>
      <c r="C2866" s="8" t="s">
        <v>20</v>
      </c>
      <c r="D2866" s="8" t="s">
        <v>85</v>
      </c>
      <c r="E2866" s="8" t="s">
        <v>15641</v>
      </c>
      <c r="F2866" s="17">
        <v>41471</v>
      </c>
      <c r="G2866" s="8" t="s">
        <v>15642</v>
      </c>
      <c r="H2866" s="8" t="s">
        <v>579</v>
      </c>
      <c r="I2866" s="8" t="s">
        <v>73</v>
      </c>
      <c r="J2866" s="16" t="s">
        <v>15643</v>
      </c>
      <c r="K2866" s="2" t="s">
        <v>580</v>
      </c>
      <c r="L2866" s="8" t="s">
        <v>581</v>
      </c>
      <c r="M2866" s="8" t="s">
        <v>27</v>
      </c>
      <c r="N2866" s="8" t="s">
        <v>15644</v>
      </c>
      <c r="O2866" s="8" t="s">
        <v>1018</v>
      </c>
      <c r="P2866" s="8" t="s">
        <v>405</v>
      </c>
      <c r="Q2866" s="12" t="s">
        <v>15645</v>
      </c>
      <c r="R2866" s="8" t="s">
        <v>100</v>
      </c>
      <c r="S2866" s="7" t="s">
        <v>18</v>
      </c>
      <c r="T2866" s="6"/>
      <c r="U2866" s="8"/>
    </row>
    <row r="2867" spans="1:39" ht="13.5" customHeight="1">
      <c r="A2867" s="8" t="s">
        <v>15657</v>
      </c>
      <c r="B2867" s="16">
        <v>37</v>
      </c>
      <c r="C2867" s="8" t="s">
        <v>20</v>
      </c>
      <c r="D2867" s="8" t="s">
        <v>37</v>
      </c>
      <c r="F2867" s="17">
        <v>41471</v>
      </c>
      <c r="G2867" s="8" t="s">
        <v>15658</v>
      </c>
      <c r="H2867" s="8" t="s">
        <v>98</v>
      </c>
      <c r="I2867" s="8" t="s">
        <v>45</v>
      </c>
      <c r="J2867" s="16" t="s">
        <v>14779</v>
      </c>
      <c r="K2867" s="2" t="s">
        <v>98</v>
      </c>
      <c r="L2867" s="8" t="s">
        <v>99</v>
      </c>
      <c r="M2867" s="8" t="s">
        <v>27</v>
      </c>
      <c r="N2867" s="8" t="s">
        <v>15659</v>
      </c>
      <c r="O2867" s="8" t="s">
        <v>1018</v>
      </c>
      <c r="P2867" s="8" t="s">
        <v>405</v>
      </c>
      <c r="Q2867" s="12" t="s">
        <v>15660</v>
      </c>
      <c r="R2867" s="8" t="s">
        <v>100</v>
      </c>
      <c r="S2867" s="7" t="s">
        <v>28</v>
      </c>
      <c r="T2867" s="6"/>
      <c r="U2867" s="8"/>
    </row>
    <row r="2868" spans="1:39" ht="13.5" customHeight="1">
      <c r="A2868" s="8" t="s">
        <v>15661</v>
      </c>
      <c r="B2868" s="16">
        <v>68</v>
      </c>
      <c r="C2868" s="8" t="s">
        <v>115</v>
      </c>
      <c r="D2868" s="8" t="s">
        <v>37</v>
      </c>
      <c r="E2868" s="8" t="s">
        <v>15662</v>
      </c>
      <c r="F2868" s="17">
        <v>41471</v>
      </c>
      <c r="G2868" s="8" t="s">
        <v>15663</v>
      </c>
      <c r="H2868" s="8" t="s">
        <v>15664</v>
      </c>
      <c r="I2868" s="8" t="s">
        <v>408</v>
      </c>
      <c r="J2868" s="16" t="s">
        <v>15665</v>
      </c>
      <c r="K2868" s="2" t="s">
        <v>15666</v>
      </c>
      <c r="L2868" s="8" t="s">
        <v>15667</v>
      </c>
      <c r="M2868" s="8" t="s">
        <v>27</v>
      </c>
      <c r="N2868" s="8" t="s">
        <v>15668</v>
      </c>
      <c r="O2868" s="8" t="s">
        <v>554</v>
      </c>
      <c r="P2868" s="8" t="s">
        <v>405</v>
      </c>
      <c r="Q2868" s="12" t="str">
        <f>HYPERLINK("http://explorevenango.com/vigil-rally-held-for-oil-city-woman-fatally-shot-by-police/","http://explorevenango.com/vigil-rally-held-for-oil-city-woman-fatally-shot-by-police/")</f>
        <v>http://explorevenango.com/vigil-rally-held-for-oil-city-woman-fatally-shot-by-police/</v>
      </c>
      <c r="R2868" s="8" t="s">
        <v>559</v>
      </c>
      <c r="S2868" s="7" t="s">
        <v>28</v>
      </c>
      <c r="T2868" s="6"/>
      <c r="U2868" s="8"/>
    </row>
    <row r="2869" spans="1:39" ht="13.5" customHeight="1">
      <c r="A2869" s="8" t="s">
        <v>15652</v>
      </c>
      <c r="B2869" s="16">
        <v>46</v>
      </c>
      <c r="C2869" s="8" t="s">
        <v>20</v>
      </c>
      <c r="D2869" s="8" t="s">
        <v>30</v>
      </c>
      <c r="F2869" s="17">
        <v>41471</v>
      </c>
      <c r="G2869" s="8" t="s">
        <v>15653</v>
      </c>
      <c r="H2869" s="8" t="s">
        <v>15654</v>
      </c>
      <c r="I2869" s="8" t="s">
        <v>319</v>
      </c>
      <c r="J2869" s="16" t="s">
        <v>15655</v>
      </c>
      <c r="K2869" s="2" t="s">
        <v>3324</v>
      </c>
      <c r="L2869" s="8" t="s">
        <v>3406</v>
      </c>
      <c r="M2869" s="8" t="s">
        <v>27</v>
      </c>
      <c r="N2869" s="8" t="s">
        <v>15656</v>
      </c>
      <c r="O2869" s="8" t="s">
        <v>1018</v>
      </c>
      <c r="P2869" s="8" t="s">
        <v>405</v>
      </c>
      <c r="Q2869" s="12" t="str">
        <f>HYPERLINK("http://www.floydcountytimes.com/view/full_story/1431043/article-Suspect-shot-and-killed-by-state-trooper-while-in-custody","http://www.floydcountytimes.com/view/full_story/1431043/article-Suspect-shot-and-killed-by-state-trooper-while-in-custody")</f>
        <v>http://www.floydcountytimes.com/view/full_story/1431043/article-Suspect-shot-and-killed-by-state-trooper-while-in-custody</v>
      </c>
      <c r="R2869" s="8" t="s">
        <v>972</v>
      </c>
      <c r="S2869" s="7" t="s">
        <v>18</v>
      </c>
      <c r="T2869" s="6"/>
      <c r="U2869" s="8"/>
    </row>
    <row r="2870" spans="1:39" ht="13.5" customHeight="1">
      <c r="A2870" s="8" t="s">
        <v>15669</v>
      </c>
      <c r="B2870" s="16">
        <v>26</v>
      </c>
      <c r="C2870" s="8" t="s">
        <v>20</v>
      </c>
      <c r="D2870" s="8" t="s">
        <v>85</v>
      </c>
      <c r="E2870" s="8" t="s">
        <v>15670</v>
      </c>
      <c r="F2870" s="17">
        <v>41470</v>
      </c>
      <c r="G2870" s="8" t="s">
        <v>15671</v>
      </c>
      <c r="H2870" s="8" t="s">
        <v>9858</v>
      </c>
      <c r="I2870" s="8" t="s">
        <v>986</v>
      </c>
      <c r="J2870" s="16" t="s">
        <v>15672</v>
      </c>
      <c r="K2870" s="2" t="s">
        <v>2521</v>
      </c>
      <c r="L2870" s="8" t="s">
        <v>9860</v>
      </c>
      <c r="M2870" s="8" t="s">
        <v>27</v>
      </c>
      <c r="N2870" s="8" t="s">
        <v>15673</v>
      </c>
      <c r="O2870" s="8" t="s">
        <v>554</v>
      </c>
      <c r="P2870" s="8" t="s">
        <v>405</v>
      </c>
      <c r="Q2870" s="12"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2870" s="8" t="s">
        <v>100</v>
      </c>
      <c r="S2870" s="7" t="s">
        <v>28</v>
      </c>
      <c r="T2870" s="6"/>
      <c r="U2870" s="8"/>
    </row>
    <row r="2871" spans="1:39" ht="13.5" customHeight="1">
      <c r="A2871" s="8" t="s">
        <v>15687</v>
      </c>
      <c r="B2871" s="16">
        <v>24</v>
      </c>
      <c r="C2871" s="8" t="s">
        <v>20</v>
      </c>
      <c r="D2871" s="8" t="s">
        <v>37</v>
      </c>
      <c r="E2871" s="8" t="s">
        <v>15688</v>
      </c>
      <c r="F2871" s="17">
        <v>41469</v>
      </c>
      <c r="G2871" s="8" t="s">
        <v>15689</v>
      </c>
      <c r="H2871" s="8" t="s">
        <v>15690</v>
      </c>
      <c r="I2871" s="8" t="s">
        <v>73</v>
      </c>
      <c r="J2871" s="16" t="s">
        <v>15691</v>
      </c>
      <c r="K2871" s="2" t="s">
        <v>8592</v>
      </c>
      <c r="L2871" s="8" t="s">
        <v>15692</v>
      </c>
      <c r="M2871" s="8" t="s">
        <v>27</v>
      </c>
      <c r="N2871" s="8" t="s">
        <v>15693</v>
      </c>
      <c r="O2871" s="8" t="s">
        <v>554</v>
      </c>
      <c r="P2871" s="8" t="s">
        <v>405</v>
      </c>
      <c r="Q2871" s="12" t="s">
        <v>15694</v>
      </c>
      <c r="R2871" s="8" t="s">
        <v>100</v>
      </c>
      <c r="S2871" s="7" t="s">
        <v>28</v>
      </c>
      <c r="T2871" s="6"/>
      <c r="U2871" s="8"/>
    </row>
    <row r="2872" spans="1:39" ht="13.5" customHeight="1">
      <c r="A2872" s="8" t="s">
        <v>15680</v>
      </c>
      <c r="B2872" s="16">
        <v>34</v>
      </c>
      <c r="C2872" s="8" t="s">
        <v>20</v>
      </c>
      <c r="D2872" s="8" t="s">
        <v>48</v>
      </c>
      <c r="E2872" s="8" t="s">
        <v>15681</v>
      </c>
      <c r="F2872" s="17">
        <v>41469</v>
      </c>
      <c r="G2872" s="8" t="s">
        <v>15682</v>
      </c>
      <c r="H2872" s="8" t="s">
        <v>11496</v>
      </c>
      <c r="I2872" s="8" t="s">
        <v>25</v>
      </c>
      <c r="J2872" s="16" t="s">
        <v>15683</v>
      </c>
      <c r="K2872" s="2" t="s">
        <v>11496</v>
      </c>
      <c r="L2872" s="8" t="s">
        <v>15684</v>
      </c>
      <c r="M2872" s="8" t="s">
        <v>27</v>
      </c>
      <c r="N2872" s="8" t="s">
        <v>15685</v>
      </c>
      <c r="O2872" s="8" t="s">
        <v>554</v>
      </c>
      <c r="P2872" s="8" t="s">
        <v>405</v>
      </c>
      <c r="Q2872" s="12" t="s">
        <v>15686</v>
      </c>
      <c r="R2872" s="8" t="s">
        <v>559</v>
      </c>
      <c r="S2872" s="7" t="s">
        <v>28</v>
      </c>
      <c r="T2872" s="6"/>
      <c r="U2872" s="8"/>
    </row>
    <row r="2873" spans="1:39" ht="13.5" customHeight="1">
      <c r="A2873" s="8" t="s">
        <v>15674</v>
      </c>
      <c r="B2873" s="16">
        <v>76</v>
      </c>
      <c r="C2873" s="8" t="s">
        <v>20</v>
      </c>
      <c r="D2873" s="8" t="s">
        <v>21</v>
      </c>
      <c r="F2873" s="17">
        <v>41469</v>
      </c>
      <c r="G2873" s="8" t="s">
        <v>15675</v>
      </c>
      <c r="H2873" s="8" t="s">
        <v>15676</v>
      </c>
      <c r="I2873" s="8" t="s">
        <v>135</v>
      </c>
      <c r="J2873" s="16" t="s">
        <v>15677</v>
      </c>
      <c r="K2873" s="2" t="s">
        <v>1081</v>
      </c>
      <c r="L2873" s="8" t="s">
        <v>19508</v>
      </c>
      <c r="M2873" s="8" t="s">
        <v>1706</v>
      </c>
      <c r="N2873" s="8" t="s">
        <v>15678</v>
      </c>
      <c r="O2873" s="8" t="s">
        <v>1018</v>
      </c>
      <c r="P2873" s="8" t="s">
        <v>405</v>
      </c>
      <c r="Q2873" s="12" t="s">
        <v>15679</v>
      </c>
      <c r="R2873" s="8" t="s">
        <v>100</v>
      </c>
      <c r="S2873" s="7" t="s">
        <v>28</v>
      </c>
      <c r="T2873" s="6"/>
      <c r="U2873" s="8"/>
      <c r="AI2873" s="8"/>
      <c r="AJ2873" s="8"/>
      <c r="AK2873" s="8"/>
      <c r="AL2873" s="8"/>
      <c r="AM2873" s="8"/>
    </row>
    <row r="2874" spans="1:39" ht="13.5" customHeight="1">
      <c r="A2874" s="8" t="s">
        <v>15695</v>
      </c>
      <c r="B2874" s="16">
        <v>25</v>
      </c>
      <c r="C2874" s="8" t="s">
        <v>20</v>
      </c>
      <c r="D2874" s="8" t="s">
        <v>37</v>
      </c>
      <c r="E2874" s="8" t="s">
        <v>15696</v>
      </c>
      <c r="F2874" s="17">
        <v>41468</v>
      </c>
      <c r="G2874" s="8" t="s">
        <v>15697</v>
      </c>
      <c r="H2874" s="8" t="s">
        <v>15698</v>
      </c>
      <c r="I2874" s="8" t="s">
        <v>220</v>
      </c>
      <c r="J2874" s="16" t="s">
        <v>15699</v>
      </c>
      <c r="K2874" s="2" t="s">
        <v>3324</v>
      </c>
      <c r="L2874" s="8" t="s">
        <v>15700</v>
      </c>
      <c r="M2874" s="8" t="s">
        <v>27</v>
      </c>
      <c r="N2874" s="8" t="s">
        <v>15701</v>
      </c>
      <c r="O2874" s="8" t="s">
        <v>554</v>
      </c>
      <c r="P2874" s="8" t="s">
        <v>405</v>
      </c>
      <c r="Q2874" s="12" t="s">
        <v>15702</v>
      </c>
      <c r="R2874" s="8" t="s">
        <v>100</v>
      </c>
      <c r="S2874" s="7" t="s">
        <v>28</v>
      </c>
      <c r="T2874" s="6"/>
      <c r="U2874" s="8"/>
    </row>
    <row r="2875" spans="1:39" ht="13.5" customHeight="1">
      <c r="A2875" s="8" t="s">
        <v>15703</v>
      </c>
      <c r="B2875" s="16">
        <v>42</v>
      </c>
      <c r="C2875" s="8" t="s">
        <v>20</v>
      </c>
      <c r="D2875" s="8" t="s">
        <v>37</v>
      </c>
      <c r="E2875" s="8" t="s">
        <v>15704</v>
      </c>
      <c r="F2875" s="17">
        <v>41467</v>
      </c>
      <c r="G2875" s="8" t="s">
        <v>15705</v>
      </c>
      <c r="H2875" s="8" t="s">
        <v>15706</v>
      </c>
      <c r="I2875" s="8" t="s">
        <v>45</v>
      </c>
      <c r="J2875" s="16" t="s">
        <v>14540</v>
      </c>
      <c r="K2875" s="2" t="s">
        <v>3271</v>
      </c>
      <c r="L2875" s="8" t="s">
        <v>14541</v>
      </c>
      <c r="M2875" s="8" t="s">
        <v>27</v>
      </c>
      <c r="N2875" s="8" t="s">
        <v>15707</v>
      </c>
      <c r="O2875" s="8" t="s">
        <v>554</v>
      </c>
      <c r="P2875" s="8" t="s">
        <v>405</v>
      </c>
      <c r="Q2875" s="12" t="s">
        <v>15708</v>
      </c>
      <c r="R2875" s="8" t="s">
        <v>100</v>
      </c>
      <c r="S2875" s="7" t="s">
        <v>28</v>
      </c>
      <c r="T2875" s="6"/>
      <c r="U2875" s="8"/>
    </row>
    <row r="2876" spans="1:39" ht="13.5" customHeight="1">
      <c r="A2876" s="8" t="s">
        <v>15709</v>
      </c>
      <c r="B2876" s="16">
        <v>24</v>
      </c>
      <c r="C2876" s="8" t="s">
        <v>20</v>
      </c>
      <c r="D2876" s="8" t="s">
        <v>85</v>
      </c>
      <c r="E2876" s="8" t="s">
        <v>15710</v>
      </c>
      <c r="F2876" s="17">
        <v>41466</v>
      </c>
      <c r="G2876" s="8" t="s">
        <v>15711</v>
      </c>
      <c r="H2876" s="8" t="s">
        <v>1104</v>
      </c>
      <c r="I2876" s="8" t="s">
        <v>399</v>
      </c>
      <c r="J2876" s="16" t="s">
        <v>15712</v>
      </c>
      <c r="K2876" s="2" t="s">
        <v>1105</v>
      </c>
      <c r="L2876" s="8" t="s">
        <v>1106</v>
      </c>
      <c r="M2876" s="8" t="s">
        <v>27</v>
      </c>
      <c r="N2876" s="8" t="s">
        <v>15713</v>
      </c>
      <c r="O2876" s="8" t="s">
        <v>554</v>
      </c>
      <c r="P2876" s="8" t="s">
        <v>405</v>
      </c>
      <c r="Q2876" s="12" t="str">
        <f>HYPERLINK("http://newsok.com/family-member-identifies-man-shot-by-oklahoma-city-police/article/3861642","http://newsok.com/family-member-identifies-man-shot-by-oklahoma-city-police/article/3861642")</f>
        <v>http://newsok.com/family-member-identifies-man-shot-by-oklahoma-city-police/article/3861642</v>
      </c>
      <c r="R2876" s="8" t="s">
        <v>29</v>
      </c>
      <c r="S2876" s="7" t="s">
        <v>28</v>
      </c>
      <c r="T2876" s="6"/>
      <c r="U2876" s="8"/>
    </row>
    <row r="2877" spans="1:39" ht="13.5" customHeight="1">
      <c r="A2877" s="8" t="s">
        <v>15729</v>
      </c>
      <c r="B2877" s="16">
        <v>24</v>
      </c>
      <c r="C2877" s="8" t="s">
        <v>20</v>
      </c>
      <c r="D2877" s="8" t="s">
        <v>37</v>
      </c>
      <c r="E2877" s="8" t="s">
        <v>15730</v>
      </c>
      <c r="F2877" s="17">
        <v>41466</v>
      </c>
      <c r="G2877" s="8" t="s">
        <v>15731</v>
      </c>
      <c r="H2877" s="8" t="s">
        <v>690</v>
      </c>
      <c r="I2877" s="8" t="s">
        <v>367</v>
      </c>
      <c r="J2877" s="16" t="s">
        <v>15732</v>
      </c>
      <c r="K2877" s="2" t="s">
        <v>691</v>
      </c>
      <c r="L2877" s="8" t="s">
        <v>692</v>
      </c>
      <c r="M2877" s="8" t="s">
        <v>27</v>
      </c>
      <c r="N2877" s="8" t="s">
        <v>15733</v>
      </c>
      <c r="O2877" s="8" t="s">
        <v>554</v>
      </c>
      <c r="P2877" s="8" t="s">
        <v>405</v>
      </c>
      <c r="Q2877" s="12" t="s">
        <v>15734</v>
      </c>
      <c r="R2877" s="8" t="s">
        <v>972</v>
      </c>
      <c r="S2877" s="7" t="s">
        <v>28</v>
      </c>
      <c r="T2877" s="6"/>
      <c r="U2877" s="8"/>
      <c r="V2877" s="8"/>
      <c r="W2877" s="8"/>
      <c r="X2877" s="8"/>
    </row>
    <row r="2878" spans="1:39" ht="13.5" customHeight="1">
      <c r="A2878" s="8" t="s">
        <v>15714</v>
      </c>
      <c r="B2878" s="16" t="s">
        <v>13716</v>
      </c>
      <c r="C2878" s="8" t="s">
        <v>20</v>
      </c>
      <c r="D2878" s="8" t="s">
        <v>85</v>
      </c>
      <c r="E2878" s="8" t="s">
        <v>15715</v>
      </c>
      <c r="F2878" s="17">
        <v>41466</v>
      </c>
      <c r="G2878" s="8" t="s">
        <v>15716</v>
      </c>
      <c r="H2878" s="8" t="s">
        <v>1627</v>
      </c>
      <c r="I2878" s="8" t="s">
        <v>272</v>
      </c>
      <c r="J2878" s="16" t="s">
        <v>7496</v>
      </c>
      <c r="K2878" s="2" t="s">
        <v>6321</v>
      </c>
      <c r="L2878" s="8" t="s">
        <v>15717</v>
      </c>
      <c r="M2878" s="8" t="s">
        <v>27</v>
      </c>
      <c r="N2878" s="8" t="s">
        <v>15718</v>
      </c>
      <c r="O2878" s="8" t="s">
        <v>29</v>
      </c>
      <c r="P2878" s="8" t="s">
        <v>405</v>
      </c>
      <c r="Q2878" s="12" t="s">
        <v>15719</v>
      </c>
      <c r="R2878" s="8" t="s">
        <v>559</v>
      </c>
      <c r="S2878" s="7" t="s">
        <v>28</v>
      </c>
      <c r="T2878" s="6"/>
      <c r="U2878" s="8"/>
    </row>
    <row r="2879" spans="1:39" ht="13.5" customHeight="1">
      <c r="A2879" s="8" t="s">
        <v>15724</v>
      </c>
      <c r="B2879" s="16">
        <v>31</v>
      </c>
      <c r="C2879" s="8" t="s">
        <v>20</v>
      </c>
      <c r="D2879" s="8" t="s">
        <v>48</v>
      </c>
      <c r="E2879" s="8" t="s">
        <v>15725</v>
      </c>
      <c r="F2879" s="17">
        <v>41466</v>
      </c>
      <c r="G2879" s="8" t="s">
        <v>15726</v>
      </c>
      <c r="H2879" s="8" t="s">
        <v>638</v>
      </c>
      <c r="I2879" s="8" t="s">
        <v>124</v>
      </c>
      <c r="J2879" s="16" t="s">
        <v>4672</v>
      </c>
      <c r="K2879" s="2" t="s">
        <v>639</v>
      </c>
      <c r="L2879" s="8" t="s">
        <v>640</v>
      </c>
      <c r="M2879" s="8" t="s">
        <v>27</v>
      </c>
      <c r="N2879" s="8" t="s">
        <v>15727</v>
      </c>
      <c r="O2879" s="8" t="s">
        <v>1018</v>
      </c>
      <c r="P2879" s="8" t="s">
        <v>405</v>
      </c>
      <c r="Q2879" s="12" t="s">
        <v>15728</v>
      </c>
      <c r="R2879" s="8" t="s">
        <v>100</v>
      </c>
      <c r="S2879" s="7" t="s">
        <v>28</v>
      </c>
      <c r="T2879" s="6"/>
      <c r="U2879" s="8"/>
    </row>
    <row r="2880" spans="1:39" ht="13.5" customHeight="1">
      <c r="A2880" s="8" t="s">
        <v>15720</v>
      </c>
      <c r="B2880" s="16" t="s">
        <v>8868</v>
      </c>
      <c r="C2880" s="8" t="s">
        <v>20</v>
      </c>
      <c r="D2880" s="8" t="s">
        <v>85</v>
      </c>
      <c r="F2880" s="17">
        <v>41466</v>
      </c>
      <c r="G2880" s="8" t="s">
        <v>15721</v>
      </c>
      <c r="H2880" s="8" t="s">
        <v>791</v>
      </c>
      <c r="I2880" s="8" t="s">
        <v>45</v>
      </c>
      <c r="J2880" s="16" t="s">
        <v>12437</v>
      </c>
      <c r="K2880" s="2" t="s">
        <v>791</v>
      </c>
      <c r="L2880" s="8" t="s">
        <v>6009</v>
      </c>
      <c r="M2880" s="8" t="s">
        <v>27</v>
      </c>
      <c r="N2880" s="8" t="s">
        <v>15722</v>
      </c>
      <c r="O2880" s="8" t="s">
        <v>29</v>
      </c>
      <c r="P2880" s="8" t="s">
        <v>405</v>
      </c>
      <c r="Q2880" s="12" t="s">
        <v>15723</v>
      </c>
      <c r="R2880" s="8" t="s">
        <v>100</v>
      </c>
      <c r="S2880" s="7" t="s">
        <v>28</v>
      </c>
      <c r="T2880" s="6"/>
      <c r="U2880" s="8"/>
    </row>
    <row r="2881" spans="1:24" ht="13.5" customHeight="1">
      <c r="A2881" s="8" t="s">
        <v>15746</v>
      </c>
      <c r="B2881" s="16">
        <v>30</v>
      </c>
      <c r="C2881" s="8" t="s">
        <v>20</v>
      </c>
      <c r="D2881" s="8" t="s">
        <v>37</v>
      </c>
      <c r="E2881" s="8" t="s">
        <v>15747</v>
      </c>
      <c r="F2881" s="17">
        <v>41465</v>
      </c>
      <c r="G2881" s="8" t="s">
        <v>15748</v>
      </c>
      <c r="H2881" s="8" t="s">
        <v>15749</v>
      </c>
      <c r="I2881" s="8" t="s">
        <v>62</v>
      </c>
      <c r="J2881" s="16" t="s">
        <v>15750</v>
      </c>
      <c r="K2881" s="2" t="s">
        <v>1264</v>
      </c>
      <c r="L2881" s="8" t="s">
        <v>19509</v>
      </c>
      <c r="M2881" s="8" t="s">
        <v>1706</v>
      </c>
      <c r="N2881" s="8" t="s">
        <v>15751</v>
      </c>
      <c r="O2881" s="8" t="s">
        <v>404</v>
      </c>
      <c r="P2881" s="8" t="s">
        <v>405</v>
      </c>
      <c r="Q2881" s="12" t="s">
        <v>15752</v>
      </c>
      <c r="R2881" s="8" t="s">
        <v>100</v>
      </c>
      <c r="S2881" s="7" t="s">
        <v>18</v>
      </c>
      <c r="T2881" s="6"/>
      <c r="U2881" s="8"/>
    </row>
    <row r="2882" spans="1:24" ht="13.5" customHeight="1">
      <c r="A2882" s="8" t="s">
        <v>3288</v>
      </c>
      <c r="B2882" s="16" t="s">
        <v>15742</v>
      </c>
      <c r="C2882" s="8" t="s">
        <v>20</v>
      </c>
      <c r="D2882" s="8" t="s">
        <v>30</v>
      </c>
      <c r="F2882" s="17">
        <v>41465</v>
      </c>
      <c r="G2882" s="8" t="s">
        <v>15743</v>
      </c>
      <c r="H2882" s="8" t="s">
        <v>731</v>
      </c>
      <c r="I2882" s="8" t="s">
        <v>73</v>
      </c>
      <c r="J2882" s="16" t="s">
        <v>13286</v>
      </c>
      <c r="K2882" s="2" t="s">
        <v>562</v>
      </c>
      <c r="L2882" s="8" t="s">
        <v>284</v>
      </c>
      <c r="M2882" s="8" t="s">
        <v>27</v>
      </c>
      <c r="N2882" s="8" t="s">
        <v>15744</v>
      </c>
      <c r="O2882" s="8" t="s">
        <v>4742</v>
      </c>
      <c r="P2882" s="8" t="s">
        <v>405</v>
      </c>
      <c r="Q2882" s="12" t="s">
        <v>15745</v>
      </c>
      <c r="R2882" s="8" t="s">
        <v>100</v>
      </c>
      <c r="S2882" s="7" t="s">
        <v>28</v>
      </c>
      <c r="T2882" s="6"/>
      <c r="U2882" s="8"/>
    </row>
    <row r="2883" spans="1:24" ht="13.5" customHeight="1">
      <c r="A2883" s="8" t="s">
        <v>15735</v>
      </c>
      <c r="B2883" s="16">
        <v>36</v>
      </c>
      <c r="C2883" s="8" t="s">
        <v>20</v>
      </c>
      <c r="D2883" s="8" t="s">
        <v>85</v>
      </c>
      <c r="E2883" s="8" t="s">
        <v>15736</v>
      </c>
      <c r="F2883" s="17">
        <v>41465</v>
      </c>
      <c r="G2883" s="8" t="s">
        <v>15737</v>
      </c>
      <c r="H2883" s="8" t="s">
        <v>15738</v>
      </c>
      <c r="I2883" s="8" t="s">
        <v>212</v>
      </c>
      <c r="J2883" s="16" t="s">
        <v>15739</v>
      </c>
      <c r="K2883" s="2" t="s">
        <v>1442</v>
      </c>
      <c r="L2883" s="8" t="s">
        <v>2772</v>
      </c>
      <c r="M2883" s="8" t="s">
        <v>27</v>
      </c>
      <c r="N2883" s="8" t="s">
        <v>15740</v>
      </c>
      <c r="O2883" s="8" t="s">
        <v>554</v>
      </c>
      <c r="P2883" s="8" t="s">
        <v>405</v>
      </c>
      <c r="Q2883" s="12" t="s">
        <v>15741</v>
      </c>
      <c r="R2883" s="8" t="s">
        <v>100</v>
      </c>
      <c r="S2883" s="7" t="s">
        <v>28</v>
      </c>
      <c r="T2883" s="6"/>
      <c r="U2883" s="8"/>
    </row>
    <row r="2884" spans="1:24" ht="13.5" customHeight="1">
      <c r="A2884" s="8" t="s">
        <v>15753</v>
      </c>
      <c r="B2884" s="16">
        <v>40</v>
      </c>
      <c r="C2884" s="8" t="s">
        <v>20</v>
      </c>
      <c r="D2884" s="8" t="s">
        <v>85</v>
      </c>
      <c r="E2884" s="8" t="s">
        <v>15754</v>
      </c>
      <c r="F2884" s="17">
        <v>41464</v>
      </c>
      <c r="G2884" s="8" t="s">
        <v>15755</v>
      </c>
      <c r="H2884" s="8" t="s">
        <v>15756</v>
      </c>
      <c r="I2884" s="8" t="s">
        <v>435</v>
      </c>
      <c r="J2884" s="16" t="s">
        <v>15757</v>
      </c>
      <c r="K2884" s="2" t="s">
        <v>717</v>
      </c>
      <c r="L2884" s="8" t="s">
        <v>15758</v>
      </c>
      <c r="M2884" s="8" t="s">
        <v>15759</v>
      </c>
      <c r="N2884" s="8" t="s">
        <v>15760</v>
      </c>
      <c r="O2884" s="8" t="s">
        <v>404</v>
      </c>
      <c r="P2884" s="8" t="s">
        <v>405</v>
      </c>
      <c r="Q2884" s="12" t="s">
        <v>15761</v>
      </c>
      <c r="R2884" s="8" t="s">
        <v>100</v>
      </c>
      <c r="S2884" s="7" t="s">
        <v>18</v>
      </c>
      <c r="T2884" s="6"/>
      <c r="U2884" s="8"/>
    </row>
    <row r="2885" spans="1:24" ht="13.5" customHeight="1">
      <c r="A2885" s="8" t="s">
        <v>15767</v>
      </c>
      <c r="B2885" s="16">
        <v>40</v>
      </c>
      <c r="C2885" s="8" t="s">
        <v>20</v>
      </c>
      <c r="D2885" s="8" t="s">
        <v>48</v>
      </c>
      <c r="E2885" s="8" t="s">
        <v>15768</v>
      </c>
      <c r="F2885" s="17">
        <v>41464</v>
      </c>
      <c r="G2885" s="8" t="s">
        <v>15769</v>
      </c>
      <c r="H2885" s="8" t="s">
        <v>15770</v>
      </c>
      <c r="I2885" s="8" t="s">
        <v>81</v>
      </c>
      <c r="J2885" s="16" t="s">
        <v>15771</v>
      </c>
      <c r="K2885" s="2" t="s">
        <v>532</v>
      </c>
      <c r="L2885" s="8" t="s">
        <v>15772</v>
      </c>
      <c r="M2885" s="8" t="s">
        <v>27</v>
      </c>
      <c r="N2885" s="8" t="s">
        <v>15773</v>
      </c>
      <c r="O2885" s="8" t="s">
        <v>15774</v>
      </c>
      <c r="P2885" s="8" t="s">
        <v>405</v>
      </c>
      <c r="Q2885" s="12"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2885" s="8" t="s">
        <v>972</v>
      </c>
      <c r="S2885" s="7" t="s">
        <v>28</v>
      </c>
      <c r="T2885" s="6"/>
      <c r="U2885" s="8"/>
    </row>
    <row r="2886" spans="1:24" ht="13.5" customHeight="1">
      <c r="A2886" s="8" t="s">
        <v>15762</v>
      </c>
      <c r="B2886" s="16">
        <v>24</v>
      </c>
      <c r="C2886" s="8" t="s">
        <v>20</v>
      </c>
      <c r="D2886" s="8" t="s">
        <v>85</v>
      </c>
      <c r="E2886" s="8" t="s">
        <v>15763</v>
      </c>
      <c r="F2886" s="17">
        <v>41464</v>
      </c>
      <c r="G2886" s="8" t="s">
        <v>15764</v>
      </c>
      <c r="H2886" s="8" t="s">
        <v>657</v>
      </c>
      <c r="I2886" s="8" t="s">
        <v>62</v>
      </c>
      <c r="J2886" s="16">
        <v>32210</v>
      </c>
      <c r="K2886" s="2" t="s">
        <v>658</v>
      </c>
      <c r="L2886" s="8" t="s">
        <v>659</v>
      </c>
      <c r="M2886" s="8" t="s">
        <v>27</v>
      </c>
      <c r="N2886" s="8" t="s">
        <v>15765</v>
      </c>
      <c r="O2886" s="8" t="s">
        <v>29</v>
      </c>
      <c r="P2886" s="8" t="s">
        <v>405</v>
      </c>
      <c r="Q2886" s="12" t="s">
        <v>15766</v>
      </c>
      <c r="R2886" s="8" t="s">
        <v>100</v>
      </c>
      <c r="S2886" s="7" t="s">
        <v>28</v>
      </c>
      <c r="T2886" s="6"/>
      <c r="U2886" s="8"/>
    </row>
    <row r="2887" spans="1:24" ht="13.5" customHeight="1">
      <c r="A2887" s="8" t="s">
        <v>15782</v>
      </c>
      <c r="B2887" s="16">
        <v>46</v>
      </c>
      <c r="C2887" s="8" t="s">
        <v>20</v>
      </c>
      <c r="D2887" s="8" t="s">
        <v>30</v>
      </c>
      <c r="F2887" s="17">
        <v>41464</v>
      </c>
      <c r="G2887" s="8" t="s">
        <v>15783</v>
      </c>
      <c r="H2887" s="8" t="s">
        <v>15784</v>
      </c>
      <c r="I2887" s="8" t="s">
        <v>45</v>
      </c>
      <c r="J2887" s="16" t="s">
        <v>15785</v>
      </c>
      <c r="K2887" s="2" t="s">
        <v>791</v>
      </c>
      <c r="L2887" s="8" t="s">
        <v>792</v>
      </c>
      <c r="M2887" s="8" t="s">
        <v>27</v>
      </c>
      <c r="N2887" s="8" t="s">
        <v>15786</v>
      </c>
      <c r="O2887" s="8" t="s">
        <v>1018</v>
      </c>
      <c r="P2887" s="8" t="s">
        <v>405</v>
      </c>
      <c r="Q2887" s="12" t="s">
        <v>15787</v>
      </c>
      <c r="R2887" s="8" t="s">
        <v>29</v>
      </c>
      <c r="S2887" s="7" t="s">
        <v>28</v>
      </c>
      <c r="T2887" s="6"/>
      <c r="U2887" s="8"/>
    </row>
    <row r="2888" spans="1:24" ht="13.5" customHeight="1">
      <c r="A2888" s="8" t="s">
        <v>15775</v>
      </c>
      <c r="B2888" s="16">
        <v>42</v>
      </c>
      <c r="C2888" s="8" t="s">
        <v>20</v>
      </c>
      <c r="D2888" s="8" t="s">
        <v>48</v>
      </c>
      <c r="E2888" s="8" t="s">
        <v>15776</v>
      </c>
      <c r="F2888" s="17">
        <v>41464</v>
      </c>
      <c r="G2888" s="8" t="s">
        <v>15777</v>
      </c>
      <c r="H2888" s="8" t="s">
        <v>13624</v>
      </c>
      <c r="I2888" s="8" t="s">
        <v>124</v>
      </c>
      <c r="J2888" s="16" t="s">
        <v>15778</v>
      </c>
      <c r="K2888" s="2" t="s">
        <v>13624</v>
      </c>
      <c r="L2888" s="8" t="s">
        <v>15779</v>
      </c>
      <c r="M2888" s="8" t="s">
        <v>27</v>
      </c>
      <c r="N2888" s="8" t="s">
        <v>15780</v>
      </c>
      <c r="O2888" s="8" t="s">
        <v>29</v>
      </c>
      <c r="P2888" s="8" t="s">
        <v>405</v>
      </c>
      <c r="Q2888" s="12" t="s">
        <v>15781</v>
      </c>
      <c r="R2888" s="8" t="s">
        <v>100</v>
      </c>
      <c r="S2888" s="7" t="s">
        <v>28</v>
      </c>
      <c r="T2888" s="6"/>
      <c r="U2888" s="8"/>
      <c r="V2888" s="8"/>
      <c r="W2888" s="8"/>
      <c r="X2888" s="8"/>
    </row>
    <row r="2889" spans="1:24" ht="13.5" customHeight="1">
      <c r="A2889" s="8" t="s">
        <v>15803</v>
      </c>
      <c r="B2889" s="16">
        <v>55</v>
      </c>
      <c r="C2889" s="8" t="s">
        <v>20</v>
      </c>
      <c r="D2889" s="8" t="s">
        <v>30</v>
      </c>
      <c r="F2889" s="17">
        <v>41463</v>
      </c>
      <c r="G2889" s="8" t="s">
        <v>15804</v>
      </c>
      <c r="H2889" s="8" t="s">
        <v>15805</v>
      </c>
      <c r="I2889" s="8" t="s">
        <v>408</v>
      </c>
      <c r="J2889" s="16" t="s">
        <v>10493</v>
      </c>
      <c r="K2889" s="2" t="s">
        <v>10492</v>
      </c>
      <c r="L2889" s="8" t="s">
        <v>9453</v>
      </c>
      <c r="M2889" s="8" t="s">
        <v>27</v>
      </c>
      <c r="N2889" s="8" t="s">
        <v>15806</v>
      </c>
      <c r="O2889" s="8" t="s">
        <v>554</v>
      </c>
      <c r="P2889" s="8" t="s">
        <v>405</v>
      </c>
      <c r="Q2889" s="12" t="s">
        <v>15807</v>
      </c>
      <c r="R2889" s="8" t="s">
        <v>100</v>
      </c>
      <c r="S2889" s="7" t="s">
        <v>28</v>
      </c>
      <c r="T2889" s="6"/>
      <c r="U2889" s="8"/>
    </row>
    <row r="2890" spans="1:24" ht="13.5" customHeight="1">
      <c r="A2890" s="8" t="s">
        <v>15788</v>
      </c>
      <c r="B2890" s="16">
        <v>57</v>
      </c>
      <c r="C2890" s="8" t="s">
        <v>20</v>
      </c>
      <c r="D2890" s="8" t="s">
        <v>85</v>
      </c>
      <c r="E2890" s="8" t="s">
        <v>15789</v>
      </c>
      <c r="F2890" s="17">
        <v>41463</v>
      </c>
      <c r="G2890" s="8" t="s">
        <v>15790</v>
      </c>
      <c r="H2890" s="8" t="s">
        <v>2838</v>
      </c>
      <c r="I2890" s="8" t="s">
        <v>62</v>
      </c>
      <c r="J2890" s="16" t="s">
        <v>15791</v>
      </c>
      <c r="K2890" s="2" t="s">
        <v>3543</v>
      </c>
      <c r="L2890" s="8" t="s">
        <v>15792</v>
      </c>
      <c r="M2890" s="8" t="s">
        <v>27</v>
      </c>
      <c r="N2890" s="8" t="s">
        <v>15793</v>
      </c>
      <c r="O2890" s="8" t="s">
        <v>554</v>
      </c>
      <c r="P2890" s="8" t="s">
        <v>405</v>
      </c>
      <c r="Q2890" s="12" t="s">
        <v>15794</v>
      </c>
      <c r="R2890" s="8" t="s">
        <v>100</v>
      </c>
      <c r="S2890" s="7" t="s">
        <v>28</v>
      </c>
      <c r="T2890" s="6"/>
      <c r="U2890" s="8"/>
    </row>
    <row r="2891" spans="1:24" ht="13.5" customHeight="1">
      <c r="A2891" s="8" t="s">
        <v>15795</v>
      </c>
      <c r="B2891" s="16">
        <v>51</v>
      </c>
      <c r="C2891" s="8" t="s">
        <v>20</v>
      </c>
      <c r="D2891" s="8" t="s">
        <v>48</v>
      </c>
      <c r="F2891" s="17">
        <v>41463</v>
      </c>
      <c r="G2891" s="8" t="s">
        <v>15796</v>
      </c>
      <c r="H2891" s="8" t="s">
        <v>607</v>
      </c>
      <c r="I2891" s="8" t="s">
        <v>45</v>
      </c>
      <c r="J2891" s="16" t="s">
        <v>15797</v>
      </c>
      <c r="K2891" s="2" t="s">
        <v>608</v>
      </c>
      <c r="L2891" s="8" t="s">
        <v>609</v>
      </c>
      <c r="M2891" s="8" t="s">
        <v>3407</v>
      </c>
      <c r="N2891" s="8" t="s">
        <v>15798</v>
      </c>
      <c r="O2891" s="8" t="s">
        <v>4742</v>
      </c>
      <c r="P2891" s="8" t="s">
        <v>405</v>
      </c>
      <c r="Q2891" s="12" t="s">
        <v>15799</v>
      </c>
      <c r="R2891" s="8" t="s">
        <v>559</v>
      </c>
      <c r="S2891" s="7" t="s">
        <v>18</v>
      </c>
      <c r="T2891" s="6"/>
      <c r="U2891" s="8"/>
    </row>
    <row r="2892" spans="1:24" ht="13.5" customHeight="1">
      <c r="A2892" s="8" t="s">
        <v>15815</v>
      </c>
      <c r="B2892" s="16">
        <v>50</v>
      </c>
      <c r="C2892" s="8" t="s">
        <v>20</v>
      </c>
      <c r="D2892" s="8" t="s">
        <v>37</v>
      </c>
      <c r="E2892" s="8" t="s">
        <v>15816</v>
      </c>
      <c r="F2892" s="17">
        <v>41463</v>
      </c>
      <c r="G2892" s="8" t="s">
        <v>15817</v>
      </c>
      <c r="H2892" s="8" t="s">
        <v>15818</v>
      </c>
      <c r="I2892" s="8" t="s">
        <v>175</v>
      </c>
      <c r="J2892" s="16" t="s">
        <v>15819</v>
      </c>
      <c r="K2892" s="2" t="s">
        <v>3782</v>
      </c>
      <c r="L2892" s="8" t="s">
        <v>15820</v>
      </c>
      <c r="M2892" s="8" t="s">
        <v>27</v>
      </c>
      <c r="N2892" s="8" t="s">
        <v>15821</v>
      </c>
      <c r="O2892" s="8" t="s">
        <v>404</v>
      </c>
      <c r="P2892" s="8" t="s">
        <v>405</v>
      </c>
      <c r="Q2892" s="12" t="s">
        <v>15822</v>
      </c>
      <c r="R2892" s="8" t="s">
        <v>559</v>
      </c>
      <c r="S2892" s="7" t="s">
        <v>28</v>
      </c>
      <c r="T2892" s="6"/>
      <c r="U2892" s="8"/>
    </row>
    <row r="2893" spans="1:24" ht="13.5" customHeight="1">
      <c r="A2893" s="8" t="s">
        <v>15808</v>
      </c>
      <c r="B2893" s="16">
        <v>52</v>
      </c>
      <c r="C2893" s="8" t="s">
        <v>20</v>
      </c>
      <c r="D2893" s="8" t="s">
        <v>37</v>
      </c>
      <c r="F2893" s="17">
        <v>41463</v>
      </c>
      <c r="G2893" s="8" t="s">
        <v>15809</v>
      </c>
      <c r="H2893" s="8" t="s">
        <v>15810</v>
      </c>
      <c r="I2893" s="8" t="s">
        <v>44</v>
      </c>
      <c r="J2893" s="16" t="s">
        <v>15811</v>
      </c>
      <c r="K2893" s="2" t="s">
        <v>7888</v>
      </c>
      <c r="L2893" s="8" t="s">
        <v>15812</v>
      </c>
      <c r="M2893" s="8" t="s">
        <v>27</v>
      </c>
      <c r="N2893" s="8" t="s">
        <v>15813</v>
      </c>
      <c r="O2893" s="8" t="s">
        <v>554</v>
      </c>
      <c r="P2893" s="8" t="s">
        <v>405</v>
      </c>
      <c r="Q2893" s="12" t="s">
        <v>15814</v>
      </c>
      <c r="R2893" s="8" t="s">
        <v>559</v>
      </c>
      <c r="S2893" s="7" t="s">
        <v>28</v>
      </c>
      <c r="T2893" s="6"/>
      <c r="U2893" s="8"/>
    </row>
    <row r="2894" spans="1:24" ht="13.5" customHeight="1">
      <c r="A2894" s="8" t="s">
        <v>3288</v>
      </c>
      <c r="B2894" s="16">
        <v>53</v>
      </c>
      <c r="C2894" s="8" t="s">
        <v>20</v>
      </c>
      <c r="D2894" s="8" t="s">
        <v>30</v>
      </c>
      <c r="F2894" s="17">
        <v>41463</v>
      </c>
      <c r="G2894" s="8" t="s">
        <v>15800</v>
      </c>
      <c r="H2894" s="8" t="s">
        <v>607</v>
      </c>
      <c r="I2894" s="8" t="s">
        <v>45</v>
      </c>
      <c r="J2894" s="16" t="s">
        <v>15797</v>
      </c>
      <c r="K2894" s="2" t="s">
        <v>608</v>
      </c>
      <c r="L2894" s="8" t="s">
        <v>609</v>
      </c>
      <c r="M2894" s="8" t="s">
        <v>14630</v>
      </c>
      <c r="N2894" s="8" t="s">
        <v>15801</v>
      </c>
      <c r="O2894" s="8" t="s">
        <v>4742</v>
      </c>
      <c r="P2894" s="8" t="s">
        <v>405</v>
      </c>
      <c r="Q2894" s="12" t="s">
        <v>15802</v>
      </c>
      <c r="R2894" s="8" t="s">
        <v>559</v>
      </c>
      <c r="S2894" s="7" t="s">
        <v>18</v>
      </c>
      <c r="T2894" s="6"/>
      <c r="U2894" s="8"/>
    </row>
    <row r="2895" spans="1:24" ht="13.5" customHeight="1">
      <c r="A2895" s="8" t="s">
        <v>15823</v>
      </c>
      <c r="B2895" s="16">
        <v>27</v>
      </c>
      <c r="C2895" s="8" t="s">
        <v>20</v>
      </c>
      <c r="D2895" s="8" t="s">
        <v>37</v>
      </c>
      <c r="E2895" s="8" t="s">
        <v>15824</v>
      </c>
      <c r="F2895" s="17">
        <v>41463</v>
      </c>
      <c r="G2895" s="8" t="s">
        <v>15825</v>
      </c>
      <c r="H2895" s="8" t="s">
        <v>15826</v>
      </c>
      <c r="I2895" s="8" t="s">
        <v>408</v>
      </c>
      <c r="J2895" s="16" t="s">
        <v>15827</v>
      </c>
      <c r="K2895" s="2" t="s">
        <v>1651</v>
      </c>
      <c r="L2895" s="8" t="s">
        <v>15828</v>
      </c>
      <c r="M2895" s="8" t="s">
        <v>27</v>
      </c>
      <c r="N2895" s="8" t="s">
        <v>15829</v>
      </c>
      <c r="O2895" s="8" t="s">
        <v>554</v>
      </c>
      <c r="P2895" s="8" t="s">
        <v>405</v>
      </c>
      <c r="Q2895" s="12" t="str">
        <f>HYPERLINK("http://www.post-gazette.com/stories/local/neighborhoods-north/man-shot-to-death-in-sewickley-694786/","http://www.post-gazette.com/stories/local/neighborhoods-north/man-shot-to-death-in-sewickley-694786/")</f>
        <v>http://www.post-gazette.com/stories/local/neighborhoods-north/man-shot-to-death-in-sewickley-694786/</v>
      </c>
      <c r="R2895" s="8" t="s">
        <v>100</v>
      </c>
      <c r="S2895" s="7" t="s">
        <v>28</v>
      </c>
      <c r="T2895" s="6"/>
      <c r="U2895" s="8"/>
    </row>
    <row r="2896" spans="1:24" ht="13.5" customHeight="1">
      <c r="A2896" s="8" t="s">
        <v>15844</v>
      </c>
      <c r="B2896" s="16">
        <v>62</v>
      </c>
      <c r="C2896" s="8" t="s">
        <v>20</v>
      </c>
      <c r="D2896" s="8" t="s">
        <v>37</v>
      </c>
      <c r="F2896" s="17">
        <v>41462</v>
      </c>
      <c r="G2896" s="8" t="s">
        <v>15845</v>
      </c>
      <c r="H2896" s="8" t="s">
        <v>15846</v>
      </c>
      <c r="I2896" s="8" t="s">
        <v>44</v>
      </c>
      <c r="J2896" s="16" t="s">
        <v>15847</v>
      </c>
      <c r="K2896" s="2" t="s">
        <v>1301</v>
      </c>
      <c r="L2896" s="8" t="s">
        <v>15848</v>
      </c>
      <c r="M2896" s="8" t="s">
        <v>15849</v>
      </c>
      <c r="N2896" s="8" t="s">
        <v>15850</v>
      </c>
      <c r="O2896" s="8" t="s">
        <v>15851</v>
      </c>
      <c r="P2896" s="8" t="s">
        <v>21078</v>
      </c>
      <c r="Q2896" s="12" t="s">
        <v>15852</v>
      </c>
      <c r="R2896" s="8" t="s">
        <v>100</v>
      </c>
      <c r="S2896" s="7" t="s">
        <v>18</v>
      </c>
      <c r="T2896" s="6"/>
      <c r="U2896" s="8"/>
    </row>
    <row r="2897" spans="1:39" ht="13.5" customHeight="1">
      <c r="A2897" s="8" t="s">
        <v>15853</v>
      </c>
      <c r="B2897" s="16">
        <v>29</v>
      </c>
      <c r="C2897" s="8" t="s">
        <v>20</v>
      </c>
      <c r="D2897" s="8" t="s">
        <v>37</v>
      </c>
      <c r="E2897" s="8" t="s">
        <v>15854</v>
      </c>
      <c r="F2897" s="17">
        <v>41462</v>
      </c>
      <c r="G2897" s="8" t="s">
        <v>15855</v>
      </c>
      <c r="H2897" s="8" t="s">
        <v>15856</v>
      </c>
      <c r="I2897" s="8" t="s">
        <v>45</v>
      </c>
      <c r="J2897" s="16" t="s">
        <v>15857</v>
      </c>
      <c r="K2897" s="2" t="s">
        <v>791</v>
      </c>
      <c r="L2897" s="8" t="s">
        <v>792</v>
      </c>
      <c r="M2897" s="8" t="s">
        <v>27</v>
      </c>
      <c r="N2897" s="8" t="s">
        <v>15858</v>
      </c>
      <c r="O2897" s="8" t="s">
        <v>404</v>
      </c>
      <c r="P2897" s="8" t="s">
        <v>405</v>
      </c>
      <c r="Q2897" s="12" t="s">
        <v>15859</v>
      </c>
      <c r="R2897" s="8" t="s">
        <v>100</v>
      </c>
      <c r="S2897" s="7" t="s">
        <v>28</v>
      </c>
      <c r="T2897" s="6"/>
      <c r="U2897" s="8"/>
    </row>
    <row r="2898" spans="1:39" ht="13.5" customHeight="1">
      <c r="A2898" s="8" t="s">
        <v>15830</v>
      </c>
      <c r="B2898" s="16">
        <v>29</v>
      </c>
      <c r="C2898" s="8" t="s">
        <v>20</v>
      </c>
      <c r="D2898" s="8" t="s">
        <v>85</v>
      </c>
      <c r="E2898" s="8" t="s">
        <v>15831</v>
      </c>
      <c r="F2898" s="17">
        <v>41462</v>
      </c>
      <c r="G2898" s="8" t="s">
        <v>15832</v>
      </c>
      <c r="H2898" s="8" t="s">
        <v>898</v>
      </c>
      <c r="I2898" s="8" t="s">
        <v>319</v>
      </c>
      <c r="J2898" s="16" t="s">
        <v>15833</v>
      </c>
      <c r="K2898" s="2" t="s">
        <v>1795</v>
      </c>
      <c r="L2898" s="8" t="s">
        <v>899</v>
      </c>
      <c r="M2898" s="8" t="s">
        <v>27</v>
      </c>
      <c r="N2898" s="8" t="s">
        <v>15834</v>
      </c>
      <c r="O2898" s="8" t="s">
        <v>1018</v>
      </c>
      <c r="P2898" s="8" t="s">
        <v>405</v>
      </c>
      <c r="Q2898" s="12" t="s">
        <v>15835</v>
      </c>
      <c r="R2898" s="8" t="s">
        <v>100</v>
      </c>
      <c r="S2898" s="7" t="s">
        <v>28</v>
      </c>
      <c r="T2898" s="6"/>
      <c r="U2898" s="8"/>
    </row>
    <row r="2899" spans="1:39" ht="13.5" customHeight="1">
      <c r="A2899" s="8" t="s">
        <v>15836</v>
      </c>
      <c r="B2899" s="16">
        <v>35</v>
      </c>
      <c r="C2899" s="8" t="s">
        <v>20</v>
      </c>
      <c r="D2899" s="8" t="s">
        <v>48</v>
      </c>
      <c r="E2899" s="8" t="s">
        <v>15837</v>
      </c>
      <c r="F2899" s="17">
        <v>41462</v>
      </c>
      <c r="G2899" s="8" t="s">
        <v>15838</v>
      </c>
      <c r="H2899" s="8" t="s">
        <v>128</v>
      </c>
      <c r="I2899" s="8" t="s">
        <v>73</v>
      </c>
      <c r="J2899" s="16" t="s">
        <v>15839</v>
      </c>
      <c r="K2899" s="2" t="s">
        <v>15840</v>
      </c>
      <c r="L2899" s="8" t="s">
        <v>15841</v>
      </c>
      <c r="M2899" s="8" t="s">
        <v>27</v>
      </c>
      <c r="N2899" s="8" t="s">
        <v>15842</v>
      </c>
      <c r="O2899" s="8" t="s">
        <v>29</v>
      </c>
      <c r="P2899" s="8" t="s">
        <v>405</v>
      </c>
      <c r="Q2899" s="12" t="s">
        <v>15843</v>
      </c>
      <c r="R2899" s="8" t="s">
        <v>100</v>
      </c>
      <c r="S2899" s="7" t="s">
        <v>28</v>
      </c>
      <c r="T2899" s="6"/>
      <c r="U2899" s="8"/>
      <c r="Y2899" s="8"/>
      <c r="Z2899" s="8"/>
      <c r="AA2899" s="8"/>
      <c r="AB2899" s="8"/>
      <c r="AC2899" s="8"/>
      <c r="AD2899" s="8"/>
      <c r="AE2899" s="8"/>
      <c r="AF2899" s="8"/>
      <c r="AG2899" s="8"/>
      <c r="AH2899" s="8"/>
    </row>
    <row r="2900" spans="1:39" ht="13.5" customHeight="1">
      <c r="A2900" s="8" t="s">
        <v>15844</v>
      </c>
      <c r="B2900" s="16">
        <v>62</v>
      </c>
      <c r="C2900" s="8" t="s">
        <v>20</v>
      </c>
      <c r="D2900" s="8" t="s">
        <v>37</v>
      </c>
      <c r="F2900" s="17">
        <v>41462</v>
      </c>
      <c r="G2900" s="8" t="s">
        <v>15845</v>
      </c>
      <c r="H2900" s="8" t="s">
        <v>15846</v>
      </c>
      <c r="I2900" s="8" t="s">
        <v>44</v>
      </c>
      <c r="J2900" s="16" t="s">
        <v>15847</v>
      </c>
      <c r="K2900" s="2" t="s">
        <v>1301</v>
      </c>
      <c r="L2900" s="8" t="s">
        <v>15848</v>
      </c>
      <c r="M2900" s="8" t="s">
        <v>15849</v>
      </c>
      <c r="N2900" s="8" t="s">
        <v>15850</v>
      </c>
      <c r="O2900" s="8" t="s">
        <v>15851</v>
      </c>
      <c r="P2900" s="8" t="s">
        <v>15851</v>
      </c>
      <c r="Q2900" s="12" t="s">
        <v>15852</v>
      </c>
      <c r="R2900" s="8" t="s">
        <v>100</v>
      </c>
      <c r="S2900" s="7" t="s">
        <v>18</v>
      </c>
      <c r="T2900" s="6"/>
      <c r="U2900" s="8"/>
    </row>
    <row r="2901" spans="1:39" ht="13.5" customHeight="1">
      <c r="A2901" s="8" t="s">
        <v>15882</v>
      </c>
      <c r="B2901" s="16">
        <v>61</v>
      </c>
      <c r="C2901" s="8" t="s">
        <v>20</v>
      </c>
      <c r="D2901" s="8" t="s">
        <v>37</v>
      </c>
      <c r="E2901" s="8" t="s">
        <v>15883</v>
      </c>
      <c r="F2901" s="17">
        <v>41461</v>
      </c>
      <c r="G2901" s="8" t="s">
        <v>15884</v>
      </c>
      <c r="H2901" s="8" t="s">
        <v>1727</v>
      </c>
      <c r="I2901" s="8" t="s">
        <v>427</v>
      </c>
      <c r="J2901" s="16" t="s">
        <v>15885</v>
      </c>
      <c r="K2901" s="2" t="s">
        <v>1729</v>
      </c>
      <c r="L2901" s="8" t="s">
        <v>586</v>
      </c>
      <c r="M2901" s="8" t="s">
        <v>383</v>
      </c>
      <c r="N2901" s="8" t="s">
        <v>15886</v>
      </c>
      <c r="O2901" s="8" t="s">
        <v>1018</v>
      </c>
      <c r="P2901" s="8" t="s">
        <v>405</v>
      </c>
      <c r="Q2901" s="12" t="s">
        <v>15887</v>
      </c>
      <c r="R2901" s="8" t="s">
        <v>100</v>
      </c>
      <c r="S2901" s="7" t="s">
        <v>28</v>
      </c>
      <c r="T2901" s="6"/>
      <c r="U2901" s="8"/>
    </row>
    <row r="2902" spans="1:39" ht="13.5" customHeight="1">
      <c r="A2902" s="8" t="s">
        <v>15865</v>
      </c>
      <c r="B2902" s="16">
        <v>84</v>
      </c>
      <c r="C2902" s="8" t="s">
        <v>20</v>
      </c>
      <c r="D2902" s="8" t="s">
        <v>30</v>
      </c>
      <c r="F2902" s="17">
        <v>41461</v>
      </c>
      <c r="G2902" s="8" t="s">
        <v>15866</v>
      </c>
      <c r="H2902" s="8" t="s">
        <v>15867</v>
      </c>
      <c r="I2902" s="8" t="s">
        <v>152</v>
      </c>
      <c r="J2902" s="16" t="s">
        <v>15868</v>
      </c>
      <c r="K2902" s="2" t="s">
        <v>15869</v>
      </c>
      <c r="L2902" s="8" t="s">
        <v>15870</v>
      </c>
      <c r="M2902" s="8" t="s">
        <v>27</v>
      </c>
      <c r="N2902" s="8" t="s">
        <v>15871</v>
      </c>
      <c r="O2902" s="8" t="s">
        <v>1018</v>
      </c>
      <c r="P2902" s="8" t="s">
        <v>405</v>
      </c>
      <c r="Q2902" s="12" t="s">
        <v>15872</v>
      </c>
      <c r="R2902" s="8" t="s">
        <v>100</v>
      </c>
      <c r="S2902" s="7" t="s">
        <v>28</v>
      </c>
      <c r="T2902" s="6"/>
      <c r="U2902" s="8"/>
    </row>
    <row r="2903" spans="1:39" ht="13.5" customHeight="1">
      <c r="A2903" s="8" t="s">
        <v>15860</v>
      </c>
      <c r="B2903" s="16">
        <v>27</v>
      </c>
      <c r="C2903" s="8" t="s">
        <v>20</v>
      </c>
      <c r="D2903" s="8" t="s">
        <v>21</v>
      </c>
      <c r="F2903" s="17">
        <v>41461</v>
      </c>
      <c r="G2903" s="8" t="s">
        <v>15861</v>
      </c>
      <c r="H2903" s="8" t="s">
        <v>203</v>
      </c>
      <c r="I2903" s="8" t="s">
        <v>45</v>
      </c>
      <c r="J2903" s="16" t="s">
        <v>15862</v>
      </c>
      <c r="K2903" s="2" t="s">
        <v>203</v>
      </c>
      <c r="L2903" s="8" t="s">
        <v>204</v>
      </c>
      <c r="M2903" s="8" t="s">
        <v>27</v>
      </c>
      <c r="N2903" s="8" t="s">
        <v>15863</v>
      </c>
      <c r="O2903" s="8" t="s">
        <v>1018</v>
      </c>
      <c r="P2903" s="8" t="s">
        <v>405</v>
      </c>
      <c r="Q2903" s="12" t="s">
        <v>15864</v>
      </c>
      <c r="R2903" s="8" t="s">
        <v>100</v>
      </c>
      <c r="S2903" s="7" t="s">
        <v>28</v>
      </c>
      <c r="T2903" s="6"/>
      <c r="U2903" s="8"/>
      <c r="AI2903" s="8"/>
      <c r="AJ2903" s="8"/>
      <c r="AK2903" s="8"/>
      <c r="AL2903" s="8"/>
      <c r="AM2903" s="8"/>
    </row>
    <row r="2904" spans="1:39" ht="13.5" customHeight="1">
      <c r="A2904" s="8" t="s">
        <v>15877</v>
      </c>
      <c r="B2904" s="16">
        <v>59</v>
      </c>
      <c r="C2904" s="8" t="s">
        <v>20</v>
      </c>
      <c r="D2904" s="8" t="s">
        <v>37</v>
      </c>
      <c r="E2904" s="8" t="s">
        <v>15878</v>
      </c>
      <c r="F2904" s="17">
        <v>41461</v>
      </c>
      <c r="G2904" s="8" t="s">
        <v>15879</v>
      </c>
      <c r="H2904" s="8" t="s">
        <v>4243</v>
      </c>
      <c r="I2904" s="8" t="s">
        <v>370</v>
      </c>
      <c r="J2904" s="16" t="s">
        <v>9211</v>
      </c>
      <c r="K2904" s="2" t="s">
        <v>4245</v>
      </c>
      <c r="L2904" s="8" t="s">
        <v>4246</v>
      </c>
      <c r="M2904" s="8" t="s">
        <v>27</v>
      </c>
      <c r="N2904" s="8" t="s">
        <v>15880</v>
      </c>
      <c r="O2904" s="8" t="s">
        <v>554</v>
      </c>
      <c r="P2904" s="8" t="s">
        <v>405</v>
      </c>
      <c r="Q2904" s="12" t="s">
        <v>15881</v>
      </c>
      <c r="R2904" s="8" t="s">
        <v>100</v>
      </c>
      <c r="S2904" s="7" t="s">
        <v>28</v>
      </c>
      <c r="T2904" s="6"/>
      <c r="U2904" s="8"/>
    </row>
    <row r="2905" spans="1:39" ht="13.5" customHeight="1">
      <c r="A2905" s="8" t="s">
        <v>15873</v>
      </c>
      <c r="B2905" s="16">
        <v>34</v>
      </c>
      <c r="C2905" s="8" t="s">
        <v>20</v>
      </c>
      <c r="D2905" s="8" t="s">
        <v>30</v>
      </c>
      <c r="F2905" s="17">
        <v>41461</v>
      </c>
      <c r="G2905" s="8" t="s">
        <v>15874</v>
      </c>
      <c r="H2905" s="8" t="s">
        <v>638</v>
      </c>
      <c r="I2905" s="8" t="s">
        <v>124</v>
      </c>
      <c r="J2905" s="16" t="s">
        <v>2833</v>
      </c>
      <c r="K2905" s="2" t="s">
        <v>639</v>
      </c>
      <c r="L2905" s="8" t="s">
        <v>640</v>
      </c>
      <c r="M2905" s="8" t="s">
        <v>27</v>
      </c>
      <c r="N2905" s="8" t="s">
        <v>15875</v>
      </c>
      <c r="O2905" s="8" t="s">
        <v>1018</v>
      </c>
      <c r="P2905" s="8" t="s">
        <v>405</v>
      </c>
      <c r="Q2905" s="12" t="s">
        <v>15876</v>
      </c>
      <c r="R2905" s="8" t="s">
        <v>559</v>
      </c>
      <c r="S2905" s="7" t="s">
        <v>28</v>
      </c>
      <c r="T2905" s="6"/>
      <c r="U2905" s="8"/>
    </row>
    <row r="2906" spans="1:39" ht="13.5" customHeight="1">
      <c r="A2906" s="8" t="s">
        <v>15910</v>
      </c>
      <c r="B2906" s="16">
        <v>42</v>
      </c>
      <c r="C2906" s="8" t="s">
        <v>20</v>
      </c>
      <c r="D2906" s="8" t="s">
        <v>37</v>
      </c>
      <c r="F2906" s="17">
        <v>41460</v>
      </c>
      <c r="G2906" s="8" t="s">
        <v>15911</v>
      </c>
      <c r="H2906" s="8" t="s">
        <v>4629</v>
      </c>
      <c r="I2906" s="8" t="s">
        <v>862</v>
      </c>
      <c r="J2906" s="16" t="s">
        <v>15912</v>
      </c>
      <c r="K2906" s="2" t="s">
        <v>4631</v>
      </c>
      <c r="L2906" s="8" t="s">
        <v>5088</v>
      </c>
      <c r="M2906" s="8" t="s">
        <v>27</v>
      </c>
      <c r="N2906" s="8" t="s">
        <v>15913</v>
      </c>
      <c r="O2906" s="8" t="s">
        <v>554</v>
      </c>
      <c r="P2906" s="8" t="s">
        <v>405</v>
      </c>
      <c r="Q2906" s="12" t="s">
        <v>15914</v>
      </c>
      <c r="R2906" s="8" t="s">
        <v>100</v>
      </c>
      <c r="S2906" s="7" t="s">
        <v>28</v>
      </c>
      <c r="T2906" s="6"/>
      <c r="U2906" s="8"/>
    </row>
    <row r="2907" spans="1:39" ht="13.5" customHeight="1">
      <c r="A2907" s="8" t="s">
        <v>15898</v>
      </c>
      <c r="B2907" s="16">
        <v>39</v>
      </c>
      <c r="C2907" s="8" t="s">
        <v>20</v>
      </c>
      <c r="D2907" s="8" t="s">
        <v>37</v>
      </c>
      <c r="E2907" s="8" t="s">
        <v>15899</v>
      </c>
      <c r="F2907" s="17">
        <v>41460</v>
      </c>
      <c r="G2907" s="8" t="s">
        <v>15900</v>
      </c>
      <c r="H2907" s="8" t="s">
        <v>5505</v>
      </c>
      <c r="I2907" s="8" t="s">
        <v>62</v>
      </c>
      <c r="J2907" s="16" t="s">
        <v>15901</v>
      </c>
      <c r="K2907" s="2" t="s">
        <v>5506</v>
      </c>
      <c r="L2907" s="8" t="s">
        <v>5507</v>
      </c>
      <c r="M2907" s="8" t="s">
        <v>27</v>
      </c>
      <c r="N2907" s="8" t="s">
        <v>15902</v>
      </c>
      <c r="O2907" s="8" t="s">
        <v>554</v>
      </c>
      <c r="P2907" s="8" t="s">
        <v>405</v>
      </c>
      <c r="Q2907" s="12" t="s">
        <v>15903</v>
      </c>
      <c r="R2907" s="8" t="s">
        <v>100</v>
      </c>
      <c r="S2907" s="7" t="s">
        <v>28</v>
      </c>
      <c r="T2907" s="6"/>
      <c r="U2907" s="8"/>
    </row>
    <row r="2908" spans="1:39" ht="13.5" customHeight="1">
      <c r="A2908" s="8" t="s">
        <v>15904</v>
      </c>
      <c r="B2908" s="16">
        <v>28</v>
      </c>
      <c r="C2908" s="8" t="s">
        <v>20</v>
      </c>
      <c r="D2908" s="8" t="s">
        <v>37</v>
      </c>
      <c r="E2908" s="8" t="s">
        <v>15905</v>
      </c>
      <c r="F2908" s="17">
        <v>41460</v>
      </c>
      <c r="G2908" s="8" t="s">
        <v>15906</v>
      </c>
      <c r="H2908" s="8" t="s">
        <v>1220</v>
      </c>
      <c r="I2908" s="8" t="s">
        <v>306</v>
      </c>
      <c r="J2908" s="16" t="s">
        <v>15907</v>
      </c>
      <c r="K2908" s="2" t="s">
        <v>1221</v>
      </c>
      <c r="L2908" s="8" t="s">
        <v>1222</v>
      </c>
      <c r="M2908" s="8" t="s">
        <v>27</v>
      </c>
      <c r="N2908" s="8" t="s">
        <v>15908</v>
      </c>
      <c r="O2908" s="8" t="s">
        <v>554</v>
      </c>
      <c r="P2908" s="8" t="s">
        <v>405</v>
      </c>
      <c r="Q2908" s="12" t="s">
        <v>15909</v>
      </c>
      <c r="R2908" s="8" t="s">
        <v>559</v>
      </c>
      <c r="S2908" s="7" t="s">
        <v>28</v>
      </c>
      <c r="T2908" s="6"/>
      <c r="U2908" s="8"/>
    </row>
    <row r="2909" spans="1:39" ht="13.5" customHeight="1">
      <c r="A2909" s="8" t="s">
        <v>15893</v>
      </c>
      <c r="B2909" s="16">
        <v>57</v>
      </c>
      <c r="C2909" s="8" t="s">
        <v>20</v>
      </c>
      <c r="D2909" s="8" t="s">
        <v>30</v>
      </c>
      <c r="F2909" s="17">
        <v>41460</v>
      </c>
      <c r="G2909" s="8" t="s">
        <v>15894</v>
      </c>
      <c r="H2909" s="8" t="s">
        <v>1879</v>
      </c>
      <c r="I2909" s="8" t="s">
        <v>374</v>
      </c>
      <c r="J2909" s="16" t="s">
        <v>15895</v>
      </c>
      <c r="K2909" s="2" t="s">
        <v>1881</v>
      </c>
      <c r="L2909" s="8" t="s">
        <v>1882</v>
      </c>
      <c r="M2909" s="8" t="s">
        <v>27</v>
      </c>
      <c r="N2909" s="8" t="s">
        <v>15896</v>
      </c>
      <c r="O2909" s="8" t="s">
        <v>554</v>
      </c>
      <c r="P2909" s="8" t="s">
        <v>405</v>
      </c>
      <c r="Q2909" s="12" t="s">
        <v>15897</v>
      </c>
      <c r="R2909" s="8" t="s">
        <v>100</v>
      </c>
      <c r="S2909" s="7" t="s">
        <v>28</v>
      </c>
      <c r="T2909" s="6"/>
      <c r="U2909" s="8"/>
    </row>
    <row r="2910" spans="1:39" ht="13.5" customHeight="1">
      <c r="A2910" s="8" t="s">
        <v>15888</v>
      </c>
      <c r="B2910" s="16" t="s">
        <v>15889</v>
      </c>
      <c r="C2910" s="8" t="s">
        <v>20</v>
      </c>
      <c r="D2910" s="8" t="s">
        <v>85</v>
      </c>
      <c r="E2910" s="8" t="s">
        <v>15890</v>
      </c>
      <c r="F2910" s="17">
        <v>41460</v>
      </c>
      <c r="G2910" s="8" t="s">
        <v>15891</v>
      </c>
      <c r="H2910" s="8" t="s">
        <v>930</v>
      </c>
      <c r="I2910" s="8" t="s">
        <v>198</v>
      </c>
      <c r="J2910" s="16" t="s">
        <v>5023</v>
      </c>
      <c r="K2910" s="2" t="s">
        <v>471</v>
      </c>
      <c r="L2910" s="8" t="s">
        <v>5024</v>
      </c>
      <c r="M2910" s="8" t="s">
        <v>27</v>
      </c>
      <c r="N2910" s="8" t="s">
        <v>15892</v>
      </c>
      <c r="O2910" s="8" t="s">
        <v>29</v>
      </c>
      <c r="P2910" s="8" t="s">
        <v>405</v>
      </c>
      <c r="Q2910" s="12" t="s">
        <v>10223</v>
      </c>
      <c r="R2910" s="8" t="s">
        <v>559</v>
      </c>
      <c r="S2910" s="7" t="s">
        <v>28</v>
      </c>
      <c r="T2910" s="6"/>
      <c r="U2910" s="8"/>
      <c r="Y2910" s="8"/>
      <c r="Z2910" s="8"/>
      <c r="AA2910" s="8"/>
      <c r="AB2910" s="8"/>
      <c r="AC2910" s="8"/>
      <c r="AD2910" s="8"/>
      <c r="AE2910" s="8"/>
      <c r="AF2910" s="8"/>
      <c r="AG2910" s="8"/>
      <c r="AH2910" s="8"/>
    </row>
    <row r="2911" spans="1:39" ht="13.5" customHeight="1">
      <c r="A2911" s="8" t="s">
        <v>15915</v>
      </c>
      <c r="B2911" s="16">
        <v>31</v>
      </c>
      <c r="C2911" s="8" t="s">
        <v>20</v>
      </c>
      <c r="D2911" s="8" t="s">
        <v>21</v>
      </c>
      <c r="F2911" s="17">
        <v>41459</v>
      </c>
      <c r="G2911" s="8" t="s">
        <v>15916</v>
      </c>
      <c r="H2911" s="8" t="s">
        <v>851</v>
      </c>
      <c r="I2911" s="8" t="s">
        <v>73</v>
      </c>
      <c r="J2911" s="16" t="s">
        <v>15917</v>
      </c>
      <c r="K2911" s="2" t="s">
        <v>74</v>
      </c>
      <c r="L2911" s="8" t="s">
        <v>852</v>
      </c>
      <c r="M2911" s="8" t="s">
        <v>27</v>
      </c>
      <c r="N2911" s="8" t="s">
        <v>15918</v>
      </c>
      <c r="O2911" s="8" t="s">
        <v>554</v>
      </c>
      <c r="P2911" s="8" t="s">
        <v>405</v>
      </c>
      <c r="Q2911" s="12" t="s">
        <v>15919</v>
      </c>
      <c r="R2911" s="8" t="s">
        <v>100</v>
      </c>
      <c r="S2911" s="7" t="s">
        <v>28</v>
      </c>
      <c r="T2911" s="6"/>
      <c r="U2911" s="8"/>
      <c r="Y2911" s="8"/>
      <c r="Z2911" s="8"/>
      <c r="AA2911" s="8"/>
      <c r="AB2911" s="8"/>
      <c r="AC2911" s="8"/>
      <c r="AD2911" s="8"/>
      <c r="AE2911" s="8"/>
      <c r="AF2911" s="8"/>
      <c r="AG2911" s="8"/>
      <c r="AH2911" s="8"/>
      <c r="AI2911" s="8"/>
      <c r="AJ2911" s="8"/>
      <c r="AK2911" s="8"/>
      <c r="AL2911" s="8"/>
      <c r="AM2911" s="8"/>
    </row>
    <row r="2912" spans="1:39" ht="13.5" customHeight="1">
      <c r="A2912" s="8" t="s">
        <v>15931</v>
      </c>
      <c r="B2912" s="16">
        <v>39</v>
      </c>
      <c r="C2912" s="8" t="s">
        <v>20</v>
      </c>
      <c r="D2912" s="8" t="s">
        <v>48</v>
      </c>
      <c r="E2912" s="8" t="s">
        <v>15932</v>
      </c>
      <c r="F2912" s="17">
        <v>41459</v>
      </c>
      <c r="G2912" s="8" t="s">
        <v>15933</v>
      </c>
      <c r="H2912" s="8" t="s">
        <v>762</v>
      </c>
      <c r="I2912" s="8" t="s">
        <v>427</v>
      </c>
      <c r="J2912" s="16" t="s">
        <v>15934</v>
      </c>
      <c r="K2912" s="2" t="s">
        <v>762</v>
      </c>
      <c r="L2912" s="8" t="s">
        <v>586</v>
      </c>
      <c r="M2912" s="8" t="s">
        <v>3407</v>
      </c>
      <c r="N2912" s="8" t="s">
        <v>15935</v>
      </c>
      <c r="O2912" s="8" t="s">
        <v>404</v>
      </c>
      <c r="P2912" s="8" t="s">
        <v>405</v>
      </c>
      <c r="Q2912" s="12" t="s">
        <v>15936</v>
      </c>
      <c r="R2912" s="8" t="s">
        <v>100</v>
      </c>
      <c r="S2912" s="7" t="s">
        <v>28</v>
      </c>
      <c r="T2912" s="6"/>
      <c r="U2912" s="8"/>
    </row>
    <row r="2913" spans="1:34" ht="13.5" customHeight="1">
      <c r="A2913" s="8" t="s">
        <v>15920</v>
      </c>
      <c r="B2913" s="16">
        <v>17</v>
      </c>
      <c r="C2913" s="8" t="s">
        <v>20</v>
      </c>
      <c r="D2913" s="8" t="s">
        <v>85</v>
      </c>
      <c r="E2913" s="8" t="s">
        <v>15921</v>
      </c>
      <c r="F2913" s="17">
        <v>41459</v>
      </c>
      <c r="G2913" s="8" t="s">
        <v>15922</v>
      </c>
      <c r="H2913" s="8" t="s">
        <v>87</v>
      </c>
      <c r="I2913" s="8" t="s">
        <v>44</v>
      </c>
      <c r="J2913" s="16" t="s">
        <v>15923</v>
      </c>
      <c r="K2913" s="2" t="s">
        <v>88</v>
      </c>
      <c r="L2913" s="8" t="s">
        <v>89</v>
      </c>
      <c r="M2913" s="8" t="s">
        <v>27</v>
      </c>
      <c r="N2913" s="8" t="s">
        <v>15924</v>
      </c>
      <c r="O2913" s="8" t="s">
        <v>4742</v>
      </c>
      <c r="P2913" s="8" t="s">
        <v>405</v>
      </c>
      <c r="Q2913" s="12" t="s">
        <v>15925</v>
      </c>
      <c r="R2913" s="8" t="s">
        <v>100</v>
      </c>
      <c r="S2913" s="7" t="s">
        <v>28</v>
      </c>
      <c r="T2913" s="6"/>
      <c r="U2913" s="8"/>
    </row>
    <row r="2914" spans="1:34" ht="13.5" customHeight="1">
      <c r="A2914" s="8" t="s">
        <v>15926</v>
      </c>
      <c r="B2914" s="16">
        <v>37</v>
      </c>
      <c r="C2914" s="8" t="s">
        <v>20</v>
      </c>
      <c r="D2914" s="8" t="s">
        <v>85</v>
      </c>
      <c r="E2914" s="8" t="s">
        <v>15927</v>
      </c>
      <c r="F2914" s="17">
        <v>41459</v>
      </c>
      <c r="G2914" s="8" t="s">
        <v>15928</v>
      </c>
      <c r="H2914" s="8" t="s">
        <v>6381</v>
      </c>
      <c r="I2914" s="8" t="s">
        <v>45</v>
      </c>
      <c r="J2914" s="16" t="s">
        <v>6382</v>
      </c>
      <c r="K2914" s="2" t="s">
        <v>791</v>
      </c>
      <c r="L2914" s="8" t="s">
        <v>6383</v>
      </c>
      <c r="M2914" s="8" t="s">
        <v>27</v>
      </c>
      <c r="N2914" s="8" t="s">
        <v>15929</v>
      </c>
      <c r="O2914" s="8" t="s">
        <v>4742</v>
      </c>
      <c r="P2914" s="8" t="s">
        <v>405</v>
      </c>
      <c r="Q2914" s="12" t="s">
        <v>15930</v>
      </c>
      <c r="R2914" s="8" t="s">
        <v>100</v>
      </c>
      <c r="S2914" s="7" t="s">
        <v>28</v>
      </c>
      <c r="T2914" s="6"/>
      <c r="U2914" s="8"/>
    </row>
    <row r="2915" spans="1:34" ht="13.5" customHeight="1">
      <c r="A2915" s="8" t="s">
        <v>15937</v>
      </c>
      <c r="B2915" s="16">
        <v>53</v>
      </c>
      <c r="C2915" s="8" t="s">
        <v>20</v>
      </c>
      <c r="D2915" s="8" t="s">
        <v>48</v>
      </c>
      <c r="F2915" s="17">
        <v>41459</v>
      </c>
      <c r="G2915" s="8" t="s">
        <v>15938</v>
      </c>
      <c r="H2915" s="8" t="s">
        <v>15939</v>
      </c>
      <c r="I2915" s="8" t="s">
        <v>57</v>
      </c>
      <c r="J2915" s="16" t="s">
        <v>15940</v>
      </c>
      <c r="K2915" s="2" t="s">
        <v>15941</v>
      </c>
      <c r="L2915" s="8" t="s">
        <v>15942</v>
      </c>
      <c r="M2915" s="8" t="s">
        <v>27</v>
      </c>
      <c r="N2915" s="8" t="s">
        <v>15943</v>
      </c>
      <c r="O2915" s="8" t="s">
        <v>4742</v>
      </c>
      <c r="P2915" s="8" t="s">
        <v>405</v>
      </c>
      <c r="Q2915" s="12" t="s">
        <v>15944</v>
      </c>
      <c r="R2915" s="8" t="s">
        <v>100</v>
      </c>
      <c r="S2915" s="7" t="s">
        <v>28</v>
      </c>
      <c r="T2915" s="6"/>
      <c r="U2915" s="8"/>
    </row>
    <row r="2916" spans="1:34" ht="13.5" customHeight="1">
      <c r="A2916" s="8" t="s">
        <v>15945</v>
      </c>
      <c r="B2916" s="16">
        <v>25</v>
      </c>
      <c r="C2916" s="8" t="s">
        <v>20</v>
      </c>
      <c r="D2916" s="8" t="s">
        <v>30</v>
      </c>
      <c r="F2916" s="17">
        <v>41459</v>
      </c>
      <c r="G2916" s="8" t="s">
        <v>15946</v>
      </c>
      <c r="H2916" s="8" t="s">
        <v>1069</v>
      </c>
      <c r="I2916" s="8" t="s">
        <v>62</v>
      </c>
      <c r="J2916" s="16" t="s">
        <v>15947</v>
      </c>
      <c r="K2916" s="2" t="s">
        <v>1070</v>
      </c>
      <c r="L2916" s="8" t="s">
        <v>1071</v>
      </c>
      <c r="M2916" s="8" t="s">
        <v>383</v>
      </c>
      <c r="N2916" s="8" t="s">
        <v>15948</v>
      </c>
      <c r="O2916" s="8" t="s">
        <v>1018</v>
      </c>
      <c r="P2916" s="8" t="s">
        <v>405</v>
      </c>
      <c r="Q2916" s="12" t="s">
        <v>15949</v>
      </c>
      <c r="R2916" s="8" t="s">
        <v>100</v>
      </c>
      <c r="S2916" s="7" t="s">
        <v>28</v>
      </c>
      <c r="T2916" s="6"/>
      <c r="U2916" s="8"/>
    </row>
    <row r="2917" spans="1:34" ht="13.5" customHeight="1">
      <c r="A2917" s="8" t="s">
        <v>15973</v>
      </c>
      <c r="B2917" s="16">
        <v>34</v>
      </c>
      <c r="C2917" s="8" t="s">
        <v>20</v>
      </c>
      <c r="D2917" s="8" t="s">
        <v>37</v>
      </c>
      <c r="E2917" s="8" t="s">
        <v>15974</v>
      </c>
      <c r="F2917" s="17">
        <v>41458</v>
      </c>
      <c r="G2917" s="8" t="s">
        <v>15975</v>
      </c>
      <c r="H2917" s="8" t="s">
        <v>15976</v>
      </c>
      <c r="I2917" s="8" t="s">
        <v>986</v>
      </c>
      <c r="J2917" s="16" t="s">
        <v>15977</v>
      </c>
      <c r="K2917" s="2" t="s">
        <v>15978</v>
      </c>
      <c r="L2917" s="8" t="s">
        <v>15979</v>
      </c>
      <c r="M2917" s="8" t="s">
        <v>27</v>
      </c>
      <c r="N2917" s="8" t="s">
        <v>15980</v>
      </c>
      <c r="O2917" s="8" t="s">
        <v>4742</v>
      </c>
      <c r="P2917" s="8" t="s">
        <v>405</v>
      </c>
      <c r="Q2917" s="12" t="s">
        <v>15981</v>
      </c>
      <c r="R2917" s="8" t="s">
        <v>100</v>
      </c>
      <c r="S2917" s="7" t="s">
        <v>28</v>
      </c>
      <c r="T2917" s="6"/>
      <c r="U2917" s="8"/>
    </row>
    <row r="2918" spans="1:34" ht="13.5" customHeight="1">
      <c r="A2918" s="8" t="s">
        <v>15966</v>
      </c>
      <c r="B2918" s="16">
        <v>23</v>
      </c>
      <c r="C2918" s="8" t="s">
        <v>20</v>
      </c>
      <c r="D2918" s="8" t="s">
        <v>37</v>
      </c>
      <c r="E2918" s="8" t="s">
        <v>15967</v>
      </c>
      <c r="F2918" s="17">
        <v>41458</v>
      </c>
      <c r="G2918" s="8" t="s">
        <v>15968</v>
      </c>
      <c r="H2918" s="8" t="s">
        <v>1070</v>
      </c>
      <c r="I2918" s="8" t="s">
        <v>46</v>
      </c>
      <c r="J2918" s="16" t="s">
        <v>15969</v>
      </c>
      <c r="K2918" s="2" t="s">
        <v>1301</v>
      </c>
      <c r="L2918" s="8" t="s">
        <v>15970</v>
      </c>
      <c r="M2918" s="8" t="s">
        <v>27</v>
      </c>
      <c r="N2918" s="8" t="s">
        <v>15971</v>
      </c>
      <c r="O2918" s="8" t="s">
        <v>554</v>
      </c>
      <c r="P2918" s="8" t="s">
        <v>405</v>
      </c>
      <c r="Q2918" s="12" t="s">
        <v>15972</v>
      </c>
      <c r="R2918" s="8" t="s">
        <v>100</v>
      </c>
      <c r="S2918" s="7" t="s">
        <v>28</v>
      </c>
      <c r="T2918" s="6"/>
      <c r="U2918" s="8"/>
    </row>
    <row r="2919" spans="1:34" ht="13.5" customHeight="1">
      <c r="A2919" s="8" t="s">
        <v>15950</v>
      </c>
      <c r="B2919" s="16">
        <v>30</v>
      </c>
      <c r="C2919" s="8" t="s">
        <v>20</v>
      </c>
      <c r="D2919" s="8" t="s">
        <v>37</v>
      </c>
      <c r="F2919" s="17">
        <v>41458</v>
      </c>
      <c r="G2919" s="8" t="s">
        <v>15951</v>
      </c>
      <c r="H2919" s="8" t="s">
        <v>15952</v>
      </c>
      <c r="I2919" s="8" t="s">
        <v>69</v>
      </c>
      <c r="J2919" s="16" t="s">
        <v>15953</v>
      </c>
      <c r="K2919" s="2" t="s">
        <v>15954</v>
      </c>
      <c r="L2919" s="8" t="s">
        <v>15955</v>
      </c>
      <c r="M2919" s="8" t="s">
        <v>27</v>
      </c>
      <c r="N2919" s="8" t="s">
        <v>15956</v>
      </c>
      <c r="O2919" s="8" t="s">
        <v>404</v>
      </c>
      <c r="P2919" s="8" t="s">
        <v>405</v>
      </c>
      <c r="Q2919" s="12" t="s">
        <v>15957</v>
      </c>
      <c r="R2919" s="8" t="s">
        <v>559</v>
      </c>
      <c r="S2919" s="7" t="s">
        <v>28</v>
      </c>
      <c r="T2919" s="6"/>
      <c r="U2919" s="8"/>
    </row>
    <row r="2920" spans="1:34" ht="13.5" customHeight="1">
      <c r="A2920" s="8" t="s">
        <v>15958</v>
      </c>
      <c r="B2920" s="16">
        <v>26</v>
      </c>
      <c r="C2920" s="8" t="s">
        <v>20</v>
      </c>
      <c r="D2920" s="8" t="s">
        <v>37</v>
      </c>
      <c r="E2920" s="8" t="s">
        <v>15959</v>
      </c>
      <c r="F2920" s="17">
        <v>41458</v>
      </c>
      <c r="G2920" s="8" t="s">
        <v>15960</v>
      </c>
      <c r="H2920" s="8" t="s">
        <v>15961</v>
      </c>
      <c r="I2920" s="8" t="s">
        <v>4424</v>
      </c>
      <c r="J2920" s="16" t="s">
        <v>15962</v>
      </c>
      <c r="K2920" s="2" t="s">
        <v>119</v>
      </c>
      <c r="L2920" s="8" t="s">
        <v>15963</v>
      </c>
      <c r="M2920" s="8" t="s">
        <v>27</v>
      </c>
      <c r="N2920" s="8" t="s">
        <v>15964</v>
      </c>
      <c r="O2920" s="8" t="s">
        <v>554</v>
      </c>
      <c r="P2920" s="8" t="s">
        <v>405</v>
      </c>
      <c r="Q2920" s="12" t="s">
        <v>15965</v>
      </c>
      <c r="R2920" s="8" t="s">
        <v>100</v>
      </c>
      <c r="S2920" s="7" t="s">
        <v>28</v>
      </c>
      <c r="T2920" s="6"/>
      <c r="U2920" s="8"/>
    </row>
    <row r="2921" spans="1:34" ht="13.5" customHeight="1">
      <c r="A2921" s="8" t="s">
        <v>16000</v>
      </c>
      <c r="B2921" s="16" t="s">
        <v>13716</v>
      </c>
      <c r="C2921" s="8" t="s">
        <v>20</v>
      </c>
      <c r="D2921" s="8" t="s">
        <v>37</v>
      </c>
      <c r="F2921" s="17">
        <v>41457</v>
      </c>
      <c r="G2921" s="8" t="s">
        <v>16001</v>
      </c>
      <c r="H2921" s="8" t="s">
        <v>9372</v>
      </c>
      <c r="I2921" s="8" t="s">
        <v>46</v>
      </c>
      <c r="J2921" s="16" t="s">
        <v>16002</v>
      </c>
      <c r="K2921" s="2" t="s">
        <v>42</v>
      </c>
      <c r="L2921" s="8" t="s">
        <v>16003</v>
      </c>
      <c r="M2921" s="8" t="s">
        <v>27</v>
      </c>
      <c r="N2921" s="8" t="s">
        <v>16004</v>
      </c>
      <c r="O2921" s="8" t="s">
        <v>554</v>
      </c>
      <c r="P2921" s="8" t="s">
        <v>405</v>
      </c>
      <c r="Q2921" s="12" t="s">
        <v>16005</v>
      </c>
      <c r="R2921" s="8" t="s">
        <v>972</v>
      </c>
      <c r="S2921" s="7" t="s">
        <v>28</v>
      </c>
      <c r="T2921" s="6"/>
      <c r="U2921" s="8"/>
      <c r="Y2921" s="13"/>
      <c r="Z2921" s="13"/>
      <c r="AA2921" s="13"/>
      <c r="AB2921" s="13"/>
      <c r="AC2921" s="13"/>
      <c r="AD2921" s="13"/>
      <c r="AE2921" s="13"/>
      <c r="AF2921" s="13"/>
      <c r="AG2921" s="13"/>
      <c r="AH2921" s="13"/>
    </row>
    <row r="2922" spans="1:34" ht="13.5" customHeight="1">
      <c r="A2922" s="8" t="s">
        <v>15987</v>
      </c>
      <c r="B2922" s="16">
        <v>54</v>
      </c>
      <c r="C2922" s="8" t="s">
        <v>115</v>
      </c>
      <c r="D2922" s="8" t="s">
        <v>30</v>
      </c>
      <c r="F2922" s="17">
        <v>41457</v>
      </c>
      <c r="G2922" s="8" t="s">
        <v>15988</v>
      </c>
      <c r="H2922" s="8" t="s">
        <v>15989</v>
      </c>
      <c r="I2922" s="8" t="s">
        <v>118</v>
      </c>
      <c r="J2922" s="16" t="s">
        <v>15990</v>
      </c>
      <c r="K2922" s="2" t="s">
        <v>13089</v>
      </c>
      <c r="L2922" s="8" t="s">
        <v>15991</v>
      </c>
      <c r="M2922" s="8" t="s">
        <v>27</v>
      </c>
      <c r="N2922" s="8" t="s">
        <v>15992</v>
      </c>
      <c r="O2922" s="8" t="s">
        <v>554</v>
      </c>
      <c r="P2922" s="8" t="s">
        <v>405</v>
      </c>
      <c r="Q2922" s="12" t="s">
        <v>15993</v>
      </c>
      <c r="R2922" s="8" t="s">
        <v>100</v>
      </c>
      <c r="S2922" s="7" t="s">
        <v>28</v>
      </c>
      <c r="T2922" s="6"/>
      <c r="U2922" s="8"/>
    </row>
    <row r="2923" spans="1:34" ht="13.5" customHeight="1">
      <c r="A2923" s="8" t="s">
        <v>15982</v>
      </c>
      <c r="B2923" s="16">
        <v>37</v>
      </c>
      <c r="C2923" s="8" t="s">
        <v>20</v>
      </c>
      <c r="D2923" s="8" t="s">
        <v>48</v>
      </c>
      <c r="E2923" s="8" t="s">
        <v>15983</v>
      </c>
      <c r="F2923" s="17">
        <v>41457</v>
      </c>
      <c r="G2923" s="8" t="s">
        <v>15984</v>
      </c>
      <c r="H2923" s="8" t="s">
        <v>979</v>
      </c>
      <c r="I2923" s="8" t="s">
        <v>198</v>
      </c>
      <c r="J2923" s="16" t="s">
        <v>7216</v>
      </c>
      <c r="K2923" s="2" t="s">
        <v>980</v>
      </c>
      <c r="L2923" s="8" t="s">
        <v>7217</v>
      </c>
      <c r="M2923" s="8" t="s">
        <v>27</v>
      </c>
      <c r="N2923" s="8" t="s">
        <v>15985</v>
      </c>
      <c r="O2923" s="8" t="s">
        <v>4742</v>
      </c>
      <c r="P2923" s="8" t="s">
        <v>405</v>
      </c>
      <c r="Q2923" s="12" t="s">
        <v>15986</v>
      </c>
      <c r="R2923" s="8" t="s">
        <v>100</v>
      </c>
      <c r="S2923" s="7" t="s">
        <v>28</v>
      </c>
      <c r="T2923" s="6"/>
      <c r="U2923" s="8"/>
    </row>
    <row r="2924" spans="1:34" ht="13.5" customHeight="1">
      <c r="A2924" s="8" t="s">
        <v>15994</v>
      </c>
      <c r="B2924" s="16">
        <v>33</v>
      </c>
      <c r="C2924" s="8" t="s">
        <v>20</v>
      </c>
      <c r="D2924" s="8" t="s">
        <v>30</v>
      </c>
      <c r="F2924" s="17">
        <v>41457</v>
      </c>
      <c r="G2924" s="8" t="s">
        <v>15995</v>
      </c>
      <c r="H2924" s="8" t="s">
        <v>8816</v>
      </c>
      <c r="I2924" s="8" t="s">
        <v>45</v>
      </c>
      <c r="J2924" s="16" t="s">
        <v>15996</v>
      </c>
      <c r="K2924" s="2" t="s">
        <v>608</v>
      </c>
      <c r="L2924" s="8" t="s">
        <v>8818</v>
      </c>
      <c r="M2924" s="8" t="s">
        <v>15997</v>
      </c>
      <c r="N2924" s="8" t="s">
        <v>15998</v>
      </c>
      <c r="O2924" s="8" t="s">
        <v>1018</v>
      </c>
      <c r="P2924" s="8" t="s">
        <v>405</v>
      </c>
      <c r="Q2924" s="12" t="s">
        <v>15999</v>
      </c>
      <c r="R2924" s="8" t="s">
        <v>100</v>
      </c>
      <c r="S2924" s="7" t="s">
        <v>28</v>
      </c>
      <c r="T2924" s="6"/>
      <c r="U2924" s="8"/>
    </row>
    <row r="2925" spans="1:34" ht="13.5" customHeight="1">
      <c r="A2925" s="8" t="s">
        <v>16014</v>
      </c>
      <c r="B2925" s="16" t="s">
        <v>16015</v>
      </c>
      <c r="C2925" s="8" t="s">
        <v>20</v>
      </c>
      <c r="D2925" s="8" t="s">
        <v>30</v>
      </c>
      <c r="F2925" s="17">
        <v>41456</v>
      </c>
      <c r="G2925" s="8" t="s">
        <v>16016</v>
      </c>
      <c r="H2925" s="8" t="s">
        <v>1204</v>
      </c>
      <c r="I2925" s="8" t="s">
        <v>323</v>
      </c>
      <c r="J2925" s="16">
        <v>38117</v>
      </c>
      <c r="K2925" s="2" t="s">
        <v>1205</v>
      </c>
      <c r="L2925" s="8" t="s">
        <v>1206</v>
      </c>
      <c r="M2925" s="8" t="s">
        <v>27</v>
      </c>
      <c r="N2925" s="8" t="s">
        <v>16017</v>
      </c>
      <c r="O2925" s="8" t="s">
        <v>29</v>
      </c>
      <c r="P2925" s="8" t="s">
        <v>405</v>
      </c>
      <c r="Q2925" s="12" t="s">
        <v>16018</v>
      </c>
      <c r="R2925" s="8" t="s">
        <v>559</v>
      </c>
      <c r="S2925" s="7" t="s">
        <v>28</v>
      </c>
      <c r="T2925" s="6"/>
      <c r="U2925" s="8"/>
    </row>
    <row r="2926" spans="1:34" ht="13.5" customHeight="1">
      <c r="A2926" s="8" t="s">
        <v>16006</v>
      </c>
      <c r="B2926" s="16">
        <v>76</v>
      </c>
      <c r="C2926" s="8" t="s">
        <v>20</v>
      </c>
      <c r="D2926" s="8" t="s">
        <v>30</v>
      </c>
      <c r="F2926" s="17">
        <v>41456</v>
      </c>
      <c r="G2926" s="8" t="s">
        <v>16007</v>
      </c>
      <c r="H2926" s="8" t="s">
        <v>16008</v>
      </c>
      <c r="I2926" s="8" t="s">
        <v>442</v>
      </c>
      <c r="J2926" s="16" t="s">
        <v>16009</v>
      </c>
      <c r="K2926" s="2" t="s">
        <v>16010</v>
      </c>
      <c r="L2926" s="8" t="s">
        <v>16011</v>
      </c>
      <c r="M2926" s="8" t="s">
        <v>27</v>
      </c>
      <c r="N2926" s="8" t="s">
        <v>16012</v>
      </c>
      <c r="O2926" s="8" t="s">
        <v>4742</v>
      </c>
      <c r="P2926" s="8" t="s">
        <v>405</v>
      </c>
      <c r="Q2926" s="12" t="s">
        <v>16013</v>
      </c>
      <c r="R2926" s="8" t="s">
        <v>559</v>
      </c>
      <c r="S2926" s="7" t="s">
        <v>28</v>
      </c>
      <c r="T2926" s="6"/>
      <c r="U2926" s="8"/>
    </row>
    <row r="2927" spans="1:34" ht="13.5" customHeight="1">
      <c r="A2927" s="8" t="s">
        <v>4699</v>
      </c>
      <c r="B2927" s="16">
        <v>34</v>
      </c>
      <c r="C2927" s="8" t="s">
        <v>20</v>
      </c>
      <c r="D2927" s="8" t="s">
        <v>48</v>
      </c>
      <c r="F2927" s="17">
        <v>41455</v>
      </c>
      <c r="G2927" s="8" t="s">
        <v>16024</v>
      </c>
      <c r="H2927" s="8" t="s">
        <v>16025</v>
      </c>
      <c r="I2927" s="8" t="s">
        <v>45</v>
      </c>
      <c r="J2927" s="16" t="s">
        <v>16026</v>
      </c>
      <c r="K2927" s="2" t="s">
        <v>98</v>
      </c>
      <c r="L2927" s="8" t="s">
        <v>99</v>
      </c>
      <c r="M2927" s="8" t="s">
        <v>27</v>
      </c>
      <c r="N2927" s="8" t="s">
        <v>16027</v>
      </c>
      <c r="O2927" s="8" t="s">
        <v>1018</v>
      </c>
      <c r="P2927" s="8" t="s">
        <v>405</v>
      </c>
      <c r="Q2927" s="12" t="s">
        <v>16028</v>
      </c>
      <c r="R2927" s="8" t="s">
        <v>100</v>
      </c>
      <c r="S2927" s="7" t="s">
        <v>28</v>
      </c>
      <c r="T2927" s="6"/>
      <c r="U2927" s="8"/>
    </row>
    <row r="2928" spans="1:34" ht="13.5" customHeight="1">
      <c r="A2928" s="8" t="s">
        <v>16019</v>
      </c>
      <c r="B2928" s="16">
        <v>39</v>
      </c>
      <c r="C2928" s="8" t="s">
        <v>20</v>
      </c>
      <c r="D2928" s="8" t="s">
        <v>85</v>
      </c>
      <c r="E2928" s="8" t="s">
        <v>16020</v>
      </c>
      <c r="F2928" s="17">
        <v>41455</v>
      </c>
      <c r="G2928" s="8" t="s">
        <v>16021</v>
      </c>
      <c r="H2928" s="8" t="s">
        <v>1663</v>
      </c>
      <c r="I2928" s="8" t="s">
        <v>175</v>
      </c>
      <c r="J2928" s="16" t="s">
        <v>1664</v>
      </c>
      <c r="K2928" s="2" t="s">
        <v>882</v>
      </c>
      <c r="L2928" s="8" t="s">
        <v>1665</v>
      </c>
      <c r="M2928" s="8" t="s">
        <v>1706</v>
      </c>
      <c r="N2928" s="8" t="s">
        <v>16022</v>
      </c>
      <c r="O2928" s="8" t="s">
        <v>1018</v>
      </c>
      <c r="P2928" s="8" t="s">
        <v>405</v>
      </c>
      <c r="Q2928" s="12" t="s">
        <v>16023</v>
      </c>
      <c r="R2928" s="8" t="s">
        <v>100</v>
      </c>
      <c r="S2928" s="7" t="s">
        <v>28</v>
      </c>
      <c r="T2928" s="6"/>
      <c r="U2928" s="8"/>
    </row>
    <row r="2929" spans="1:39" ht="13.5" customHeight="1">
      <c r="A2929" s="8" t="s">
        <v>16029</v>
      </c>
      <c r="B2929" s="16">
        <v>21</v>
      </c>
      <c r="C2929" s="8" t="s">
        <v>20</v>
      </c>
      <c r="D2929" s="8" t="s">
        <v>85</v>
      </c>
      <c r="E2929" s="8" t="s">
        <v>16030</v>
      </c>
      <c r="F2929" s="17">
        <v>41454</v>
      </c>
      <c r="G2929" s="8" t="s">
        <v>16031</v>
      </c>
      <c r="H2929" s="8" t="s">
        <v>15617</v>
      </c>
      <c r="I2929" s="8" t="s">
        <v>45</v>
      </c>
      <c r="J2929" s="16" t="s">
        <v>16032</v>
      </c>
      <c r="K2929" s="2" t="s">
        <v>3463</v>
      </c>
      <c r="L2929" s="8" t="s">
        <v>15619</v>
      </c>
      <c r="M2929" s="8" t="s">
        <v>27</v>
      </c>
      <c r="N2929" s="8" t="s">
        <v>16033</v>
      </c>
      <c r="O2929" s="8" t="s">
        <v>1018</v>
      </c>
      <c r="P2929" s="8" t="s">
        <v>405</v>
      </c>
      <c r="Q2929" s="12" t="s">
        <v>16034</v>
      </c>
      <c r="R2929" s="8" t="s">
        <v>100</v>
      </c>
      <c r="S2929" s="7" t="s">
        <v>28</v>
      </c>
      <c r="T2929" s="6"/>
      <c r="U2929" s="8"/>
    </row>
    <row r="2930" spans="1:39" ht="13.5" customHeight="1">
      <c r="A2930" s="8" t="s">
        <v>16041</v>
      </c>
      <c r="B2930" s="16">
        <v>26</v>
      </c>
      <c r="C2930" s="8" t="s">
        <v>20</v>
      </c>
      <c r="D2930" s="8" t="s">
        <v>30</v>
      </c>
      <c r="F2930" s="17">
        <v>41454</v>
      </c>
      <c r="G2930" s="8" t="s">
        <v>16042</v>
      </c>
      <c r="H2930" s="8" t="s">
        <v>16043</v>
      </c>
      <c r="I2930" s="8" t="s">
        <v>45</v>
      </c>
      <c r="J2930" s="16" t="s">
        <v>16044</v>
      </c>
      <c r="K2930" s="2" t="s">
        <v>313</v>
      </c>
      <c r="L2930" s="8" t="s">
        <v>16045</v>
      </c>
      <c r="M2930" s="8" t="s">
        <v>27</v>
      </c>
      <c r="N2930" s="8" t="s">
        <v>16046</v>
      </c>
      <c r="O2930" s="8" t="s">
        <v>554</v>
      </c>
      <c r="P2930" s="8" t="s">
        <v>405</v>
      </c>
      <c r="Q2930" s="12" t="s">
        <v>16047</v>
      </c>
      <c r="R2930" s="8" t="s">
        <v>100</v>
      </c>
      <c r="S2930" s="7" t="s">
        <v>28</v>
      </c>
      <c r="T2930" s="6"/>
      <c r="U2930" s="8"/>
      <c r="V2930" s="8"/>
      <c r="W2930" s="8"/>
      <c r="X2930" s="8"/>
    </row>
    <row r="2931" spans="1:39" ht="13.5" customHeight="1">
      <c r="A2931" s="8" t="s">
        <v>16035</v>
      </c>
      <c r="B2931" s="16">
        <v>46</v>
      </c>
      <c r="C2931" s="8" t="s">
        <v>20</v>
      </c>
      <c r="D2931" s="8" t="s">
        <v>30</v>
      </c>
      <c r="F2931" s="17">
        <v>41454</v>
      </c>
      <c r="G2931" s="8" t="s">
        <v>16036</v>
      </c>
      <c r="H2931" s="8" t="s">
        <v>16037</v>
      </c>
      <c r="I2931" s="8" t="s">
        <v>427</v>
      </c>
      <c r="J2931" s="16" t="s">
        <v>16038</v>
      </c>
      <c r="K2931" s="2" t="s">
        <v>1716</v>
      </c>
      <c r="L2931" s="8" t="s">
        <v>3391</v>
      </c>
      <c r="M2931" s="8" t="s">
        <v>27</v>
      </c>
      <c r="N2931" s="8" t="s">
        <v>16039</v>
      </c>
      <c r="O2931" s="8" t="s">
        <v>1018</v>
      </c>
      <c r="P2931" s="8" t="s">
        <v>405</v>
      </c>
      <c r="Q2931" s="12" t="s">
        <v>16040</v>
      </c>
      <c r="R2931" s="8" t="s">
        <v>100</v>
      </c>
      <c r="S2931" s="7" t="s">
        <v>28</v>
      </c>
      <c r="T2931" s="6"/>
      <c r="U2931" s="8"/>
    </row>
    <row r="2932" spans="1:39" ht="13.5" customHeight="1">
      <c r="A2932" s="8" t="s">
        <v>16048</v>
      </c>
      <c r="B2932" s="16">
        <v>32</v>
      </c>
      <c r="C2932" s="8" t="s">
        <v>20</v>
      </c>
      <c r="D2932" s="8" t="s">
        <v>21</v>
      </c>
      <c r="E2932" s="8" t="s">
        <v>16049</v>
      </c>
      <c r="F2932" s="17">
        <v>41453</v>
      </c>
      <c r="G2932" s="8" t="s">
        <v>16050</v>
      </c>
      <c r="H2932" s="8" t="s">
        <v>579</v>
      </c>
      <c r="I2932" s="8" t="s">
        <v>73</v>
      </c>
      <c r="J2932" s="16" t="s">
        <v>3050</v>
      </c>
      <c r="K2932" s="2" t="s">
        <v>580</v>
      </c>
      <c r="L2932" s="8" t="s">
        <v>581</v>
      </c>
      <c r="M2932" s="8" t="s">
        <v>27</v>
      </c>
      <c r="N2932" s="8" t="s">
        <v>16051</v>
      </c>
      <c r="O2932" s="8" t="s">
        <v>554</v>
      </c>
      <c r="P2932" s="8" t="s">
        <v>405</v>
      </c>
      <c r="Q2932" s="12" t="s">
        <v>16052</v>
      </c>
      <c r="R2932" s="8" t="s">
        <v>29</v>
      </c>
      <c r="S2932" s="7" t="s">
        <v>28</v>
      </c>
      <c r="T2932" s="6"/>
      <c r="U2932" s="8"/>
      <c r="AI2932" s="8"/>
      <c r="AJ2932" s="8"/>
      <c r="AK2932" s="8"/>
      <c r="AL2932" s="8"/>
      <c r="AM2932" s="8"/>
    </row>
    <row r="2933" spans="1:39" ht="13.5" customHeight="1">
      <c r="A2933" s="8" t="s">
        <v>16062</v>
      </c>
      <c r="B2933" s="16" t="s">
        <v>16063</v>
      </c>
      <c r="C2933" s="8" t="s">
        <v>20</v>
      </c>
      <c r="D2933" s="8" t="s">
        <v>37</v>
      </c>
      <c r="E2933" s="8" t="s">
        <v>16064</v>
      </c>
      <c r="F2933" s="17">
        <v>41453</v>
      </c>
      <c r="G2933" s="8" t="s">
        <v>16065</v>
      </c>
      <c r="H2933" s="8" t="s">
        <v>657</v>
      </c>
      <c r="I2933" s="8" t="s">
        <v>986</v>
      </c>
      <c r="J2933" s="16" t="s">
        <v>16066</v>
      </c>
      <c r="K2933" s="2" t="s">
        <v>2521</v>
      </c>
      <c r="L2933" s="8" t="s">
        <v>2377</v>
      </c>
      <c r="M2933" s="8" t="s">
        <v>27</v>
      </c>
      <c r="N2933" s="8" t="s">
        <v>16067</v>
      </c>
      <c r="O2933" s="8" t="s">
        <v>29</v>
      </c>
      <c r="P2933" s="8" t="s">
        <v>405</v>
      </c>
      <c r="Q2933" s="12" t="s">
        <v>16068</v>
      </c>
      <c r="R2933" s="8" t="s">
        <v>100</v>
      </c>
      <c r="S2933" s="7" t="s">
        <v>28</v>
      </c>
      <c r="T2933" s="6"/>
      <c r="U2933" s="8"/>
    </row>
    <row r="2934" spans="1:39" ht="13.5" customHeight="1">
      <c r="A2934" s="8" t="s">
        <v>16053</v>
      </c>
      <c r="B2934" s="16" t="s">
        <v>15276</v>
      </c>
      <c r="C2934" s="8" t="s">
        <v>20</v>
      </c>
      <c r="D2934" s="8" t="s">
        <v>37</v>
      </c>
      <c r="E2934" s="8" t="s">
        <v>16054</v>
      </c>
      <c r="F2934" s="17">
        <v>41453</v>
      </c>
      <c r="G2934" s="8" t="s">
        <v>16055</v>
      </c>
      <c r="H2934" s="8" t="s">
        <v>16056</v>
      </c>
      <c r="I2934" s="8" t="s">
        <v>73</v>
      </c>
      <c r="J2934" s="16" t="s">
        <v>16057</v>
      </c>
      <c r="K2934" s="2" t="s">
        <v>16058</v>
      </c>
      <c r="L2934" s="8" t="s">
        <v>16059</v>
      </c>
      <c r="M2934" s="8" t="s">
        <v>27</v>
      </c>
      <c r="N2934" s="8" t="s">
        <v>16060</v>
      </c>
      <c r="O2934" s="8" t="s">
        <v>29</v>
      </c>
      <c r="P2934" s="8" t="s">
        <v>405</v>
      </c>
      <c r="Q2934" s="12" t="s">
        <v>16061</v>
      </c>
      <c r="R2934" s="8" t="s">
        <v>100</v>
      </c>
      <c r="S2934" s="7" t="s">
        <v>28</v>
      </c>
      <c r="T2934" s="6"/>
      <c r="U2934" s="8"/>
    </row>
    <row r="2935" spans="1:39" ht="13.5" customHeight="1">
      <c r="A2935" s="8" t="s">
        <v>16069</v>
      </c>
      <c r="B2935" s="16">
        <v>50</v>
      </c>
      <c r="C2935" s="8" t="s">
        <v>20</v>
      </c>
      <c r="D2935" s="8" t="s">
        <v>37</v>
      </c>
      <c r="E2935" s="8" t="s">
        <v>16070</v>
      </c>
      <c r="F2935" s="17">
        <v>41453</v>
      </c>
      <c r="G2935" s="8" t="s">
        <v>16071</v>
      </c>
      <c r="H2935" s="8" t="s">
        <v>16072</v>
      </c>
      <c r="I2935" s="8" t="s">
        <v>408</v>
      </c>
      <c r="J2935" s="16" t="s">
        <v>16073</v>
      </c>
      <c r="K2935" s="2" t="s">
        <v>1532</v>
      </c>
      <c r="L2935" s="8" t="s">
        <v>9453</v>
      </c>
      <c r="M2935" s="8" t="s">
        <v>27</v>
      </c>
      <c r="N2935" s="8" t="s">
        <v>16074</v>
      </c>
      <c r="O2935" s="8" t="s">
        <v>1018</v>
      </c>
      <c r="P2935" s="8" t="s">
        <v>405</v>
      </c>
      <c r="Q2935" s="12" t="s">
        <v>16075</v>
      </c>
      <c r="R2935" s="8" t="s">
        <v>100</v>
      </c>
      <c r="S2935" s="7" t="s">
        <v>28</v>
      </c>
      <c r="T2935" s="6"/>
      <c r="U2935" s="8"/>
    </row>
    <row r="2936" spans="1:39" ht="13.5" customHeight="1">
      <c r="A2936" s="8" t="s">
        <v>16081</v>
      </c>
      <c r="B2936" s="16" t="s">
        <v>11195</v>
      </c>
      <c r="C2936" s="8" t="s">
        <v>20</v>
      </c>
      <c r="D2936" s="8" t="s">
        <v>30</v>
      </c>
      <c r="F2936" s="17">
        <v>41452</v>
      </c>
      <c r="G2936" s="8" t="s">
        <v>16082</v>
      </c>
      <c r="H2936" s="8" t="s">
        <v>1933</v>
      </c>
      <c r="I2936" s="8" t="s">
        <v>175</v>
      </c>
      <c r="J2936" s="16" t="s">
        <v>16083</v>
      </c>
      <c r="K2936" s="2" t="s">
        <v>1572</v>
      </c>
      <c r="L2936" s="8" t="s">
        <v>2566</v>
      </c>
      <c r="M2936" s="8" t="s">
        <v>27</v>
      </c>
      <c r="N2936" s="8" t="s">
        <v>16084</v>
      </c>
      <c r="O2936" s="8" t="s">
        <v>29</v>
      </c>
      <c r="P2936" s="8" t="s">
        <v>405</v>
      </c>
      <c r="Q2936" s="12" t="s">
        <v>16085</v>
      </c>
      <c r="R2936" s="8" t="s">
        <v>100</v>
      </c>
      <c r="S2936" s="7" t="s">
        <v>28</v>
      </c>
      <c r="T2936" s="6"/>
      <c r="U2936" s="8"/>
      <c r="Y2936" s="8"/>
      <c r="Z2936" s="8"/>
      <c r="AA2936" s="8"/>
      <c r="AB2936" s="8"/>
      <c r="AC2936" s="8"/>
      <c r="AD2936" s="8"/>
      <c r="AE2936" s="8"/>
      <c r="AF2936" s="8"/>
      <c r="AG2936" s="8"/>
      <c r="AH2936" s="8"/>
    </row>
    <row r="2937" spans="1:39" ht="13.5" customHeight="1">
      <c r="A2937" s="8" t="s">
        <v>16076</v>
      </c>
      <c r="B2937" s="16" t="s">
        <v>16077</v>
      </c>
      <c r="C2937" s="8" t="s">
        <v>20</v>
      </c>
      <c r="D2937" s="8" t="s">
        <v>85</v>
      </c>
      <c r="F2937" s="17">
        <v>41452</v>
      </c>
      <c r="G2937" s="8" t="s">
        <v>16078</v>
      </c>
      <c r="H2937" s="8" t="s">
        <v>5259</v>
      </c>
      <c r="I2937" s="8" t="s">
        <v>45</v>
      </c>
      <c r="J2937" s="16" t="s">
        <v>12659</v>
      </c>
      <c r="K2937" s="2" t="s">
        <v>98</v>
      </c>
      <c r="L2937" s="8" t="s">
        <v>5043</v>
      </c>
      <c r="M2937" s="8" t="s">
        <v>27</v>
      </c>
      <c r="N2937" s="8" t="s">
        <v>16079</v>
      </c>
      <c r="O2937" s="8" t="s">
        <v>29</v>
      </c>
      <c r="P2937" s="8" t="s">
        <v>405</v>
      </c>
      <c r="Q2937" s="12" t="s">
        <v>16080</v>
      </c>
      <c r="R2937" s="8" t="s">
        <v>100</v>
      </c>
      <c r="S2937" s="7" t="s">
        <v>28</v>
      </c>
      <c r="T2937" s="6"/>
      <c r="U2937" s="8"/>
    </row>
    <row r="2938" spans="1:39" ht="13.5" customHeight="1">
      <c r="A2938" s="8" t="s">
        <v>16086</v>
      </c>
      <c r="B2938" s="16" t="s">
        <v>16087</v>
      </c>
      <c r="C2938" s="8" t="s">
        <v>20</v>
      </c>
      <c r="D2938" s="8" t="s">
        <v>37</v>
      </c>
      <c r="E2938" s="8" t="s">
        <v>16088</v>
      </c>
      <c r="F2938" s="17">
        <v>41452</v>
      </c>
      <c r="G2938" s="8" t="s">
        <v>16089</v>
      </c>
      <c r="H2938" s="8" t="s">
        <v>16090</v>
      </c>
      <c r="I2938" s="8" t="s">
        <v>45</v>
      </c>
      <c r="J2938" s="16" t="s">
        <v>16091</v>
      </c>
      <c r="K2938" s="2" t="s">
        <v>98</v>
      </c>
      <c r="L2938" s="8" t="s">
        <v>5043</v>
      </c>
      <c r="M2938" s="8" t="s">
        <v>27</v>
      </c>
      <c r="N2938" s="8" t="s">
        <v>16092</v>
      </c>
      <c r="O2938" s="8" t="s">
        <v>29</v>
      </c>
      <c r="P2938" s="8" t="s">
        <v>405</v>
      </c>
      <c r="Q2938" s="12" t="s">
        <v>16093</v>
      </c>
      <c r="R2938" s="8" t="s">
        <v>100</v>
      </c>
      <c r="S2938" s="7" t="s">
        <v>28</v>
      </c>
      <c r="T2938" s="6"/>
      <c r="U2938" s="8"/>
    </row>
    <row r="2939" spans="1:39" ht="13.5" customHeight="1">
      <c r="A2939" s="8" t="s">
        <v>16094</v>
      </c>
      <c r="B2939" s="16">
        <v>46</v>
      </c>
      <c r="C2939" s="8" t="s">
        <v>115</v>
      </c>
      <c r="D2939" s="8" t="s">
        <v>30</v>
      </c>
      <c r="F2939" s="17">
        <v>41451</v>
      </c>
      <c r="G2939" s="8" t="s">
        <v>16095</v>
      </c>
      <c r="H2939" s="8" t="s">
        <v>2215</v>
      </c>
      <c r="I2939" s="8" t="s">
        <v>62</v>
      </c>
      <c r="J2939" s="16" t="s">
        <v>16096</v>
      </c>
      <c r="K2939" s="2" t="s">
        <v>1134</v>
      </c>
      <c r="L2939" s="8" t="s">
        <v>4438</v>
      </c>
      <c r="M2939" s="8" t="s">
        <v>383</v>
      </c>
      <c r="N2939" s="8" t="s">
        <v>16097</v>
      </c>
      <c r="O2939" s="8" t="s">
        <v>3421</v>
      </c>
      <c r="P2939" s="8" t="s">
        <v>405</v>
      </c>
      <c r="Q2939" s="12" t="s">
        <v>16098</v>
      </c>
      <c r="R2939" s="8" t="s">
        <v>100</v>
      </c>
      <c r="S2939" s="7" t="s">
        <v>28</v>
      </c>
      <c r="T2939" s="6"/>
      <c r="U2939" s="8"/>
    </row>
    <row r="2940" spans="1:39" ht="13.5" customHeight="1">
      <c r="A2940" s="8" t="s">
        <v>16106</v>
      </c>
      <c r="B2940" s="16">
        <v>34</v>
      </c>
      <c r="C2940" s="8" t="s">
        <v>20</v>
      </c>
      <c r="D2940" s="8" t="s">
        <v>37</v>
      </c>
      <c r="E2940" s="8" t="s">
        <v>16107</v>
      </c>
      <c r="F2940" s="17">
        <v>41451</v>
      </c>
      <c r="G2940" s="8" t="s">
        <v>16108</v>
      </c>
      <c r="H2940" s="8" t="s">
        <v>16109</v>
      </c>
      <c r="I2940" s="8" t="s">
        <v>135</v>
      </c>
      <c r="J2940" s="16" t="s">
        <v>16110</v>
      </c>
      <c r="K2940" s="2" t="s">
        <v>16111</v>
      </c>
      <c r="L2940" s="8" t="s">
        <v>16112</v>
      </c>
      <c r="M2940" s="8" t="s">
        <v>27</v>
      </c>
      <c r="N2940" s="8" t="s">
        <v>16113</v>
      </c>
      <c r="O2940" s="8" t="s">
        <v>554</v>
      </c>
      <c r="P2940" s="8" t="s">
        <v>405</v>
      </c>
      <c r="Q2940" s="12" t="s">
        <v>16114</v>
      </c>
      <c r="R2940" s="8" t="s">
        <v>559</v>
      </c>
      <c r="S2940" s="7" t="s">
        <v>28</v>
      </c>
      <c r="T2940" s="6"/>
      <c r="U2940" s="8"/>
    </row>
    <row r="2941" spans="1:39" ht="13.5" customHeight="1">
      <c r="A2941" s="8" t="s">
        <v>16099</v>
      </c>
      <c r="B2941" s="16" t="s">
        <v>15889</v>
      </c>
      <c r="C2941" s="8" t="s">
        <v>20</v>
      </c>
      <c r="D2941" s="8" t="s">
        <v>30</v>
      </c>
      <c r="F2941" s="17">
        <v>41451</v>
      </c>
      <c r="G2941" s="8" t="s">
        <v>16100</v>
      </c>
      <c r="H2941" s="8" t="s">
        <v>16101</v>
      </c>
      <c r="I2941" s="8" t="s">
        <v>152</v>
      </c>
      <c r="J2941" s="16" t="s">
        <v>16102</v>
      </c>
      <c r="K2941" s="2" t="s">
        <v>3435</v>
      </c>
      <c r="L2941" s="8" t="s">
        <v>16103</v>
      </c>
      <c r="M2941" s="8" t="s">
        <v>27</v>
      </c>
      <c r="N2941" s="8" t="s">
        <v>16104</v>
      </c>
      <c r="O2941" s="8" t="s">
        <v>29</v>
      </c>
      <c r="P2941" s="8" t="s">
        <v>405</v>
      </c>
      <c r="Q2941" s="12" t="s">
        <v>16105</v>
      </c>
      <c r="R2941" s="8" t="s">
        <v>100</v>
      </c>
      <c r="S2941" s="7" t="s">
        <v>28</v>
      </c>
      <c r="T2941" s="6"/>
      <c r="U2941" s="8"/>
    </row>
    <row r="2942" spans="1:39" ht="13.5" customHeight="1">
      <c r="A2942" s="8" t="s">
        <v>16115</v>
      </c>
      <c r="B2942" s="16" t="s">
        <v>10999</v>
      </c>
      <c r="C2942" s="8" t="s">
        <v>20</v>
      </c>
      <c r="D2942" s="8" t="s">
        <v>37</v>
      </c>
      <c r="E2942" s="8" t="s">
        <v>16116</v>
      </c>
      <c r="F2942" s="17">
        <v>41451</v>
      </c>
      <c r="G2942" s="8" t="s">
        <v>16117</v>
      </c>
      <c r="H2942" s="8" t="s">
        <v>790</v>
      </c>
      <c r="I2942" s="8" t="s">
        <v>45</v>
      </c>
      <c r="J2942" s="16" t="s">
        <v>2858</v>
      </c>
      <c r="K2942" s="2" t="s">
        <v>791</v>
      </c>
      <c r="L2942" s="8" t="s">
        <v>4835</v>
      </c>
      <c r="M2942" s="8" t="s">
        <v>27</v>
      </c>
      <c r="N2942" s="8" t="s">
        <v>16118</v>
      </c>
      <c r="O2942" s="8" t="s">
        <v>554</v>
      </c>
      <c r="P2942" s="8" t="s">
        <v>405</v>
      </c>
      <c r="Q2942" s="12" t="s">
        <v>16119</v>
      </c>
      <c r="R2942" s="8" t="s">
        <v>100</v>
      </c>
      <c r="S2942" s="7" t="s">
        <v>28</v>
      </c>
      <c r="T2942" s="6"/>
      <c r="U2942" s="8"/>
    </row>
    <row r="2943" spans="1:39" ht="13.5" customHeight="1">
      <c r="A2943" s="8" t="s">
        <v>16120</v>
      </c>
      <c r="B2943" s="16" t="s">
        <v>14120</v>
      </c>
      <c r="C2943" s="8" t="s">
        <v>20</v>
      </c>
      <c r="D2943" s="8" t="s">
        <v>30</v>
      </c>
      <c r="F2943" s="17">
        <v>41450</v>
      </c>
      <c r="G2943" s="8" t="s">
        <v>16121</v>
      </c>
      <c r="H2943" s="8" t="s">
        <v>16122</v>
      </c>
      <c r="I2943" s="8" t="s">
        <v>45</v>
      </c>
      <c r="J2943" s="16" t="s">
        <v>16123</v>
      </c>
      <c r="K2943" s="2" t="s">
        <v>791</v>
      </c>
      <c r="L2943" s="8" t="s">
        <v>792</v>
      </c>
      <c r="M2943" s="8" t="s">
        <v>27</v>
      </c>
      <c r="N2943" s="8" t="s">
        <v>16124</v>
      </c>
      <c r="O2943" s="8" t="s">
        <v>29</v>
      </c>
      <c r="P2943" s="8" t="s">
        <v>405</v>
      </c>
      <c r="Q2943" s="12" t="s">
        <v>16125</v>
      </c>
      <c r="R2943" s="8" t="s">
        <v>100</v>
      </c>
      <c r="S2943" s="7" t="s">
        <v>28</v>
      </c>
      <c r="T2943" s="6"/>
      <c r="U2943" s="8"/>
    </row>
    <row r="2944" spans="1:39" ht="13.5" customHeight="1">
      <c r="A2944" s="8" t="s">
        <v>16126</v>
      </c>
      <c r="B2944" s="16">
        <v>26</v>
      </c>
      <c r="C2944" s="8" t="s">
        <v>20</v>
      </c>
      <c r="D2944" s="8" t="s">
        <v>30</v>
      </c>
      <c r="F2944" s="17">
        <v>41449</v>
      </c>
      <c r="G2944" s="8" t="s">
        <v>16127</v>
      </c>
      <c r="H2944" s="8" t="s">
        <v>8861</v>
      </c>
      <c r="I2944" s="8" t="s">
        <v>334</v>
      </c>
      <c r="J2944" s="16" t="s">
        <v>4474</v>
      </c>
      <c r="K2944" s="2" t="s">
        <v>16128</v>
      </c>
      <c r="L2944" s="8" t="s">
        <v>4475</v>
      </c>
      <c r="M2944" s="8" t="s">
        <v>27</v>
      </c>
      <c r="N2944" s="8" t="s">
        <v>16129</v>
      </c>
      <c r="O2944" s="8" t="s">
        <v>29</v>
      </c>
      <c r="P2944" s="8" t="s">
        <v>405</v>
      </c>
      <c r="Q2944" s="12" t="s">
        <v>16130</v>
      </c>
      <c r="R2944" s="8" t="s">
        <v>29</v>
      </c>
      <c r="S2944" s="7" t="s">
        <v>28</v>
      </c>
      <c r="T2944" s="6"/>
      <c r="U2944" s="8"/>
      <c r="Y2944" s="8"/>
      <c r="Z2944" s="8"/>
      <c r="AA2944" s="8"/>
      <c r="AB2944" s="8"/>
      <c r="AC2944" s="8"/>
      <c r="AD2944" s="8"/>
      <c r="AE2944" s="8"/>
      <c r="AF2944" s="8"/>
      <c r="AG2944" s="8"/>
      <c r="AH2944" s="8"/>
    </row>
    <row r="2945" spans="1:21" ht="13.5" customHeight="1">
      <c r="A2945" s="8" t="s">
        <v>16131</v>
      </c>
      <c r="B2945" s="16" t="s">
        <v>13766</v>
      </c>
      <c r="C2945" s="8" t="s">
        <v>20</v>
      </c>
      <c r="D2945" s="8" t="s">
        <v>37</v>
      </c>
      <c r="E2945" s="8" t="s">
        <v>16132</v>
      </c>
      <c r="F2945" s="17">
        <v>41449</v>
      </c>
      <c r="G2945" s="8" t="s">
        <v>16133</v>
      </c>
      <c r="H2945" s="8" t="s">
        <v>7809</v>
      </c>
      <c r="I2945" s="8" t="s">
        <v>62</v>
      </c>
      <c r="J2945" s="16" t="s">
        <v>16134</v>
      </c>
      <c r="K2945" s="2" t="s">
        <v>5608</v>
      </c>
      <c r="L2945" s="8" t="s">
        <v>16135</v>
      </c>
      <c r="M2945" s="8" t="s">
        <v>27</v>
      </c>
      <c r="N2945" s="8" t="s">
        <v>16136</v>
      </c>
      <c r="O2945" s="8" t="s">
        <v>554</v>
      </c>
      <c r="P2945" s="8" t="s">
        <v>405</v>
      </c>
      <c r="Q2945" s="12" t="s">
        <v>16137</v>
      </c>
      <c r="R2945" s="8" t="s">
        <v>100</v>
      </c>
      <c r="S2945" s="7" t="s">
        <v>28</v>
      </c>
      <c r="T2945" s="6"/>
      <c r="U2945" s="8"/>
    </row>
    <row r="2946" spans="1:21" ht="13.5" customHeight="1">
      <c r="A2946" s="8" t="s">
        <v>16138</v>
      </c>
      <c r="B2946" s="16" t="s">
        <v>8868</v>
      </c>
      <c r="C2946" s="8" t="s">
        <v>20</v>
      </c>
      <c r="D2946" s="8" t="s">
        <v>85</v>
      </c>
      <c r="E2946" s="8" t="s">
        <v>16139</v>
      </c>
      <c r="F2946" s="17">
        <v>41448</v>
      </c>
      <c r="G2946" s="8" t="s">
        <v>16140</v>
      </c>
      <c r="H2946" s="8" t="s">
        <v>1015</v>
      </c>
      <c r="I2946" s="8" t="s">
        <v>675</v>
      </c>
      <c r="J2946" s="16" t="s">
        <v>16141</v>
      </c>
      <c r="K2946" s="2" t="s">
        <v>16142</v>
      </c>
      <c r="L2946" s="8" t="s">
        <v>16143</v>
      </c>
      <c r="M2946" s="8" t="s">
        <v>27</v>
      </c>
      <c r="N2946" s="8" t="s">
        <v>16144</v>
      </c>
      <c r="O2946" s="8" t="s">
        <v>29</v>
      </c>
      <c r="P2946" s="8" t="s">
        <v>405</v>
      </c>
      <c r="Q2946" s="12" t="s">
        <v>16145</v>
      </c>
      <c r="R2946" s="8" t="s">
        <v>100</v>
      </c>
      <c r="S2946" s="7" t="s">
        <v>28</v>
      </c>
      <c r="T2946" s="6"/>
      <c r="U2946" s="8"/>
    </row>
    <row r="2947" spans="1:21" ht="13.5" customHeight="1">
      <c r="A2947" s="8" t="s">
        <v>16151</v>
      </c>
      <c r="B2947" s="16" t="s">
        <v>8822</v>
      </c>
      <c r="C2947" s="8" t="s">
        <v>20</v>
      </c>
      <c r="D2947" s="8" t="s">
        <v>30</v>
      </c>
      <c r="F2947" s="17">
        <v>41448</v>
      </c>
      <c r="G2947" s="8" t="s">
        <v>16152</v>
      </c>
      <c r="H2947" s="8" t="s">
        <v>934</v>
      </c>
      <c r="I2947" s="8" t="s">
        <v>73</v>
      </c>
      <c r="J2947" s="16" t="s">
        <v>6831</v>
      </c>
      <c r="K2947" s="2" t="s">
        <v>74</v>
      </c>
      <c r="L2947" s="8" t="s">
        <v>935</v>
      </c>
      <c r="M2947" s="8" t="s">
        <v>27</v>
      </c>
      <c r="N2947" s="8" t="s">
        <v>16153</v>
      </c>
      <c r="O2947" s="8" t="s">
        <v>29</v>
      </c>
      <c r="P2947" s="8" t="s">
        <v>405</v>
      </c>
      <c r="Q2947" s="12" t="s">
        <v>16154</v>
      </c>
      <c r="R2947" s="8" t="s">
        <v>100</v>
      </c>
      <c r="S2947" s="7" t="s">
        <v>28</v>
      </c>
      <c r="T2947" s="6"/>
      <c r="U2947" s="8"/>
    </row>
    <row r="2948" spans="1:21" ht="13.5" customHeight="1">
      <c r="A2948" s="8" t="s">
        <v>16146</v>
      </c>
      <c r="B2948" s="16" t="s">
        <v>13608</v>
      </c>
      <c r="C2948" s="8" t="s">
        <v>115</v>
      </c>
      <c r="D2948" s="8" t="s">
        <v>48</v>
      </c>
      <c r="E2948" s="8" t="s">
        <v>16147</v>
      </c>
      <c r="F2948" s="17">
        <v>41448</v>
      </c>
      <c r="G2948" s="8" t="s">
        <v>16148</v>
      </c>
      <c r="H2948" s="8" t="s">
        <v>3736</v>
      </c>
      <c r="I2948" s="8" t="s">
        <v>45</v>
      </c>
      <c r="J2948" s="16" t="s">
        <v>15334</v>
      </c>
      <c r="K2948" s="2" t="s">
        <v>1070</v>
      </c>
      <c r="L2948" s="8" t="s">
        <v>3738</v>
      </c>
      <c r="M2948" s="8" t="s">
        <v>27</v>
      </c>
      <c r="N2948" s="8" t="s">
        <v>16149</v>
      </c>
      <c r="O2948" s="8" t="s">
        <v>554</v>
      </c>
      <c r="P2948" s="8" t="s">
        <v>405</v>
      </c>
      <c r="Q2948" s="12" t="s">
        <v>16150</v>
      </c>
      <c r="R2948" s="8" t="s">
        <v>100</v>
      </c>
      <c r="S2948" s="7" t="s">
        <v>28</v>
      </c>
      <c r="T2948" s="6"/>
      <c r="U2948" s="8"/>
    </row>
    <row r="2949" spans="1:21" ht="13.5" customHeight="1">
      <c r="A2949" s="8" t="s">
        <v>16155</v>
      </c>
      <c r="B2949" s="16" t="s">
        <v>8868</v>
      </c>
      <c r="C2949" s="8" t="s">
        <v>20</v>
      </c>
      <c r="D2949" s="8" t="s">
        <v>37</v>
      </c>
      <c r="E2949" s="8" t="s">
        <v>16156</v>
      </c>
      <c r="F2949" s="17">
        <v>41448</v>
      </c>
      <c r="G2949" s="8" t="s">
        <v>16157</v>
      </c>
      <c r="H2949" s="8" t="s">
        <v>731</v>
      </c>
      <c r="I2949" s="8" t="s">
        <v>73</v>
      </c>
      <c r="J2949" s="16" t="s">
        <v>6989</v>
      </c>
      <c r="K2949" s="2" t="s">
        <v>562</v>
      </c>
      <c r="L2949" s="8" t="s">
        <v>16158</v>
      </c>
      <c r="M2949" s="8" t="s">
        <v>27</v>
      </c>
      <c r="N2949" s="8" t="s">
        <v>16159</v>
      </c>
      <c r="O2949" s="8" t="s">
        <v>29</v>
      </c>
      <c r="P2949" s="8" t="s">
        <v>405</v>
      </c>
      <c r="Q2949" s="12" t="s">
        <v>16160</v>
      </c>
      <c r="R2949" s="8" t="s">
        <v>100</v>
      </c>
      <c r="S2949" s="7" t="s">
        <v>28</v>
      </c>
      <c r="T2949" s="6"/>
      <c r="U2949" s="8"/>
    </row>
    <row r="2950" spans="1:21" ht="13.5" customHeight="1">
      <c r="A2950" s="8" t="s">
        <v>16161</v>
      </c>
      <c r="B2950" s="16" t="s">
        <v>10309</v>
      </c>
      <c r="C2950" s="8" t="s">
        <v>115</v>
      </c>
      <c r="D2950" s="8" t="s">
        <v>37</v>
      </c>
      <c r="E2950" s="8" t="s">
        <v>16162</v>
      </c>
      <c r="F2950" s="17">
        <v>41448</v>
      </c>
      <c r="G2950" s="8" t="s">
        <v>16163</v>
      </c>
      <c r="H2950" s="8" t="s">
        <v>11093</v>
      </c>
      <c r="I2950" s="8" t="s">
        <v>73</v>
      </c>
      <c r="J2950" s="16" t="s">
        <v>16164</v>
      </c>
      <c r="K2950" s="2" t="s">
        <v>2609</v>
      </c>
      <c r="L2950" s="8" t="s">
        <v>11095</v>
      </c>
      <c r="M2950" s="8" t="s">
        <v>27</v>
      </c>
      <c r="N2950" s="8" t="s">
        <v>16165</v>
      </c>
      <c r="O2950" s="8" t="s">
        <v>29</v>
      </c>
      <c r="P2950" s="8" t="s">
        <v>405</v>
      </c>
      <c r="Q2950" s="12" t="s">
        <v>16166</v>
      </c>
      <c r="R2950" s="8" t="s">
        <v>29</v>
      </c>
      <c r="S2950" s="7" t="s">
        <v>28</v>
      </c>
      <c r="T2950" s="6"/>
      <c r="U2950" s="8"/>
    </row>
    <row r="2951" spans="1:21" ht="13.5" customHeight="1">
      <c r="A2951" s="8" t="s">
        <v>16167</v>
      </c>
      <c r="B2951" s="16">
        <v>24</v>
      </c>
      <c r="C2951" s="8" t="s">
        <v>20</v>
      </c>
      <c r="D2951" s="8" t="s">
        <v>48</v>
      </c>
      <c r="E2951" s="8" t="s">
        <v>16168</v>
      </c>
      <c r="F2951" s="17">
        <v>41447</v>
      </c>
      <c r="G2951" s="8" t="s">
        <v>16169</v>
      </c>
      <c r="H2951" s="8" t="s">
        <v>16170</v>
      </c>
      <c r="I2951" s="8" t="s">
        <v>45</v>
      </c>
      <c r="J2951" s="16" t="s">
        <v>16171</v>
      </c>
      <c r="K2951" s="2" t="s">
        <v>98</v>
      </c>
      <c r="L2951" s="8" t="s">
        <v>5043</v>
      </c>
      <c r="M2951" s="8" t="s">
        <v>27</v>
      </c>
      <c r="N2951" s="8" t="s">
        <v>16172</v>
      </c>
      <c r="O2951" s="8" t="s">
        <v>554</v>
      </c>
      <c r="P2951" s="8" t="s">
        <v>405</v>
      </c>
      <c r="Q2951" s="12" t="s">
        <v>16173</v>
      </c>
      <c r="R2951" s="8" t="s">
        <v>29</v>
      </c>
      <c r="S2951" s="7" t="s">
        <v>28</v>
      </c>
      <c r="T2951" s="6"/>
      <c r="U2951" s="8"/>
    </row>
    <row r="2952" spans="1:21" ht="13.5" customHeight="1">
      <c r="A2952" s="8" t="s">
        <v>16180</v>
      </c>
      <c r="B2952" s="16">
        <v>46</v>
      </c>
      <c r="C2952" s="8" t="s">
        <v>20</v>
      </c>
      <c r="D2952" s="8" t="s">
        <v>37</v>
      </c>
      <c r="F2952" s="17">
        <v>41447</v>
      </c>
      <c r="G2952" s="8" t="s">
        <v>16181</v>
      </c>
      <c r="H2952" s="8" t="s">
        <v>2120</v>
      </c>
      <c r="I2952" s="8" t="s">
        <v>1733</v>
      </c>
      <c r="J2952" s="16" t="s">
        <v>16182</v>
      </c>
      <c r="K2952" s="2" t="s">
        <v>16183</v>
      </c>
      <c r="L2952" s="8" t="s">
        <v>16184</v>
      </c>
      <c r="M2952" s="8" t="s">
        <v>383</v>
      </c>
      <c r="N2952" s="8" t="s">
        <v>16185</v>
      </c>
      <c r="O2952" s="8" t="s">
        <v>404</v>
      </c>
      <c r="P2952" s="8" t="s">
        <v>405</v>
      </c>
      <c r="Q2952" s="12" t="s">
        <v>16186</v>
      </c>
      <c r="R2952" s="8" t="s">
        <v>100</v>
      </c>
      <c r="S2952" s="7" t="s">
        <v>28</v>
      </c>
      <c r="T2952" s="6"/>
      <c r="U2952" s="8"/>
    </row>
    <row r="2953" spans="1:21" ht="13.5" customHeight="1">
      <c r="A2953" s="8" t="s">
        <v>16174</v>
      </c>
      <c r="B2953" s="16">
        <v>56</v>
      </c>
      <c r="C2953" s="8" t="s">
        <v>20</v>
      </c>
      <c r="D2953" s="8" t="s">
        <v>30</v>
      </c>
      <c r="F2953" s="17">
        <v>41447</v>
      </c>
      <c r="G2953" s="8" t="s">
        <v>16175</v>
      </c>
      <c r="H2953" s="8" t="s">
        <v>16176</v>
      </c>
      <c r="I2953" s="8" t="s">
        <v>118</v>
      </c>
      <c r="J2953" s="16" t="s">
        <v>16177</v>
      </c>
      <c r="K2953" s="2" t="s">
        <v>946</v>
      </c>
      <c r="L2953" s="8" t="s">
        <v>1645</v>
      </c>
      <c r="M2953" s="8" t="s">
        <v>1706</v>
      </c>
      <c r="N2953" s="8" t="s">
        <v>16178</v>
      </c>
      <c r="O2953" s="8" t="s">
        <v>1018</v>
      </c>
      <c r="P2953" s="8" t="s">
        <v>405</v>
      </c>
      <c r="Q2953" s="12" t="s">
        <v>16179</v>
      </c>
      <c r="R2953" s="8" t="s">
        <v>100</v>
      </c>
      <c r="S2953" s="7" t="s">
        <v>28</v>
      </c>
      <c r="T2953" s="6"/>
      <c r="U2953" s="8"/>
    </row>
    <row r="2954" spans="1:21" ht="13.5" customHeight="1">
      <c r="A2954" s="8" t="s">
        <v>16187</v>
      </c>
      <c r="B2954" s="16">
        <v>46</v>
      </c>
      <c r="C2954" s="8" t="s">
        <v>20</v>
      </c>
      <c r="D2954" s="8" t="s">
        <v>37</v>
      </c>
      <c r="E2954" s="8" t="s">
        <v>16188</v>
      </c>
      <c r="F2954" s="17">
        <v>41446</v>
      </c>
      <c r="G2954" s="8" t="s">
        <v>16189</v>
      </c>
      <c r="H2954" s="8" t="s">
        <v>16190</v>
      </c>
      <c r="I2954" s="8" t="s">
        <v>152</v>
      </c>
      <c r="J2954" s="16" t="s">
        <v>16191</v>
      </c>
      <c r="K2954" s="2" t="s">
        <v>153</v>
      </c>
      <c r="L2954" s="8" t="s">
        <v>16192</v>
      </c>
      <c r="M2954" s="8" t="s">
        <v>27</v>
      </c>
      <c r="N2954" s="8" t="s">
        <v>16193</v>
      </c>
      <c r="O2954" s="8" t="s">
        <v>1018</v>
      </c>
      <c r="P2954" s="8" t="s">
        <v>405</v>
      </c>
      <c r="Q2954" s="12" t="s">
        <v>16194</v>
      </c>
      <c r="R2954" s="8" t="s">
        <v>100</v>
      </c>
      <c r="S2954" s="7" t="s">
        <v>28</v>
      </c>
      <c r="T2954" s="6"/>
      <c r="U2954" s="8"/>
    </row>
    <row r="2955" spans="1:21" ht="13.5" customHeight="1">
      <c r="A2955" s="8" t="s">
        <v>16201</v>
      </c>
      <c r="B2955" s="16" t="s">
        <v>16202</v>
      </c>
      <c r="C2955" s="8" t="s">
        <v>20</v>
      </c>
      <c r="D2955" s="8" t="s">
        <v>85</v>
      </c>
      <c r="E2955" s="8" t="s">
        <v>16203</v>
      </c>
      <c r="F2955" s="17">
        <v>41445</v>
      </c>
      <c r="G2955" s="8" t="s">
        <v>16204</v>
      </c>
      <c r="H2955" s="8" t="s">
        <v>895</v>
      </c>
      <c r="I2955" s="8" t="s">
        <v>442</v>
      </c>
      <c r="J2955" s="16" t="s">
        <v>16205</v>
      </c>
      <c r="K2955" s="2" t="s">
        <v>895</v>
      </c>
      <c r="L2955" s="8" t="s">
        <v>3913</v>
      </c>
      <c r="M2955" s="8" t="s">
        <v>27</v>
      </c>
      <c r="N2955" s="8" t="s">
        <v>16206</v>
      </c>
      <c r="O2955" s="8" t="s">
        <v>29</v>
      </c>
      <c r="P2955" s="8" t="s">
        <v>405</v>
      </c>
      <c r="Q2955" s="12" t="s">
        <v>16207</v>
      </c>
      <c r="R2955" s="8" t="s">
        <v>100</v>
      </c>
      <c r="S2955" s="7" t="s">
        <v>28</v>
      </c>
      <c r="T2955" s="6"/>
      <c r="U2955" s="8"/>
    </row>
    <row r="2956" spans="1:21" ht="13.5" customHeight="1">
      <c r="A2956" s="8" t="s">
        <v>16208</v>
      </c>
      <c r="B2956" s="16" t="s">
        <v>16209</v>
      </c>
      <c r="C2956" s="8" t="s">
        <v>20</v>
      </c>
      <c r="D2956" s="8" t="s">
        <v>37</v>
      </c>
      <c r="E2956" s="8" t="s">
        <v>16210</v>
      </c>
      <c r="F2956" s="17">
        <v>41445</v>
      </c>
      <c r="G2956" s="8" t="s">
        <v>16211</v>
      </c>
      <c r="H2956" s="8" t="s">
        <v>391</v>
      </c>
      <c r="I2956" s="8" t="s">
        <v>323</v>
      </c>
      <c r="J2956" s="16" t="s">
        <v>16212</v>
      </c>
      <c r="K2956" s="2" t="s">
        <v>2708</v>
      </c>
      <c r="L2956" s="8" t="s">
        <v>2709</v>
      </c>
      <c r="M2956" s="8" t="s">
        <v>27</v>
      </c>
      <c r="N2956" s="8" t="s">
        <v>16213</v>
      </c>
      <c r="O2956" s="8" t="s">
        <v>554</v>
      </c>
      <c r="P2956" s="8" t="s">
        <v>405</v>
      </c>
      <c r="Q2956" s="12" t="s">
        <v>16214</v>
      </c>
      <c r="R2956" s="8" t="s">
        <v>559</v>
      </c>
      <c r="S2956" s="7" t="s">
        <v>28</v>
      </c>
      <c r="T2956" s="6"/>
      <c r="U2956" s="8"/>
    </row>
    <row r="2957" spans="1:21" ht="13.5" customHeight="1">
      <c r="A2957" s="8" t="s">
        <v>16195</v>
      </c>
      <c r="B2957" s="16" t="s">
        <v>8905</v>
      </c>
      <c r="C2957" s="8" t="s">
        <v>20</v>
      </c>
      <c r="D2957" s="8" t="s">
        <v>85</v>
      </c>
      <c r="E2957" s="8" t="s">
        <v>16196</v>
      </c>
      <c r="F2957" s="17">
        <v>41445</v>
      </c>
      <c r="G2957" s="8" t="s">
        <v>16197</v>
      </c>
      <c r="H2957" s="8" t="s">
        <v>3360</v>
      </c>
      <c r="I2957" s="8" t="s">
        <v>124</v>
      </c>
      <c r="J2957" s="16" t="s">
        <v>16198</v>
      </c>
      <c r="K2957" s="2" t="s">
        <v>639</v>
      </c>
      <c r="L2957" s="8" t="s">
        <v>3363</v>
      </c>
      <c r="M2957" s="8" t="s">
        <v>27</v>
      </c>
      <c r="N2957" s="8" t="s">
        <v>16199</v>
      </c>
      <c r="O2957" s="8" t="s">
        <v>29</v>
      </c>
      <c r="P2957" s="8" t="s">
        <v>405</v>
      </c>
      <c r="Q2957" s="12" t="s">
        <v>16200</v>
      </c>
      <c r="R2957" s="8" t="s">
        <v>100</v>
      </c>
      <c r="S2957" s="7" t="s">
        <v>28</v>
      </c>
      <c r="T2957" s="6"/>
      <c r="U2957" s="8"/>
    </row>
    <row r="2958" spans="1:21" ht="13.5" customHeight="1">
      <c r="A2958" s="8" t="s">
        <v>16227</v>
      </c>
      <c r="B2958" s="16">
        <v>52</v>
      </c>
      <c r="C2958" s="8" t="s">
        <v>20</v>
      </c>
      <c r="D2958" s="8" t="s">
        <v>48</v>
      </c>
      <c r="F2958" s="17">
        <v>41444</v>
      </c>
      <c r="G2958" s="8" t="s">
        <v>16228</v>
      </c>
      <c r="H2958" s="8" t="s">
        <v>762</v>
      </c>
      <c r="I2958" s="8" t="s">
        <v>427</v>
      </c>
      <c r="J2958" s="16" t="s">
        <v>16229</v>
      </c>
      <c r="K2958" s="2" t="s">
        <v>1861</v>
      </c>
      <c r="L2958" s="8" t="s">
        <v>586</v>
      </c>
      <c r="M2958" s="8" t="s">
        <v>3407</v>
      </c>
      <c r="N2958" s="8" t="s">
        <v>16230</v>
      </c>
      <c r="O2958" s="8" t="s">
        <v>1018</v>
      </c>
      <c r="P2958" s="8" t="s">
        <v>405</v>
      </c>
      <c r="Q2958" s="12" t="s">
        <v>16231</v>
      </c>
      <c r="R2958" s="8" t="s">
        <v>100</v>
      </c>
      <c r="S2958" s="7" t="s">
        <v>28</v>
      </c>
      <c r="T2958" s="6"/>
      <c r="U2958" s="8"/>
    </row>
    <row r="2959" spans="1:21" ht="13.5" customHeight="1">
      <c r="A2959" s="8" t="s">
        <v>16232</v>
      </c>
      <c r="B2959" s="16">
        <v>28</v>
      </c>
      <c r="C2959" s="8" t="s">
        <v>20</v>
      </c>
      <c r="D2959" s="8" t="s">
        <v>30</v>
      </c>
      <c r="F2959" s="17">
        <v>41444</v>
      </c>
      <c r="G2959" s="8" t="s">
        <v>16233</v>
      </c>
      <c r="H2959" s="8" t="s">
        <v>463</v>
      </c>
      <c r="I2959" s="8" t="s">
        <v>25</v>
      </c>
      <c r="J2959" s="16" t="s">
        <v>16234</v>
      </c>
      <c r="K2959" s="2" t="s">
        <v>5980</v>
      </c>
      <c r="L2959" s="8" t="s">
        <v>16235</v>
      </c>
      <c r="M2959" s="8" t="s">
        <v>27</v>
      </c>
      <c r="N2959" s="8" t="s">
        <v>16236</v>
      </c>
      <c r="O2959" s="8" t="s">
        <v>554</v>
      </c>
      <c r="P2959" s="8" t="s">
        <v>405</v>
      </c>
      <c r="Q2959" s="12" t="s">
        <v>16237</v>
      </c>
      <c r="R2959" s="8" t="s">
        <v>100</v>
      </c>
      <c r="S2959" s="7" t="s">
        <v>28</v>
      </c>
      <c r="T2959" s="6"/>
      <c r="U2959" s="8"/>
    </row>
    <row r="2960" spans="1:21" ht="13.5" customHeight="1">
      <c r="A2960" s="8" t="s">
        <v>16215</v>
      </c>
      <c r="B2960" s="16">
        <v>45</v>
      </c>
      <c r="C2960" s="8" t="s">
        <v>20</v>
      </c>
      <c r="D2960" s="8" t="s">
        <v>85</v>
      </c>
      <c r="E2960" s="8" t="s">
        <v>16216</v>
      </c>
      <c r="F2960" s="17">
        <v>41444</v>
      </c>
      <c r="G2960" s="8" t="s">
        <v>16217</v>
      </c>
      <c r="H2960" s="8" t="s">
        <v>1104</v>
      </c>
      <c r="I2960" s="8" t="s">
        <v>399</v>
      </c>
      <c r="J2960" s="16" t="s">
        <v>5649</v>
      </c>
      <c r="K2960" s="2" t="s">
        <v>1105</v>
      </c>
      <c r="L2960" s="8" t="s">
        <v>1106</v>
      </c>
      <c r="M2960" s="8" t="s">
        <v>27</v>
      </c>
      <c r="N2960" s="8" t="s">
        <v>16218</v>
      </c>
      <c r="O2960" s="8" t="s">
        <v>29</v>
      </c>
      <c r="P2960" s="8" t="s">
        <v>405</v>
      </c>
      <c r="Q2960" s="12" t="s">
        <v>16219</v>
      </c>
      <c r="R2960" s="8" t="s">
        <v>100</v>
      </c>
      <c r="S2960" s="7" t="s">
        <v>28</v>
      </c>
      <c r="T2960" s="6"/>
      <c r="U2960" s="8"/>
    </row>
    <row r="2961" spans="1:21" ht="13.5" customHeight="1">
      <c r="A2961" s="8" t="s">
        <v>16238</v>
      </c>
      <c r="B2961" s="16" t="s">
        <v>13702</v>
      </c>
      <c r="C2961" s="8" t="s">
        <v>20</v>
      </c>
      <c r="D2961" s="8" t="s">
        <v>30</v>
      </c>
      <c r="F2961" s="17">
        <v>41444</v>
      </c>
      <c r="G2961" s="8" t="s">
        <v>16239</v>
      </c>
      <c r="H2961" s="8" t="s">
        <v>16240</v>
      </c>
      <c r="I2961" s="8" t="s">
        <v>306</v>
      </c>
      <c r="J2961" s="16" t="s">
        <v>16241</v>
      </c>
      <c r="K2961" s="2" t="s">
        <v>2169</v>
      </c>
      <c r="L2961" s="8" t="s">
        <v>2171</v>
      </c>
      <c r="M2961" s="8" t="s">
        <v>27</v>
      </c>
      <c r="N2961" s="8" t="s">
        <v>16242</v>
      </c>
      <c r="O2961" s="8" t="s">
        <v>554</v>
      </c>
      <c r="P2961" s="8" t="s">
        <v>405</v>
      </c>
      <c r="Q2961" s="12" t="s">
        <v>16243</v>
      </c>
      <c r="R2961" s="8" t="s">
        <v>100</v>
      </c>
      <c r="S2961" s="7" t="s">
        <v>28</v>
      </c>
      <c r="T2961" s="6"/>
      <c r="U2961" s="8"/>
    </row>
    <row r="2962" spans="1:21" ht="13.5" customHeight="1">
      <c r="A2962" s="8" t="s">
        <v>16220</v>
      </c>
      <c r="B2962" s="16" t="s">
        <v>16221</v>
      </c>
      <c r="C2962" s="8" t="s">
        <v>20</v>
      </c>
      <c r="D2962" s="8" t="s">
        <v>48</v>
      </c>
      <c r="E2962" s="8" t="s">
        <v>16222</v>
      </c>
      <c r="F2962" s="17">
        <v>41444</v>
      </c>
      <c r="G2962" s="8" t="s">
        <v>16223</v>
      </c>
      <c r="H2962" s="8" t="s">
        <v>6209</v>
      </c>
      <c r="I2962" s="8" t="s">
        <v>73</v>
      </c>
      <c r="J2962" s="16" t="s">
        <v>16224</v>
      </c>
      <c r="K2962" s="2" t="s">
        <v>288</v>
      </c>
      <c r="L2962" s="8" t="s">
        <v>6211</v>
      </c>
      <c r="M2962" s="8" t="s">
        <v>27</v>
      </c>
      <c r="N2962" s="8" t="s">
        <v>16225</v>
      </c>
      <c r="O2962" s="8" t="s">
        <v>29</v>
      </c>
      <c r="P2962" s="8" t="s">
        <v>405</v>
      </c>
      <c r="Q2962" s="12" t="s">
        <v>16226</v>
      </c>
      <c r="R2962" s="8" t="s">
        <v>100</v>
      </c>
      <c r="S2962" s="7" t="s">
        <v>28</v>
      </c>
      <c r="T2962" s="6"/>
      <c r="U2962" s="8"/>
    </row>
    <row r="2963" spans="1:21" ht="13.5" customHeight="1">
      <c r="A2963" s="8" t="s">
        <v>16244</v>
      </c>
      <c r="B2963" s="16" t="s">
        <v>16245</v>
      </c>
      <c r="C2963" s="8" t="s">
        <v>20</v>
      </c>
      <c r="D2963" s="8" t="s">
        <v>85</v>
      </c>
      <c r="E2963" s="8" t="s">
        <v>16246</v>
      </c>
      <c r="F2963" s="17">
        <v>41443</v>
      </c>
      <c r="G2963" s="8" t="s">
        <v>16247</v>
      </c>
      <c r="H2963" s="8" t="s">
        <v>4243</v>
      </c>
      <c r="I2963" s="8" t="s">
        <v>370</v>
      </c>
      <c r="J2963" s="16" t="s">
        <v>16248</v>
      </c>
      <c r="K2963" s="2" t="s">
        <v>4245</v>
      </c>
      <c r="L2963" s="8" t="s">
        <v>4246</v>
      </c>
      <c r="M2963" s="8" t="s">
        <v>27</v>
      </c>
      <c r="N2963" s="8" t="s">
        <v>16249</v>
      </c>
      <c r="O2963" s="8" t="s">
        <v>554</v>
      </c>
      <c r="P2963" s="8" t="s">
        <v>405</v>
      </c>
      <c r="Q2963" s="12" t="s">
        <v>16250</v>
      </c>
      <c r="R2963" s="8" t="s">
        <v>100</v>
      </c>
      <c r="S2963" s="7" t="s">
        <v>28</v>
      </c>
      <c r="T2963" s="6"/>
      <c r="U2963" s="8"/>
    </row>
    <row r="2964" spans="1:21" ht="13.5" customHeight="1">
      <c r="A2964" s="8" t="s">
        <v>16251</v>
      </c>
      <c r="B2964" s="16">
        <v>41</v>
      </c>
      <c r="C2964" s="8" t="s">
        <v>20</v>
      </c>
      <c r="D2964" s="8" t="s">
        <v>85</v>
      </c>
      <c r="E2964" s="8" t="s">
        <v>16252</v>
      </c>
      <c r="F2964" s="17">
        <v>41443</v>
      </c>
      <c r="G2964" s="8" t="s">
        <v>16253</v>
      </c>
      <c r="H2964" s="8" t="s">
        <v>8482</v>
      </c>
      <c r="I2964" s="8" t="s">
        <v>247</v>
      </c>
      <c r="J2964" s="16" t="s">
        <v>16254</v>
      </c>
      <c r="K2964" s="2" t="s">
        <v>16255</v>
      </c>
      <c r="L2964" s="8" t="s">
        <v>16256</v>
      </c>
      <c r="M2964" s="8" t="s">
        <v>14630</v>
      </c>
      <c r="N2964" s="8" t="s">
        <v>16257</v>
      </c>
      <c r="O2964" s="8" t="s">
        <v>1018</v>
      </c>
      <c r="P2964" s="8" t="s">
        <v>405</v>
      </c>
      <c r="Q2964" s="12" t="s">
        <v>16258</v>
      </c>
      <c r="R2964" s="8" t="s">
        <v>100</v>
      </c>
      <c r="S2964" s="7" t="s">
        <v>28</v>
      </c>
      <c r="T2964" s="6"/>
      <c r="U2964" s="8"/>
    </row>
    <row r="2965" spans="1:21" ht="13.5" customHeight="1">
      <c r="A2965" s="8" t="s">
        <v>16263</v>
      </c>
      <c r="B2965" s="16" t="s">
        <v>9471</v>
      </c>
      <c r="C2965" s="8" t="s">
        <v>20</v>
      </c>
      <c r="D2965" s="8" t="s">
        <v>37</v>
      </c>
      <c r="F2965" s="17">
        <v>41443</v>
      </c>
      <c r="G2965" s="8" t="s">
        <v>16264</v>
      </c>
      <c r="H2965" s="8" t="s">
        <v>1447</v>
      </c>
      <c r="I2965" s="8" t="s">
        <v>306</v>
      </c>
      <c r="J2965" s="16" t="s">
        <v>16265</v>
      </c>
      <c r="K2965" s="2" t="s">
        <v>891</v>
      </c>
      <c r="L2965" s="8" t="s">
        <v>2772</v>
      </c>
      <c r="M2965" s="8" t="s">
        <v>27</v>
      </c>
      <c r="N2965" s="8" t="s">
        <v>16266</v>
      </c>
      <c r="O2965" s="8" t="s">
        <v>554</v>
      </c>
      <c r="P2965" s="8" t="s">
        <v>405</v>
      </c>
      <c r="Q2965" s="12" t="s">
        <v>16267</v>
      </c>
      <c r="R2965" s="8" t="s">
        <v>100</v>
      </c>
      <c r="S2965" s="7" t="s">
        <v>28</v>
      </c>
      <c r="T2965" s="6"/>
      <c r="U2965" s="8"/>
    </row>
    <row r="2966" spans="1:21" ht="13.5" customHeight="1">
      <c r="A2966" s="8" t="s">
        <v>16259</v>
      </c>
      <c r="B2966" s="16" t="s">
        <v>10218</v>
      </c>
      <c r="C2966" s="8" t="s">
        <v>20</v>
      </c>
      <c r="D2966" s="8" t="s">
        <v>30</v>
      </c>
      <c r="F2966" s="17">
        <v>41443</v>
      </c>
      <c r="G2966" s="8" t="s">
        <v>16260</v>
      </c>
      <c r="H2966" s="8" t="s">
        <v>762</v>
      </c>
      <c r="I2966" s="8" t="s">
        <v>427</v>
      </c>
      <c r="J2966" s="16" t="s">
        <v>2158</v>
      </c>
      <c r="K2966" s="2" t="s">
        <v>762</v>
      </c>
      <c r="L2966" s="8" t="s">
        <v>586</v>
      </c>
      <c r="M2966" s="8" t="s">
        <v>27</v>
      </c>
      <c r="N2966" s="8" t="s">
        <v>16261</v>
      </c>
      <c r="O2966" s="8" t="s">
        <v>29</v>
      </c>
      <c r="P2966" s="8" t="s">
        <v>405</v>
      </c>
      <c r="Q2966" s="12" t="s">
        <v>16262</v>
      </c>
      <c r="R2966" s="8" t="s">
        <v>100</v>
      </c>
      <c r="S2966" s="7" t="s">
        <v>28</v>
      </c>
      <c r="T2966" s="6"/>
      <c r="U2966" s="8"/>
    </row>
    <row r="2967" spans="1:21" ht="13.5" customHeight="1">
      <c r="A2967" s="8" t="s">
        <v>16268</v>
      </c>
      <c r="B2967" s="16" t="s">
        <v>14120</v>
      </c>
      <c r="C2967" s="8" t="s">
        <v>20</v>
      </c>
      <c r="D2967" s="8" t="s">
        <v>85</v>
      </c>
      <c r="E2967" s="8" t="s">
        <v>16269</v>
      </c>
      <c r="F2967" s="17">
        <v>41442</v>
      </c>
      <c r="G2967" s="8" t="s">
        <v>16270</v>
      </c>
      <c r="H2967" s="8" t="s">
        <v>579</v>
      </c>
      <c r="I2967" s="8" t="s">
        <v>73</v>
      </c>
      <c r="J2967" s="16" t="s">
        <v>3050</v>
      </c>
      <c r="K2967" s="2" t="s">
        <v>580</v>
      </c>
      <c r="L2967" s="8" t="s">
        <v>581</v>
      </c>
      <c r="M2967" s="8" t="s">
        <v>27</v>
      </c>
      <c r="N2967" s="8" t="s">
        <v>16271</v>
      </c>
      <c r="O2967" s="8" t="s">
        <v>29</v>
      </c>
      <c r="P2967" s="8" t="s">
        <v>405</v>
      </c>
      <c r="Q2967" s="12" t="s">
        <v>16272</v>
      </c>
      <c r="R2967" s="8" t="s">
        <v>100</v>
      </c>
      <c r="S2967" s="7" t="s">
        <v>28</v>
      </c>
      <c r="T2967" s="6"/>
      <c r="U2967" s="8"/>
    </row>
    <row r="2968" spans="1:21" ht="13.5" customHeight="1">
      <c r="A2968" s="8" t="s">
        <v>16292</v>
      </c>
      <c r="B2968" s="16">
        <v>41</v>
      </c>
      <c r="C2968" s="8" t="s">
        <v>20</v>
      </c>
      <c r="D2968" s="8" t="s">
        <v>37</v>
      </c>
      <c r="E2968" s="8" t="s">
        <v>16293</v>
      </c>
      <c r="F2968" s="17">
        <v>41442</v>
      </c>
      <c r="G2968" s="8" t="s">
        <v>16294</v>
      </c>
      <c r="H2968" s="8" t="s">
        <v>10408</v>
      </c>
      <c r="I2968" s="8" t="s">
        <v>73</v>
      </c>
      <c r="J2968" s="16" t="s">
        <v>16295</v>
      </c>
      <c r="K2968" s="2" t="s">
        <v>10408</v>
      </c>
      <c r="L2968" s="8" t="s">
        <v>10409</v>
      </c>
      <c r="M2968" s="8" t="s">
        <v>27</v>
      </c>
      <c r="N2968" s="8" t="s">
        <v>16296</v>
      </c>
      <c r="O2968" s="8" t="s">
        <v>554</v>
      </c>
      <c r="P2968" s="8" t="s">
        <v>405</v>
      </c>
      <c r="Q2968" s="12" t="s">
        <v>16297</v>
      </c>
      <c r="R2968" s="8" t="s">
        <v>29</v>
      </c>
      <c r="S2968" s="7" t="s">
        <v>28</v>
      </c>
      <c r="T2968" s="6"/>
      <c r="U2968" s="8"/>
    </row>
    <row r="2969" spans="1:21" ht="13.5" customHeight="1">
      <c r="A2969" s="8" t="s">
        <v>16287</v>
      </c>
      <c r="B2969" s="16">
        <v>45</v>
      </c>
      <c r="C2969" s="8" t="s">
        <v>20</v>
      </c>
      <c r="D2969" s="8" t="s">
        <v>30</v>
      </c>
      <c r="F2969" s="17">
        <v>41442</v>
      </c>
      <c r="G2969" s="8" t="s">
        <v>16288</v>
      </c>
      <c r="H2969" s="8" t="s">
        <v>434</v>
      </c>
      <c r="I2969" s="8" t="s">
        <v>435</v>
      </c>
      <c r="J2969" s="16" t="s">
        <v>16289</v>
      </c>
      <c r="K2969" s="2" t="s">
        <v>3435</v>
      </c>
      <c r="L2969" s="8" t="s">
        <v>438</v>
      </c>
      <c r="M2969" s="8" t="s">
        <v>1706</v>
      </c>
      <c r="N2969" s="8" t="s">
        <v>16290</v>
      </c>
      <c r="O2969" s="8" t="s">
        <v>4742</v>
      </c>
      <c r="P2969" s="8" t="s">
        <v>405</v>
      </c>
      <c r="Q2969" s="12" t="s">
        <v>16291</v>
      </c>
      <c r="R2969" s="8" t="s">
        <v>559</v>
      </c>
      <c r="S2969" s="7" t="s">
        <v>28</v>
      </c>
      <c r="T2969" s="6"/>
      <c r="U2969" s="8"/>
    </row>
    <row r="2970" spans="1:21" ht="13.5" customHeight="1">
      <c r="A2970" s="8" t="s">
        <v>16281</v>
      </c>
      <c r="B2970" s="16" t="s">
        <v>16282</v>
      </c>
      <c r="C2970" s="8" t="s">
        <v>20</v>
      </c>
      <c r="D2970" s="8" t="s">
        <v>30</v>
      </c>
      <c r="F2970" s="17">
        <v>41442</v>
      </c>
      <c r="G2970" s="8" t="s">
        <v>16283</v>
      </c>
      <c r="H2970" s="8" t="s">
        <v>2678</v>
      </c>
      <c r="I2970" s="8" t="s">
        <v>41</v>
      </c>
      <c r="J2970" s="16" t="s">
        <v>16284</v>
      </c>
      <c r="K2970" s="2" t="s">
        <v>6930</v>
      </c>
      <c r="L2970" s="8" t="s">
        <v>43</v>
      </c>
      <c r="M2970" s="8" t="s">
        <v>27</v>
      </c>
      <c r="N2970" s="8" t="s">
        <v>16285</v>
      </c>
      <c r="O2970" s="8" t="s">
        <v>29</v>
      </c>
      <c r="P2970" s="8" t="s">
        <v>405</v>
      </c>
      <c r="Q2970" s="12" t="s">
        <v>16286</v>
      </c>
      <c r="R2970" s="8" t="s">
        <v>559</v>
      </c>
      <c r="S2970" s="7" t="s">
        <v>28</v>
      </c>
      <c r="T2970" s="6"/>
      <c r="U2970" s="8"/>
    </row>
    <row r="2971" spans="1:21" ht="13.5" customHeight="1">
      <c r="A2971" s="8" t="s">
        <v>16273</v>
      </c>
      <c r="B2971" s="16">
        <v>25</v>
      </c>
      <c r="C2971" s="8" t="s">
        <v>20</v>
      </c>
      <c r="D2971" s="8" t="s">
        <v>48</v>
      </c>
      <c r="E2971" s="8" t="s">
        <v>16274</v>
      </c>
      <c r="F2971" s="17">
        <v>41442</v>
      </c>
      <c r="G2971" s="8" t="s">
        <v>16275</v>
      </c>
      <c r="H2971" s="8" t="s">
        <v>686</v>
      </c>
      <c r="I2971" s="8" t="s">
        <v>45</v>
      </c>
      <c r="J2971" s="16" t="s">
        <v>16276</v>
      </c>
      <c r="K2971" s="2" t="s">
        <v>687</v>
      </c>
      <c r="L2971" s="8" t="s">
        <v>16277</v>
      </c>
      <c r="M2971" s="8" t="s">
        <v>16278</v>
      </c>
      <c r="N2971" s="8" t="s">
        <v>16279</v>
      </c>
      <c r="O2971" s="8" t="s">
        <v>3421</v>
      </c>
      <c r="P2971" s="8" t="s">
        <v>405</v>
      </c>
      <c r="Q2971" s="12" t="s">
        <v>16280</v>
      </c>
      <c r="R2971" s="8" t="s">
        <v>100</v>
      </c>
      <c r="S2971" s="7" t="s">
        <v>28</v>
      </c>
      <c r="T2971" s="6"/>
      <c r="U2971" s="8"/>
    </row>
    <row r="2972" spans="1:21" ht="13.5" customHeight="1">
      <c r="A2972" s="8" t="s">
        <v>16303</v>
      </c>
      <c r="B2972" s="16" t="s">
        <v>10119</v>
      </c>
      <c r="C2972" s="8" t="s">
        <v>20</v>
      </c>
      <c r="D2972" s="8" t="s">
        <v>85</v>
      </c>
      <c r="F2972" s="17">
        <v>41441</v>
      </c>
      <c r="G2972" s="8" t="s">
        <v>16304</v>
      </c>
      <c r="H2972" s="8" t="s">
        <v>87</v>
      </c>
      <c r="I2972" s="8" t="s">
        <v>44</v>
      </c>
      <c r="J2972" s="16" t="s">
        <v>16305</v>
      </c>
      <c r="K2972" s="2" t="s">
        <v>88</v>
      </c>
      <c r="L2972" s="8" t="s">
        <v>89</v>
      </c>
      <c r="M2972" s="8" t="s">
        <v>27</v>
      </c>
      <c r="N2972" s="8" t="s">
        <v>16306</v>
      </c>
      <c r="O2972" s="8" t="s">
        <v>29</v>
      </c>
      <c r="P2972" s="8" t="s">
        <v>405</v>
      </c>
      <c r="Q2972" s="12" t="s">
        <v>16307</v>
      </c>
      <c r="R2972" s="8" t="s">
        <v>100</v>
      </c>
      <c r="S2972" s="7" t="s">
        <v>28</v>
      </c>
      <c r="T2972" s="6"/>
      <c r="U2972" s="8"/>
    </row>
    <row r="2973" spans="1:21" ht="13.5" customHeight="1">
      <c r="A2973" s="8" t="s">
        <v>16347</v>
      </c>
      <c r="B2973" s="16">
        <v>33</v>
      </c>
      <c r="C2973" s="8" t="s">
        <v>20</v>
      </c>
      <c r="D2973" s="8" t="s">
        <v>37</v>
      </c>
      <c r="E2973" s="8" t="s">
        <v>16348</v>
      </c>
      <c r="F2973" s="17">
        <v>41441</v>
      </c>
      <c r="G2973" s="8" t="s">
        <v>16349</v>
      </c>
      <c r="H2973" s="8" t="s">
        <v>686</v>
      </c>
      <c r="I2973" s="8" t="s">
        <v>45</v>
      </c>
      <c r="J2973" s="16" t="s">
        <v>3522</v>
      </c>
      <c r="K2973" s="2" t="s">
        <v>687</v>
      </c>
      <c r="L2973" s="8" t="s">
        <v>755</v>
      </c>
      <c r="M2973" s="8" t="s">
        <v>27</v>
      </c>
      <c r="N2973" s="8" t="s">
        <v>16350</v>
      </c>
      <c r="O2973" s="8" t="s">
        <v>1018</v>
      </c>
      <c r="P2973" s="8" t="s">
        <v>405</v>
      </c>
      <c r="Q2973" s="12" t="s">
        <v>16351</v>
      </c>
      <c r="R2973" s="8" t="s">
        <v>100</v>
      </c>
      <c r="S2973" s="7" t="s">
        <v>28</v>
      </c>
      <c r="T2973" s="6"/>
      <c r="U2973" s="8"/>
    </row>
    <row r="2974" spans="1:21" ht="13.5" customHeight="1">
      <c r="A2974" s="8" t="s">
        <v>16321</v>
      </c>
      <c r="B2974" s="16" t="s">
        <v>16309</v>
      </c>
      <c r="C2974" s="8" t="s">
        <v>20</v>
      </c>
      <c r="D2974" s="8" t="s">
        <v>85</v>
      </c>
      <c r="E2974" s="8" t="s">
        <v>16322</v>
      </c>
      <c r="F2974" s="17">
        <v>41441</v>
      </c>
      <c r="G2974" s="8" t="s">
        <v>16323</v>
      </c>
      <c r="H2974" s="8" t="s">
        <v>16324</v>
      </c>
      <c r="I2974" s="8" t="s">
        <v>32</v>
      </c>
      <c r="J2974" s="16" t="s">
        <v>16325</v>
      </c>
      <c r="K2974" s="2" t="s">
        <v>1015</v>
      </c>
      <c r="L2974" s="8" t="s">
        <v>16326</v>
      </c>
      <c r="M2974" s="8" t="s">
        <v>27</v>
      </c>
      <c r="N2974" s="8" t="s">
        <v>16327</v>
      </c>
      <c r="O2974" s="8" t="s">
        <v>29</v>
      </c>
      <c r="P2974" s="8" t="s">
        <v>405</v>
      </c>
      <c r="Q2974" s="12" t="s">
        <v>16328</v>
      </c>
      <c r="R2974" s="8" t="s">
        <v>100</v>
      </c>
      <c r="S2974" s="7" t="s">
        <v>28</v>
      </c>
      <c r="T2974" s="6"/>
      <c r="U2974" s="8"/>
    </row>
    <row r="2975" spans="1:21" ht="13.5" customHeight="1">
      <c r="A2975" s="8" t="s">
        <v>16352</v>
      </c>
      <c r="B2975" s="16">
        <v>54</v>
      </c>
      <c r="C2975" s="8" t="s">
        <v>20</v>
      </c>
      <c r="D2975" s="8" t="s">
        <v>37</v>
      </c>
      <c r="E2975" s="8" t="s">
        <v>16353</v>
      </c>
      <c r="F2975" s="17">
        <v>41441</v>
      </c>
      <c r="G2975" s="8" t="s">
        <v>16354</v>
      </c>
      <c r="H2975" s="8" t="s">
        <v>1069</v>
      </c>
      <c r="I2975" s="8" t="s">
        <v>62</v>
      </c>
      <c r="J2975" s="16" t="s">
        <v>13024</v>
      </c>
      <c r="K2975" s="2" t="s">
        <v>1070</v>
      </c>
      <c r="L2975" s="8" t="s">
        <v>4480</v>
      </c>
      <c r="M2975" s="8" t="s">
        <v>27</v>
      </c>
      <c r="N2975" s="8" t="s">
        <v>16355</v>
      </c>
      <c r="O2975" s="8" t="s">
        <v>4742</v>
      </c>
      <c r="P2975" s="8" t="s">
        <v>405</v>
      </c>
      <c r="Q2975" s="12" t="s">
        <v>16356</v>
      </c>
      <c r="R2975" s="8" t="s">
        <v>100</v>
      </c>
      <c r="S2975" s="7" t="s">
        <v>28</v>
      </c>
      <c r="T2975" s="6"/>
      <c r="U2975" s="8"/>
    </row>
    <row r="2976" spans="1:21" ht="13.5" customHeight="1">
      <c r="A2976" s="8" t="s">
        <v>16341</v>
      </c>
      <c r="B2976" s="16" t="s">
        <v>16342</v>
      </c>
      <c r="C2976" s="8" t="s">
        <v>20</v>
      </c>
      <c r="D2976" s="8" t="s">
        <v>30</v>
      </c>
      <c r="F2976" s="17">
        <v>41441</v>
      </c>
      <c r="G2976" s="8" t="s">
        <v>16343</v>
      </c>
      <c r="H2976" s="8" t="s">
        <v>1065</v>
      </c>
      <c r="I2976" s="8" t="s">
        <v>220</v>
      </c>
      <c r="J2976" s="16" t="s">
        <v>16344</v>
      </c>
      <c r="K2976" s="2" t="s">
        <v>2230</v>
      </c>
      <c r="L2976" s="8" t="s">
        <v>5487</v>
      </c>
      <c r="M2976" s="8" t="s">
        <v>27</v>
      </c>
      <c r="N2976" s="8" t="s">
        <v>16345</v>
      </c>
      <c r="O2976" s="8" t="s">
        <v>29</v>
      </c>
      <c r="P2976" s="8" t="s">
        <v>405</v>
      </c>
      <c r="Q2976" s="12" t="s">
        <v>16346</v>
      </c>
      <c r="R2976" s="8" t="s">
        <v>100</v>
      </c>
      <c r="S2976" s="7" t="s">
        <v>28</v>
      </c>
      <c r="T2976" s="6"/>
      <c r="U2976" s="8"/>
    </row>
    <row r="2977" spans="1:34" ht="13.5" customHeight="1">
      <c r="A2977" s="8" t="s">
        <v>16308</v>
      </c>
      <c r="B2977" s="16" t="s">
        <v>16309</v>
      </c>
      <c r="C2977" s="8" t="s">
        <v>20</v>
      </c>
      <c r="D2977" s="8" t="s">
        <v>85</v>
      </c>
      <c r="E2977" s="8" t="s">
        <v>16310</v>
      </c>
      <c r="F2977" s="17">
        <v>41441</v>
      </c>
      <c r="G2977" s="8" t="s">
        <v>16311</v>
      </c>
      <c r="H2977" s="8" t="s">
        <v>216</v>
      </c>
      <c r="I2977" s="8" t="s">
        <v>62</v>
      </c>
      <c r="J2977" s="16" t="s">
        <v>11444</v>
      </c>
      <c r="K2977" s="2" t="s">
        <v>163</v>
      </c>
      <c r="L2977" s="8" t="s">
        <v>164</v>
      </c>
      <c r="M2977" s="8" t="s">
        <v>27</v>
      </c>
      <c r="N2977" s="8" t="s">
        <v>16312</v>
      </c>
      <c r="O2977" s="8" t="s">
        <v>29</v>
      </c>
      <c r="P2977" s="8" t="s">
        <v>405</v>
      </c>
      <c r="Q2977" s="12" t="s">
        <v>16313</v>
      </c>
      <c r="R2977" s="8" t="s">
        <v>100</v>
      </c>
      <c r="S2977" s="7" t="s">
        <v>28</v>
      </c>
      <c r="T2977" s="6"/>
      <c r="U2977" s="8"/>
    </row>
    <row r="2978" spans="1:34" ht="13.5" customHeight="1">
      <c r="A2978" s="8" t="s">
        <v>16329</v>
      </c>
      <c r="B2978" s="16" t="s">
        <v>16330</v>
      </c>
      <c r="C2978" s="8" t="s">
        <v>20</v>
      </c>
      <c r="D2978" s="8" t="s">
        <v>48</v>
      </c>
      <c r="E2978" s="8" t="s">
        <v>16331</v>
      </c>
      <c r="F2978" s="17">
        <v>41441</v>
      </c>
      <c r="G2978" s="8" t="s">
        <v>16332</v>
      </c>
      <c r="H2978" s="8" t="s">
        <v>11093</v>
      </c>
      <c r="I2978" s="8" t="s">
        <v>73</v>
      </c>
      <c r="J2978" s="16" t="s">
        <v>16164</v>
      </c>
      <c r="K2978" s="2" t="s">
        <v>2609</v>
      </c>
      <c r="L2978" s="8" t="s">
        <v>11095</v>
      </c>
      <c r="M2978" s="8" t="s">
        <v>27</v>
      </c>
      <c r="N2978" s="8" t="s">
        <v>16333</v>
      </c>
      <c r="O2978" s="8" t="s">
        <v>29</v>
      </c>
      <c r="P2978" s="8" t="s">
        <v>405</v>
      </c>
      <c r="Q2978" s="12" t="s">
        <v>16334</v>
      </c>
      <c r="R2978" s="8" t="s">
        <v>100</v>
      </c>
      <c r="S2978" s="7" t="s">
        <v>28</v>
      </c>
      <c r="T2978" s="6"/>
      <c r="U2978" s="8"/>
    </row>
    <row r="2979" spans="1:34" ht="13.5" customHeight="1">
      <c r="A2979" s="8" t="s">
        <v>16298</v>
      </c>
      <c r="B2979" s="16">
        <v>15</v>
      </c>
      <c r="C2979" s="8" t="s">
        <v>20</v>
      </c>
      <c r="D2979" s="8" t="s">
        <v>85</v>
      </c>
      <c r="E2979" s="8" t="s">
        <v>16299</v>
      </c>
      <c r="F2979" s="17">
        <v>41441</v>
      </c>
      <c r="G2979" s="8" t="s">
        <v>16300</v>
      </c>
      <c r="H2979" s="8" t="s">
        <v>87</v>
      </c>
      <c r="I2979" s="8" t="s">
        <v>44</v>
      </c>
      <c r="J2979" s="16" t="s">
        <v>15923</v>
      </c>
      <c r="K2979" s="2" t="s">
        <v>88</v>
      </c>
      <c r="L2979" s="8" t="s">
        <v>89</v>
      </c>
      <c r="M2979" s="8" t="s">
        <v>27</v>
      </c>
      <c r="N2979" s="8" t="s">
        <v>16301</v>
      </c>
      <c r="O2979" s="8" t="s">
        <v>1018</v>
      </c>
      <c r="P2979" s="8" t="s">
        <v>405</v>
      </c>
      <c r="Q2979" s="12" t="s">
        <v>16302</v>
      </c>
      <c r="R2979" s="8" t="s">
        <v>100</v>
      </c>
      <c r="S2979" s="7" t="s">
        <v>28</v>
      </c>
      <c r="T2979" s="6"/>
      <c r="U2979" s="8"/>
    </row>
    <row r="2980" spans="1:34" ht="13.5" customHeight="1">
      <c r="A2980" s="8" t="s">
        <v>3288</v>
      </c>
      <c r="B2980" s="16">
        <v>53</v>
      </c>
      <c r="C2980" s="8" t="s">
        <v>20</v>
      </c>
      <c r="D2980" s="8" t="s">
        <v>30</v>
      </c>
      <c r="F2980" s="17">
        <v>41441</v>
      </c>
      <c r="G2980" s="8" t="s">
        <v>16335</v>
      </c>
      <c r="H2980" s="8" t="s">
        <v>1152</v>
      </c>
      <c r="I2980" s="8" t="s">
        <v>45</v>
      </c>
      <c r="J2980" s="16" t="s">
        <v>16336</v>
      </c>
      <c r="K2980" s="2" t="s">
        <v>608</v>
      </c>
      <c r="L2980" s="8" t="s">
        <v>1153</v>
      </c>
      <c r="M2980" s="8" t="s">
        <v>27</v>
      </c>
      <c r="N2980" s="8" t="s">
        <v>16337</v>
      </c>
      <c r="O2980" s="8" t="s">
        <v>4742</v>
      </c>
      <c r="P2980" s="8" t="s">
        <v>405</v>
      </c>
      <c r="Q2980" s="12" t="s">
        <v>16338</v>
      </c>
      <c r="R2980" s="8" t="s">
        <v>559</v>
      </c>
      <c r="S2980" s="7" t="s">
        <v>28</v>
      </c>
      <c r="T2980" s="6"/>
      <c r="U2980" s="8"/>
    </row>
    <row r="2981" spans="1:34" ht="13.5" customHeight="1">
      <c r="A2981" s="8" t="s">
        <v>3288</v>
      </c>
      <c r="B2981" s="16">
        <v>53</v>
      </c>
      <c r="C2981" s="8" t="s">
        <v>20</v>
      </c>
      <c r="D2981" s="8" t="s">
        <v>30</v>
      </c>
      <c r="F2981" s="17">
        <v>41441</v>
      </c>
      <c r="G2981" s="8" t="s">
        <v>16339</v>
      </c>
      <c r="H2981" s="8" t="s">
        <v>1152</v>
      </c>
      <c r="I2981" s="8" t="s">
        <v>45</v>
      </c>
      <c r="J2981" s="16" t="s">
        <v>16336</v>
      </c>
      <c r="K2981" s="2" t="s">
        <v>608</v>
      </c>
      <c r="L2981" s="8" t="s">
        <v>1153</v>
      </c>
      <c r="M2981" s="8" t="s">
        <v>27</v>
      </c>
      <c r="N2981" s="8" t="s">
        <v>16340</v>
      </c>
      <c r="O2981" s="8" t="s">
        <v>29</v>
      </c>
      <c r="P2981" s="8" t="s">
        <v>405</v>
      </c>
      <c r="Q2981" s="12" t="s">
        <v>16338</v>
      </c>
      <c r="R2981" s="8" t="s">
        <v>559</v>
      </c>
      <c r="S2981" s="7" t="s">
        <v>28</v>
      </c>
      <c r="T2981" s="6"/>
      <c r="U2981" s="8"/>
    </row>
    <row r="2982" spans="1:34" ht="13.5" customHeight="1">
      <c r="A2982" s="8" t="s">
        <v>16314</v>
      </c>
      <c r="B2982" s="16" t="s">
        <v>8822</v>
      </c>
      <c r="C2982" s="8" t="s">
        <v>20</v>
      </c>
      <c r="D2982" s="8" t="s">
        <v>85</v>
      </c>
      <c r="E2982" s="8" t="s">
        <v>16315</v>
      </c>
      <c r="F2982" s="17">
        <v>41441</v>
      </c>
      <c r="G2982" s="8" t="s">
        <v>16316</v>
      </c>
      <c r="H2982" s="8" t="s">
        <v>16317</v>
      </c>
      <c r="I2982" s="8" t="s">
        <v>399</v>
      </c>
      <c r="J2982" s="16" t="s">
        <v>16318</v>
      </c>
      <c r="K2982" s="2" t="s">
        <v>1105</v>
      </c>
      <c r="L2982" s="8" t="s">
        <v>1157</v>
      </c>
      <c r="M2982" s="8" t="s">
        <v>27</v>
      </c>
      <c r="N2982" s="8" t="s">
        <v>16319</v>
      </c>
      <c r="O2982" s="8" t="s">
        <v>554</v>
      </c>
      <c r="P2982" s="8" t="s">
        <v>405</v>
      </c>
      <c r="Q2982" s="12" t="s">
        <v>16320</v>
      </c>
      <c r="R2982" s="8" t="s">
        <v>559</v>
      </c>
      <c r="S2982" s="7" t="s">
        <v>28</v>
      </c>
      <c r="T2982" s="6"/>
      <c r="U2982" s="8"/>
    </row>
    <row r="2983" spans="1:34" ht="13.5" customHeight="1">
      <c r="A2983" s="8" t="s">
        <v>16370</v>
      </c>
      <c r="B2983" s="16" t="s">
        <v>16371</v>
      </c>
      <c r="C2983" s="8" t="s">
        <v>20</v>
      </c>
      <c r="D2983" s="8" t="s">
        <v>48</v>
      </c>
      <c r="F2983" s="17">
        <v>41440</v>
      </c>
      <c r="G2983" s="8" t="s">
        <v>16372</v>
      </c>
      <c r="H2983" s="8" t="s">
        <v>1643</v>
      </c>
      <c r="I2983" s="8" t="s">
        <v>467</v>
      </c>
      <c r="J2983" s="16" t="s">
        <v>16373</v>
      </c>
      <c r="K2983" s="2" t="s">
        <v>946</v>
      </c>
      <c r="L2983" s="8" t="s">
        <v>2273</v>
      </c>
      <c r="M2983" s="8" t="s">
        <v>27</v>
      </c>
      <c r="N2983" s="8" t="s">
        <v>16374</v>
      </c>
      <c r="O2983" s="8" t="s">
        <v>554</v>
      </c>
      <c r="P2983" s="8" t="s">
        <v>405</v>
      </c>
      <c r="Q2983" s="12" t="s">
        <v>16375</v>
      </c>
      <c r="R2983" s="8" t="s">
        <v>100</v>
      </c>
      <c r="S2983" s="7" t="s">
        <v>28</v>
      </c>
      <c r="T2983" s="6"/>
      <c r="U2983" s="8"/>
    </row>
    <row r="2984" spans="1:34" ht="13.5" customHeight="1">
      <c r="A2984" s="8" t="s">
        <v>16379</v>
      </c>
      <c r="B2984" s="16" t="s">
        <v>16380</v>
      </c>
      <c r="C2984" s="8" t="s">
        <v>20</v>
      </c>
      <c r="D2984" s="8" t="s">
        <v>37</v>
      </c>
      <c r="E2984" s="8" t="s">
        <v>16381</v>
      </c>
      <c r="F2984" s="17">
        <v>41440</v>
      </c>
      <c r="G2984" s="8" t="s">
        <v>16382</v>
      </c>
      <c r="H2984" s="8" t="s">
        <v>16383</v>
      </c>
      <c r="I2984" s="8" t="s">
        <v>212</v>
      </c>
      <c r="J2984" s="16" t="s">
        <v>16384</v>
      </c>
      <c r="K2984" s="2" t="s">
        <v>1442</v>
      </c>
      <c r="L2984" s="8" t="s">
        <v>16385</v>
      </c>
      <c r="M2984" s="8" t="s">
        <v>27</v>
      </c>
      <c r="N2984" s="8" t="s">
        <v>16386</v>
      </c>
      <c r="O2984" s="8" t="s">
        <v>554</v>
      </c>
      <c r="P2984" s="8" t="s">
        <v>405</v>
      </c>
      <c r="Q2984" s="12" t="s">
        <v>16387</v>
      </c>
      <c r="R2984" s="8" t="s">
        <v>100</v>
      </c>
      <c r="S2984" s="7" t="s">
        <v>28</v>
      </c>
      <c r="T2984" s="6"/>
      <c r="U2984" s="8"/>
    </row>
    <row r="2985" spans="1:34" ht="13.5" customHeight="1">
      <c r="A2985" s="8" t="s">
        <v>16364</v>
      </c>
      <c r="B2985" s="16" t="s">
        <v>16365</v>
      </c>
      <c r="C2985" s="8" t="s">
        <v>20</v>
      </c>
      <c r="D2985" s="8" t="s">
        <v>85</v>
      </c>
      <c r="E2985" s="8" t="s">
        <v>16366</v>
      </c>
      <c r="F2985" s="17">
        <v>41440</v>
      </c>
      <c r="G2985" s="8" t="s">
        <v>16367</v>
      </c>
      <c r="H2985" s="8" t="s">
        <v>87</v>
      </c>
      <c r="I2985" s="8" t="s">
        <v>44</v>
      </c>
      <c r="J2985" s="16" t="s">
        <v>15923</v>
      </c>
      <c r="K2985" s="2" t="s">
        <v>88</v>
      </c>
      <c r="L2985" s="8" t="s">
        <v>89</v>
      </c>
      <c r="M2985" s="8" t="s">
        <v>27</v>
      </c>
      <c r="N2985" s="8" t="s">
        <v>16368</v>
      </c>
      <c r="O2985" s="8" t="s">
        <v>29</v>
      </c>
      <c r="P2985" s="8" t="s">
        <v>405</v>
      </c>
      <c r="Q2985" s="12" t="s">
        <v>16369</v>
      </c>
      <c r="R2985" s="8" t="s">
        <v>100</v>
      </c>
      <c r="S2985" s="7" t="s">
        <v>28</v>
      </c>
      <c r="T2985" s="6"/>
      <c r="U2985" s="8"/>
    </row>
    <row r="2986" spans="1:34" ht="13.5" customHeight="1">
      <c r="A2986" s="8" t="s">
        <v>3288</v>
      </c>
      <c r="B2986" s="16" t="s">
        <v>11195</v>
      </c>
      <c r="C2986" s="8" t="s">
        <v>20</v>
      </c>
      <c r="D2986" s="8" t="s">
        <v>30</v>
      </c>
      <c r="F2986" s="17">
        <v>41440</v>
      </c>
      <c r="G2986" s="8" t="s">
        <v>16376</v>
      </c>
      <c r="H2986" s="8" t="s">
        <v>216</v>
      </c>
      <c r="I2986" s="8" t="s">
        <v>62</v>
      </c>
      <c r="J2986" s="16" t="s">
        <v>9180</v>
      </c>
      <c r="K2986" s="2" t="s">
        <v>163</v>
      </c>
      <c r="L2986" s="8" t="s">
        <v>164</v>
      </c>
      <c r="M2986" s="8" t="s">
        <v>27</v>
      </c>
      <c r="N2986" s="8" t="s">
        <v>16377</v>
      </c>
      <c r="O2986" s="8" t="s">
        <v>29</v>
      </c>
      <c r="P2986" s="8" t="s">
        <v>405</v>
      </c>
      <c r="Q2986" s="12" t="s">
        <v>16378</v>
      </c>
      <c r="R2986" s="8" t="s">
        <v>100</v>
      </c>
      <c r="S2986" s="7" t="s">
        <v>28</v>
      </c>
      <c r="T2986" s="6"/>
      <c r="U2986" s="8"/>
    </row>
    <row r="2987" spans="1:34" ht="13.5" customHeight="1">
      <c r="A2987" s="8" t="s">
        <v>16357</v>
      </c>
      <c r="B2987" s="16" t="s">
        <v>16015</v>
      </c>
      <c r="C2987" s="8" t="s">
        <v>20</v>
      </c>
      <c r="D2987" s="8" t="s">
        <v>85</v>
      </c>
      <c r="E2987" s="8" t="s">
        <v>16358</v>
      </c>
      <c r="F2987" s="17">
        <v>41440</v>
      </c>
      <c r="G2987" s="8" t="s">
        <v>16359</v>
      </c>
      <c r="H2987" s="8" t="s">
        <v>11477</v>
      </c>
      <c r="I2987" s="8" t="s">
        <v>62</v>
      </c>
      <c r="J2987" s="16" t="s">
        <v>16360</v>
      </c>
      <c r="K2987" s="2" t="s">
        <v>1033</v>
      </c>
      <c r="L2987" s="8" t="s">
        <v>16361</v>
      </c>
      <c r="M2987" s="8" t="s">
        <v>27</v>
      </c>
      <c r="N2987" s="8" t="s">
        <v>16362</v>
      </c>
      <c r="O2987" s="8" t="s">
        <v>29</v>
      </c>
      <c r="P2987" s="8" t="s">
        <v>405</v>
      </c>
      <c r="Q2987" s="12" t="s">
        <v>16363</v>
      </c>
      <c r="R2987" s="8" t="s">
        <v>100</v>
      </c>
      <c r="S2987" s="7" t="s">
        <v>28</v>
      </c>
      <c r="T2987" s="6"/>
      <c r="U2987" s="8"/>
      <c r="Y2987" s="8"/>
      <c r="Z2987" s="8"/>
      <c r="AA2987" s="8"/>
      <c r="AB2987" s="8"/>
      <c r="AC2987" s="8"/>
      <c r="AD2987" s="8"/>
      <c r="AE2987" s="8"/>
      <c r="AF2987" s="8"/>
      <c r="AG2987" s="8"/>
      <c r="AH2987" s="8"/>
    </row>
    <row r="2988" spans="1:34" ht="13.5" customHeight="1">
      <c r="A2988" s="8" t="s">
        <v>16388</v>
      </c>
      <c r="B2988" s="16">
        <v>32</v>
      </c>
      <c r="C2988" s="8" t="s">
        <v>20</v>
      </c>
      <c r="D2988" s="8" t="s">
        <v>85</v>
      </c>
      <c r="E2988" s="8" t="s">
        <v>16389</v>
      </c>
      <c r="F2988" s="17">
        <v>41439</v>
      </c>
      <c r="G2988" s="8" t="s">
        <v>16390</v>
      </c>
      <c r="H2988" s="8" t="s">
        <v>16391</v>
      </c>
      <c r="I2988" s="8" t="s">
        <v>45</v>
      </c>
      <c r="J2988" s="16" t="s">
        <v>16392</v>
      </c>
      <c r="K2988" s="2" t="s">
        <v>608</v>
      </c>
      <c r="L2988" s="8" t="s">
        <v>252</v>
      </c>
      <c r="M2988" s="8" t="s">
        <v>27</v>
      </c>
      <c r="N2988" s="8" t="s">
        <v>16393</v>
      </c>
      <c r="O2988" s="8" t="s">
        <v>554</v>
      </c>
      <c r="P2988" s="8" t="s">
        <v>405</v>
      </c>
      <c r="Q2988" s="12" t="s">
        <v>16394</v>
      </c>
      <c r="R2988" s="8" t="s">
        <v>559</v>
      </c>
      <c r="S2988" s="7" t="s">
        <v>28</v>
      </c>
      <c r="T2988" s="6"/>
      <c r="U2988" s="8"/>
      <c r="Y2988" s="8"/>
      <c r="Z2988" s="8"/>
      <c r="AA2988" s="8"/>
      <c r="AB2988" s="8"/>
      <c r="AC2988" s="8"/>
      <c r="AD2988" s="8"/>
      <c r="AE2988" s="8"/>
      <c r="AF2988" s="8"/>
      <c r="AG2988" s="8"/>
      <c r="AH2988" s="8"/>
    </row>
    <row r="2989" spans="1:34" ht="13.5" customHeight="1">
      <c r="A2989" s="8" t="s">
        <v>16395</v>
      </c>
      <c r="B2989" s="16" t="s">
        <v>16396</v>
      </c>
      <c r="C2989" s="8" t="s">
        <v>20</v>
      </c>
      <c r="D2989" s="8" t="s">
        <v>37</v>
      </c>
      <c r="E2989" s="8" t="s">
        <v>16397</v>
      </c>
      <c r="F2989" s="17">
        <v>41439</v>
      </c>
      <c r="G2989" s="8" t="s">
        <v>16398</v>
      </c>
      <c r="H2989" s="8" t="s">
        <v>16399</v>
      </c>
      <c r="I2989" s="8" t="s">
        <v>46</v>
      </c>
      <c r="J2989" s="16" t="s">
        <v>16400</v>
      </c>
      <c r="K2989" s="2" t="s">
        <v>3353</v>
      </c>
      <c r="L2989" s="8" t="s">
        <v>16834</v>
      </c>
      <c r="M2989" s="8" t="s">
        <v>27</v>
      </c>
      <c r="N2989" s="8" t="s">
        <v>16401</v>
      </c>
      <c r="O2989" s="8" t="s">
        <v>554</v>
      </c>
      <c r="P2989" s="8" t="s">
        <v>405</v>
      </c>
      <c r="Q2989" s="12" t="s">
        <v>16402</v>
      </c>
      <c r="R2989" s="8" t="s">
        <v>559</v>
      </c>
      <c r="S2989" s="7" t="s">
        <v>28</v>
      </c>
      <c r="T2989" s="6"/>
      <c r="U2989" s="8"/>
    </row>
    <row r="2990" spans="1:34" ht="13.5" customHeight="1">
      <c r="A2990" s="8" t="s">
        <v>16413</v>
      </c>
      <c r="B2990" s="16" t="s">
        <v>16202</v>
      </c>
      <c r="C2990" s="8" t="s">
        <v>20</v>
      </c>
      <c r="D2990" s="8" t="s">
        <v>37</v>
      </c>
      <c r="E2990" s="8" t="s">
        <v>16414</v>
      </c>
      <c r="F2990" s="17">
        <v>41438</v>
      </c>
      <c r="G2990" s="8" t="s">
        <v>16415</v>
      </c>
      <c r="H2990" s="8" t="s">
        <v>16416</v>
      </c>
      <c r="I2990" s="8" t="s">
        <v>442</v>
      </c>
      <c r="J2990" s="16" t="s">
        <v>16417</v>
      </c>
      <c r="K2990" s="2" t="s">
        <v>16418</v>
      </c>
      <c r="L2990" s="8" t="s">
        <v>16419</v>
      </c>
      <c r="M2990" s="8" t="s">
        <v>27</v>
      </c>
      <c r="N2990" s="8" t="s">
        <v>16420</v>
      </c>
      <c r="O2990" s="8" t="s">
        <v>554</v>
      </c>
      <c r="P2990" s="8" t="s">
        <v>405</v>
      </c>
      <c r="Q2990" s="12" t="s">
        <v>16421</v>
      </c>
      <c r="R2990" s="8" t="s">
        <v>100</v>
      </c>
      <c r="S2990" s="7" t="s">
        <v>28</v>
      </c>
      <c r="T2990" s="6"/>
      <c r="U2990" s="8"/>
    </row>
    <row r="2991" spans="1:34" ht="13.5" customHeight="1">
      <c r="A2991" s="8" t="s">
        <v>16403</v>
      </c>
      <c r="B2991" s="16">
        <v>17</v>
      </c>
      <c r="C2991" s="8" t="s">
        <v>20</v>
      </c>
      <c r="D2991" s="8" t="s">
        <v>30</v>
      </c>
      <c r="F2991" s="17">
        <v>41438</v>
      </c>
      <c r="G2991" s="8" t="s">
        <v>16404</v>
      </c>
      <c r="H2991" s="8" t="s">
        <v>2177</v>
      </c>
      <c r="I2991" s="8" t="s">
        <v>94</v>
      </c>
      <c r="J2991" s="16" t="s">
        <v>6890</v>
      </c>
      <c r="K2991" s="2" t="s">
        <v>2179</v>
      </c>
      <c r="L2991" s="8" t="s">
        <v>2180</v>
      </c>
      <c r="M2991" s="8" t="s">
        <v>3189</v>
      </c>
      <c r="N2991" s="8" t="s">
        <v>16405</v>
      </c>
      <c r="O2991" s="8" t="s">
        <v>404</v>
      </c>
      <c r="P2991" s="8" t="s">
        <v>405</v>
      </c>
      <c r="Q2991" s="12" t="s">
        <v>16406</v>
      </c>
      <c r="R2991" s="8" t="s">
        <v>972</v>
      </c>
      <c r="S2991" s="7" t="s">
        <v>28</v>
      </c>
      <c r="T2991" s="6"/>
      <c r="U2991" s="8"/>
    </row>
    <row r="2992" spans="1:34" ht="13.5" customHeight="1">
      <c r="A2992" s="8" t="s">
        <v>16407</v>
      </c>
      <c r="B2992" s="16">
        <v>34</v>
      </c>
      <c r="C2992" s="8" t="s">
        <v>20</v>
      </c>
      <c r="D2992" s="8" t="s">
        <v>37</v>
      </c>
      <c r="E2992" s="8" t="s">
        <v>16408</v>
      </c>
      <c r="F2992" s="17">
        <v>41438</v>
      </c>
      <c r="G2992" s="8" t="s">
        <v>16409</v>
      </c>
      <c r="H2992" s="8" t="s">
        <v>846</v>
      </c>
      <c r="I2992" s="8" t="s">
        <v>306</v>
      </c>
      <c r="J2992" s="16" t="s">
        <v>16410</v>
      </c>
      <c r="K2992" s="2" t="s">
        <v>846</v>
      </c>
      <c r="L2992" s="8" t="s">
        <v>16763</v>
      </c>
      <c r="M2992" s="8" t="s">
        <v>13000</v>
      </c>
      <c r="N2992" s="8" t="s">
        <v>16411</v>
      </c>
      <c r="O2992" s="8" t="s">
        <v>554</v>
      </c>
      <c r="P2992" s="8" t="s">
        <v>405</v>
      </c>
      <c r="Q2992" s="12" t="s">
        <v>16412</v>
      </c>
      <c r="R2992" s="8" t="s">
        <v>100</v>
      </c>
      <c r="S2992" s="7" t="s">
        <v>28</v>
      </c>
      <c r="T2992" s="6"/>
      <c r="U2992" s="8"/>
    </row>
    <row r="2993" spans="1:39" ht="13.5" customHeight="1">
      <c r="A2993" s="8" t="s">
        <v>16436</v>
      </c>
      <c r="B2993" s="16" t="s">
        <v>8868</v>
      </c>
      <c r="C2993" s="8" t="s">
        <v>20</v>
      </c>
      <c r="D2993" s="8" t="s">
        <v>37</v>
      </c>
      <c r="E2993" s="8" t="s">
        <v>16437</v>
      </c>
      <c r="F2993" s="17">
        <v>41437</v>
      </c>
      <c r="G2993" s="8" t="s">
        <v>16438</v>
      </c>
      <c r="H2993" s="8" t="s">
        <v>16439</v>
      </c>
      <c r="I2993" s="8" t="s">
        <v>798</v>
      </c>
      <c r="J2993" s="16" t="s">
        <v>16440</v>
      </c>
      <c r="K2993" s="2" t="s">
        <v>16441</v>
      </c>
      <c r="L2993" s="8" t="s">
        <v>16442</v>
      </c>
      <c r="M2993" s="8" t="s">
        <v>27</v>
      </c>
      <c r="N2993" s="8" t="s">
        <v>16443</v>
      </c>
      <c r="O2993" s="8" t="s">
        <v>554</v>
      </c>
      <c r="P2993" s="8" t="s">
        <v>405</v>
      </c>
      <c r="Q2993" s="12" t="s">
        <v>16444</v>
      </c>
      <c r="R2993" s="8" t="s">
        <v>100</v>
      </c>
      <c r="S2993" s="7" t="s">
        <v>28</v>
      </c>
      <c r="T2993" s="6"/>
      <c r="U2993" s="8"/>
    </row>
    <row r="2994" spans="1:39" ht="13.5" customHeight="1">
      <c r="A2994" s="8" t="s">
        <v>16422</v>
      </c>
      <c r="B2994" s="16">
        <v>54</v>
      </c>
      <c r="C2994" s="8" t="s">
        <v>20</v>
      </c>
      <c r="D2994" s="8" t="s">
        <v>30</v>
      </c>
      <c r="F2994" s="17">
        <v>41437</v>
      </c>
      <c r="G2994" s="8" t="s">
        <v>16423</v>
      </c>
      <c r="H2994" s="8" t="s">
        <v>1070</v>
      </c>
      <c r="I2994" s="8" t="s">
        <v>45</v>
      </c>
      <c r="J2994" s="16" t="s">
        <v>16424</v>
      </c>
      <c r="K2994" s="2" t="s">
        <v>1070</v>
      </c>
      <c r="L2994" s="8" t="s">
        <v>16425</v>
      </c>
      <c r="M2994" s="8" t="s">
        <v>27</v>
      </c>
      <c r="N2994" s="8" t="s">
        <v>16426</v>
      </c>
      <c r="O2994" s="8" t="s">
        <v>554</v>
      </c>
      <c r="P2994" s="8" t="s">
        <v>405</v>
      </c>
      <c r="Q2994" s="12" t="s">
        <v>16427</v>
      </c>
      <c r="R2994" s="8" t="s">
        <v>100</v>
      </c>
      <c r="S2994" s="7" t="s">
        <v>28</v>
      </c>
      <c r="T2994" s="6"/>
      <c r="U2994" s="8"/>
    </row>
    <row r="2995" spans="1:39" ht="13.5" customHeight="1">
      <c r="A2995" s="8" t="s">
        <v>16428</v>
      </c>
      <c r="B2995" s="16" t="s">
        <v>13716</v>
      </c>
      <c r="C2995" s="8" t="s">
        <v>20</v>
      </c>
      <c r="D2995" s="8" t="s">
        <v>37</v>
      </c>
      <c r="E2995" s="8" t="s">
        <v>16429</v>
      </c>
      <c r="F2995" s="17">
        <v>41437</v>
      </c>
      <c r="G2995" s="8" t="s">
        <v>16430</v>
      </c>
      <c r="H2995" s="8" t="s">
        <v>16431</v>
      </c>
      <c r="I2995" s="8" t="s">
        <v>45</v>
      </c>
      <c r="J2995" s="16" t="s">
        <v>16432</v>
      </c>
      <c r="K2995" s="2" t="s">
        <v>1070</v>
      </c>
      <c r="L2995" s="8" t="s">
        <v>16433</v>
      </c>
      <c r="M2995" s="8" t="s">
        <v>27</v>
      </c>
      <c r="N2995" s="8" t="s">
        <v>16434</v>
      </c>
      <c r="O2995" s="8" t="s">
        <v>619</v>
      </c>
      <c r="P2995" s="8" t="s">
        <v>405</v>
      </c>
      <c r="Q2995" s="12" t="s">
        <v>16435</v>
      </c>
      <c r="R2995" s="8" t="s">
        <v>100</v>
      </c>
      <c r="S2995" s="7" t="s">
        <v>28</v>
      </c>
      <c r="T2995" s="6"/>
      <c r="U2995" s="8"/>
    </row>
    <row r="2996" spans="1:39" ht="13.5" customHeight="1">
      <c r="A2996" s="8" t="s">
        <v>16445</v>
      </c>
      <c r="B2996" s="16" t="s">
        <v>16330</v>
      </c>
      <c r="C2996" s="8" t="s">
        <v>20</v>
      </c>
      <c r="D2996" s="8" t="s">
        <v>85</v>
      </c>
      <c r="E2996" s="8" t="s">
        <v>16446</v>
      </c>
      <c r="F2996" s="17">
        <v>41436</v>
      </c>
      <c r="G2996" s="8" t="s">
        <v>16447</v>
      </c>
      <c r="H2996" s="8" t="s">
        <v>16448</v>
      </c>
      <c r="I2996" s="8" t="s">
        <v>442</v>
      </c>
      <c r="J2996" s="16" t="s">
        <v>16449</v>
      </c>
      <c r="K2996" s="2" t="s">
        <v>16450</v>
      </c>
      <c r="L2996" s="8" t="s">
        <v>16451</v>
      </c>
      <c r="M2996" s="8" t="s">
        <v>27</v>
      </c>
      <c r="N2996" s="8" t="s">
        <v>16452</v>
      </c>
      <c r="O2996" s="8" t="s">
        <v>554</v>
      </c>
      <c r="P2996" s="8" t="s">
        <v>405</v>
      </c>
      <c r="Q2996" s="12" t="s">
        <v>16453</v>
      </c>
      <c r="R2996" s="8" t="s">
        <v>100</v>
      </c>
      <c r="S2996" s="7" t="s">
        <v>28</v>
      </c>
      <c r="T2996" s="6"/>
      <c r="U2996" s="8"/>
    </row>
    <row r="2997" spans="1:39" ht="13.5" customHeight="1">
      <c r="A2997" s="8" t="s">
        <v>16454</v>
      </c>
      <c r="B2997" s="16">
        <v>26</v>
      </c>
      <c r="C2997" s="8" t="s">
        <v>20</v>
      </c>
      <c r="D2997" s="8" t="s">
        <v>37</v>
      </c>
      <c r="E2997" s="8" t="s">
        <v>16455</v>
      </c>
      <c r="F2997" s="17">
        <v>41436</v>
      </c>
      <c r="G2997" s="8" t="s">
        <v>16456</v>
      </c>
      <c r="H2997" s="8" t="s">
        <v>16457</v>
      </c>
      <c r="I2997" s="8" t="s">
        <v>135</v>
      </c>
      <c r="J2997" s="16" t="s">
        <v>16458</v>
      </c>
      <c r="K2997" s="2" t="s">
        <v>717</v>
      </c>
      <c r="L2997" s="8" t="s">
        <v>16459</v>
      </c>
      <c r="M2997" s="8" t="s">
        <v>27</v>
      </c>
      <c r="N2997" s="8" t="s">
        <v>16460</v>
      </c>
      <c r="O2997" s="8" t="s">
        <v>554</v>
      </c>
      <c r="P2997" s="8" t="s">
        <v>405</v>
      </c>
      <c r="Q2997" s="12" t="s">
        <v>16461</v>
      </c>
      <c r="R2997" s="8" t="s">
        <v>100</v>
      </c>
      <c r="S2997" s="7" t="s">
        <v>28</v>
      </c>
      <c r="T2997" s="6"/>
      <c r="U2997" s="8"/>
    </row>
    <row r="2998" spans="1:39" ht="13.5" customHeight="1">
      <c r="A2998" s="8" t="s">
        <v>16473</v>
      </c>
      <c r="B2998" s="16" t="s">
        <v>14120</v>
      </c>
      <c r="C2998" s="8" t="s">
        <v>20</v>
      </c>
      <c r="D2998" s="8" t="s">
        <v>37</v>
      </c>
      <c r="E2998" s="8" t="s">
        <v>16474</v>
      </c>
      <c r="F2998" s="17">
        <v>41435</v>
      </c>
      <c r="G2998" s="8" t="s">
        <v>16475</v>
      </c>
      <c r="H2998" s="8" t="s">
        <v>16476</v>
      </c>
      <c r="I2998" s="8" t="s">
        <v>175</v>
      </c>
      <c r="J2998" s="16" t="s">
        <v>16477</v>
      </c>
      <c r="K2998" s="2" t="s">
        <v>11237</v>
      </c>
      <c r="L2998" s="8" t="s">
        <v>16478</v>
      </c>
      <c r="M2998" s="8" t="s">
        <v>27</v>
      </c>
      <c r="N2998" s="8" t="s">
        <v>16479</v>
      </c>
      <c r="O2998" s="8" t="s">
        <v>29</v>
      </c>
      <c r="P2998" s="8" t="s">
        <v>405</v>
      </c>
      <c r="Q2998" s="12" t="s">
        <v>16480</v>
      </c>
      <c r="R2998" s="8" t="s">
        <v>100</v>
      </c>
      <c r="S2998" s="7" t="s">
        <v>28</v>
      </c>
      <c r="T2998" s="6"/>
      <c r="U2998" s="8"/>
    </row>
    <row r="2999" spans="1:39" ht="13.5" customHeight="1">
      <c r="A2999" s="8" t="s">
        <v>16467</v>
      </c>
      <c r="B2999" s="16" t="s">
        <v>13608</v>
      </c>
      <c r="C2999" s="8" t="s">
        <v>20</v>
      </c>
      <c r="D2999" s="8" t="s">
        <v>37</v>
      </c>
      <c r="E2999" s="8" t="s">
        <v>16468</v>
      </c>
      <c r="F2999" s="17">
        <v>41435</v>
      </c>
      <c r="G2999" s="8" t="s">
        <v>16469</v>
      </c>
      <c r="H2999" s="8" t="s">
        <v>1507</v>
      </c>
      <c r="I2999" s="8" t="s">
        <v>408</v>
      </c>
      <c r="J2999" s="16" t="s">
        <v>16470</v>
      </c>
      <c r="K2999" s="2" t="s">
        <v>1507</v>
      </c>
      <c r="L2999" s="8" t="s">
        <v>2294</v>
      </c>
      <c r="M2999" s="8" t="s">
        <v>27</v>
      </c>
      <c r="N2999" s="8" t="s">
        <v>16471</v>
      </c>
      <c r="O2999" s="8" t="s">
        <v>554</v>
      </c>
      <c r="P2999" s="8" t="s">
        <v>405</v>
      </c>
      <c r="Q2999" s="12" t="s">
        <v>16472</v>
      </c>
      <c r="R2999" s="8" t="s">
        <v>559</v>
      </c>
      <c r="S2999" s="7" t="s">
        <v>28</v>
      </c>
      <c r="T2999" s="6"/>
      <c r="U2999" s="8"/>
    </row>
    <row r="3000" spans="1:39" ht="13.5" customHeight="1">
      <c r="A3000" s="8" t="s">
        <v>16462</v>
      </c>
      <c r="B3000" s="16" t="s">
        <v>10119</v>
      </c>
      <c r="C3000" s="8" t="s">
        <v>20</v>
      </c>
      <c r="D3000" s="8" t="s">
        <v>85</v>
      </c>
      <c r="E3000" s="8" t="s">
        <v>16463</v>
      </c>
      <c r="F3000" s="17">
        <v>41435</v>
      </c>
      <c r="G3000" s="8" t="s">
        <v>16464</v>
      </c>
      <c r="H3000" s="8" t="s">
        <v>1069</v>
      </c>
      <c r="I3000" s="8" t="s">
        <v>62</v>
      </c>
      <c r="J3000" s="16" t="s">
        <v>7854</v>
      </c>
      <c r="K3000" s="2" t="s">
        <v>1070</v>
      </c>
      <c r="L3000" s="8" t="s">
        <v>1071</v>
      </c>
      <c r="M3000" s="8" t="s">
        <v>27</v>
      </c>
      <c r="N3000" s="8" t="s">
        <v>16465</v>
      </c>
      <c r="O3000" s="8" t="s">
        <v>29</v>
      </c>
      <c r="P3000" s="8" t="s">
        <v>405</v>
      </c>
      <c r="Q3000" s="12" t="s">
        <v>16466</v>
      </c>
      <c r="R3000" s="8" t="s">
        <v>100</v>
      </c>
      <c r="S3000" s="7" t="s">
        <v>28</v>
      </c>
      <c r="T3000" s="6"/>
      <c r="U3000" s="8"/>
    </row>
    <row r="3001" spans="1:39" ht="13.5" customHeight="1">
      <c r="A3001" s="8" t="s">
        <v>16489</v>
      </c>
      <c r="B3001" s="16">
        <v>21</v>
      </c>
      <c r="C3001" s="8" t="s">
        <v>20</v>
      </c>
      <c r="D3001" s="8" t="s">
        <v>37</v>
      </c>
      <c r="E3001" s="8" t="s">
        <v>16490</v>
      </c>
      <c r="F3001" s="17">
        <v>41434</v>
      </c>
      <c r="G3001" s="8" t="s">
        <v>16491</v>
      </c>
      <c r="H3001" s="8" t="s">
        <v>9034</v>
      </c>
      <c r="I3001" s="8" t="s">
        <v>4424</v>
      </c>
      <c r="J3001" s="16" t="s">
        <v>16492</v>
      </c>
      <c r="K3001" s="2" t="s">
        <v>7068</v>
      </c>
      <c r="L3001" s="8" t="s">
        <v>16493</v>
      </c>
      <c r="M3001" s="8" t="s">
        <v>27</v>
      </c>
      <c r="N3001" s="8" t="s">
        <v>16494</v>
      </c>
      <c r="O3001" s="8" t="s">
        <v>554</v>
      </c>
      <c r="P3001" s="8" t="s">
        <v>405</v>
      </c>
      <c r="Q3001" s="12" t="s">
        <v>16495</v>
      </c>
      <c r="R3001" s="8" t="s">
        <v>559</v>
      </c>
      <c r="S3001" s="7" t="s">
        <v>28</v>
      </c>
      <c r="T3001" s="6"/>
      <c r="U3001" s="8"/>
    </row>
    <row r="3002" spans="1:39" ht="13.5" customHeight="1">
      <c r="A3002" s="8" t="s">
        <v>16496</v>
      </c>
      <c r="B3002" s="16">
        <v>48</v>
      </c>
      <c r="C3002" s="8" t="s">
        <v>20</v>
      </c>
      <c r="D3002" s="8" t="s">
        <v>37</v>
      </c>
      <c r="E3002" s="8" t="s">
        <v>16497</v>
      </c>
      <c r="F3002" s="17">
        <v>41434</v>
      </c>
      <c r="G3002" s="8" t="s">
        <v>16498</v>
      </c>
      <c r="H3002" s="8" t="s">
        <v>16499</v>
      </c>
      <c r="I3002" s="8" t="s">
        <v>399</v>
      </c>
      <c r="J3002" s="16" t="s">
        <v>16500</v>
      </c>
      <c r="K3002" s="2" t="s">
        <v>16501</v>
      </c>
      <c r="L3002" s="8" t="s">
        <v>16502</v>
      </c>
      <c r="M3002" s="8" t="s">
        <v>27</v>
      </c>
      <c r="N3002" s="8" t="s">
        <v>16503</v>
      </c>
      <c r="O3002" s="8" t="s">
        <v>404</v>
      </c>
      <c r="P3002" s="8" t="s">
        <v>405</v>
      </c>
      <c r="Q3002" s="12" t="s">
        <v>16504</v>
      </c>
      <c r="R3002" s="8" t="s">
        <v>100</v>
      </c>
      <c r="S3002" s="7" t="s">
        <v>28</v>
      </c>
      <c r="T3002" s="6"/>
      <c r="U3002" s="8"/>
    </row>
    <row r="3003" spans="1:39" ht="13.5" customHeight="1">
      <c r="A3003" s="8" t="s">
        <v>16505</v>
      </c>
      <c r="B3003" s="16">
        <v>28</v>
      </c>
      <c r="C3003" s="8" t="s">
        <v>20</v>
      </c>
      <c r="D3003" s="8" t="s">
        <v>37</v>
      </c>
      <c r="F3003" s="17">
        <v>41434</v>
      </c>
      <c r="G3003" s="8" t="s">
        <v>16506</v>
      </c>
      <c r="H3003" s="8" t="s">
        <v>12364</v>
      </c>
      <c r="I3003" s="8" t="s">
        <v>44</v>
      </c>
      <c r="J3003" s="16" t="s">
        <v>16507</v>
      </c>
      <c r="K3003" s="2" t="s">
        <v>88</v>
      </c>
      <c r="L3003" s="8" t="s">
        <v>12366</v>
      </c>
      <c r="M3003" s="8" t="s">
        <v>1706</v>
      </c>
      <c r="N3003" s="8" t="s">
        <v>16508</v>
      </c>
      <c r="O3003" s="8" t="s">
        <v>404</v>
      </c>
      <c r="P3003" s="8" t="s">
        <v>405</v>
      </c>
      <c r="Q3003" s="12" t="s">
        <v>16509</v>
      </c>
      <c r="R3003" s="8" t="s">
        <v>29</v>
      </c>
      <c r="S3003" s="7" t="s">
        <v>28</v>
      </c>
      <c r="T3003" s="6"/>
      <c r="U3003" s="8"/>
    </row>
    <row r="3004" spans="1:39" ht="13.5" customHeight="1">
      <c r="A3004" s="8" t="s">
        <v>16481</v>
      </c>
      <c r="B3004" s="16">
        <v>43</v>
      </c>
      <c r="C3004" s="8" t="s">
        <v>20</v>
      </c>
      <c r="D3004" s="8" t="s">
        <v>48</v>
      </c>
      <c r="E3004" s="8" t="s">
        <v>16482</v>
      </c>
      <c r="F3004" s="17">
        <v>41434</v>
      </c>
      <c r="G3004" s="8" t="s">
        <v>16483</v>
      </c>
      <c r="H3004" s="8" t="s">
        <v>16484</v>
      </c>
      <c r="I3004" s="8" t="s">
        <v>41</v>
      </c>
      <c r="J3004" s="16" t="s">
        <v>16485</v>
      </c>
      <c r="K3004" s="2" t="s">
        <v>3646</v>
      </c>
      <c r="L3004" s="8" t="s">
        <v>16486</v>
      </c>
      <c r="M3004" s="8" t="s">
        <v>1706</v>
      </c>
      <c r="N3004" s="8" t="s">
        <v>16487</v>
      </c>
      <c r="O3004" s="8" t="s">
        <v>29</v>
      </c>
      <c r="P3004" s="8" t="s">
        <v>405</v>
      </c>
      <c r="Q3004" s="12" t="s">
        <v>16488</v>
      </c>
      <c r="R3004" s="8" t="s">
        <v>100</v>
      </c>
      <c r="S3004" s="7" t="s">
        <v>28</v>
      </c>
      <c r="T3004" s="6"/>
      <c r="U3004" s="8"/>
    </row>
    <row r="3005" spans="1:39" ht="13.5" customHeight="1">
      <c r="A3005" s="8" t="s">
        <v>16553</v>
      </c>
      <c r="B3005" s="16" t="s">
        <v>11829</v>
      </c>
      <c r="C3005" s="8" t="s">
        <v>20</v>
      </c>
      <c r="D3005" s="8" t="s">
        <v>37</v>
      </c>
      <c r="E3005" s="8" t="s">
        <v>16554</v>
      </c>
      <c r="F3005" s="17">
        <v>41433</v>
      </c>
      <c r="G3005" s="8" t="s">
        <v>16555</v>
      </c>
      <c r="H3005" s="8" t="s">
        <v>16556</v>
      </c>
      <c r="I3005" s="8" t="s">
        <v>52</v>
      </c>
      <c r="J3005" s="16" t="s">
        <v>16557</v>
      </c>
      <c r="K3005" s="2" t="s">
        <v>3217</v>
      </c>
      <c r="L3005" s="8" t="s">
        <v>16558</v>
      </c>
      <c r="M3005" s="8" t="s">
        <v>27</v>
      </c>
      <c r="N3005" s="8" t="s">
        <v>16559</v>
      </c>
      <c r="O3005" s="8" t="s">
        <v>7814</v>
      </c>
      <c r="P3005" s="8" t="s">
        <v>7814</v>
      </c>
      <c r="Q3005" s="12"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3005" s="8" t="s">
        <v>100</v>
      </c>
      <c r="S3005" s="7" t="s">
        <v>28</v>
      </c>
      <c r="T3005" s="6"/>
      <c r="U3005" s="8"/>
    </row>
    <row r="3006" spans="1:39" ht="13.5" customHeight="1">
      <c r="A3006" s="8" t="s">
        <v>16540</v>
      </c>
      <c r="B3006" s="16" t="s">
        <v>9284</v>
      </c>
      <c r="C3006" s="8" t="s">
        <v>20</v>
      </c>
      <c r="D3006" s="8" t="s">
        <v>30</v>
      </c>
      <c r="F3006" s="17">
        <v>41433</v>
      </c>
      <c r="G3006" s="8" t="s">
        <v>16541</v>
      </c>
      <c r="H3006" s="8" t="s">
        <v>3616</v>
      </c>
      <c r="I3006" s="8" t="s">
        <v>62</v>
      </c>
      <c r="J3006" s="16" t="s">
        <v>3617</v>
      </c>
      <c r="K3006" s="2" t="s">
        <v>3618</v>
      </c>
      <c r="L3006" s="8" t="s">
        <v>5901</v>
      </c>
      <c r="M3006" s="8" t="s">
        <v>27</v>
      </c>
      <c r="N3006" s="8" t="s">
        <v>16542</v>
      </c>
      <c r="O3006" s="8" t="s">
        <v>554</v>
      </c>
      <c r="P3006" s="8" t="s">
        <v>405</v>
      </c>
      <c r="Q3006" s="12" t="s">
        <v>16543</v>
      </c>
      <c r="R3006" s="8" t="s">
        <v>100</v>
      </c>
      <c r="S3006" s="7" t="s">
        <v>28</v>
      </c>
      <c r="T3006" s="6"/>
      <c r="U3006" s="8"/>
    </row>
    <row r="3007" spans="1:39" ht="13.5" customHeight="1">
      <c r="A3007" s="8" t="s">
        <v>16510</v>
      </c>
      <c r="B3007" s="16">
        <v>21</v>
      </c>
      <c r="C3007" s="8" t="s">
        <v>20</v>
      </c>
      <c r="D3007" s="8" t="s">
        <v>21</v>
      </c>
      <c r="E3007" s="8" t="s">
        <v>16511</v>
      </c>
      <c r="F3007" s="17">
        <v>41433</v>
      </c>
      <c r="G3007" s="8" t="s">
        <v>16512</v>
      </c>
      <c r="H3007" s="8" t="s">
        <v>16513</v>
      </c>
      <c r="I3007" s="8" t="s">
        <v>94</v>
      </c>
      <c r="J3007" s="16" t="s">
        <v>16514</v>
      </c>
      <c r="K3007" s="2" t="s">
        <v>14210</v>
      </c>
      <c r="L3007" s="8" t="s">
        <v>16515</v>
      </c>
      <c r="M3007" s="8" t="s">
        <v>27</v>
      </c>
      <c r="N3007" s="8" t="s">
        <v>16516</v>
      </c>
      <c r="O3007" s="8" t="s">
        <v>404</v>
      </c>
      <c r="P3007" s="8" t="s">
        <v>405</v>
      </c>
      <c r="Q3007" s="12" t="s">
        <v>16517</v>
      </c>
      <c r="R3007" s="8" t="s">
        <v>100</v>
      </c>
      <c r="S3007" s="7" t="s">
        <v>28</v>
      </c>
      <c r="T3007" s="6"/>
      <c r="U3007" s="8"/>
      <c r="V3007" s="8"/>
      <c r="W3007" s="8"/>
      <c r="X3007" s="8"/>
      <c r="Y3007" s="8"/>
      <c r="Z3007" s="8"/>
      <c r="AA3007" s="8"/>
      <c r="AB3007" s="8"/>
      <c r="AC3007" s="8"/>
      <c r="AD3007" s="8"/>
      <c r="AE3007" s="8"/>
      <c r="AF3007" s="8"/>
      <c r="AG3007" s="8"/>
      <c r="AH3007" s="8"/>
      <c r="AI3007" s="8"/>
      <c r="AJ3007" s="8"/>
      <c r="AK3007" s="8"/>
      <c r="AL3007" s="8"/>
      <c r="AM3007" s="8"/>
    </row>
    <row r="3008" spans="1:39" ht="13.5" customHeight="1">
      <c r="A3008" s="8" t="s">
        <v>16544</v>
      </c>
      <c r="B3008" s="16" t="s">
        <v>16209</v>
      </c>
      <c r="C3008" s="8" t="s">
        <v>20</v>
      </c>
      <c r="D3008" s="8" t="s">
        <v>37</v>
      </c>
      <c r="E3008" s="8" t="s">
        <v>16545</v>
      </c>
      <c r="F3008" s="17">
        <v>41433</v>
      </c>
      <c r="G3008" s="8" t="s">
        <v>16546</v>
      </c>
      <c r="H3008" s="8" t="s">
        <v>16547</v>
      </c>
      <c r="I3008" s="8" t="s">
        <v>247</v>
      </c>
      <c r="J3008" s="16" t="s">
        <v>16548</v>
      </c>
      <c r="K3008" s="2" t="s">
        <v>16549</v>
      </c>
      <c r="L3008" s="8" t="s">
        <v>16550</v>
      </c>
      <c r="M3008" s="8" t="s">
        <v>27</v>
      </c>
      <c r="N3008" s="8" t="s">
        <v>16551</v>
      </c>
      <c r="O3008" s="8" t="s">
        <v>554</v>
      </c>
      <c r="P3008" s="8" t="s">
        <v>405</v>
      </c>
      <c r="Q3008" s="12" t="s">
        <v>16552</v>
      </c>
      <c r="R3008" s="8" t="s">
        <v>100</v>
      </c>
      <c r="S3008" s="7" t="s">
        <v>28</v>
      </c>
      <c r="T3008" s="6"/>
      <c r="U3008" s="8"/>
      <c r="Y3008" s="8"/>
      <c r="Z3008" s="8"/>
      <c r="AA3008" s="8"/>
      <c r="AB3008" s="8"/>
      <c r="AC3008" s="8"/>
      <c r="AD3008" s="8"/>
      <c r="AE3008" s="8"/>
      <c r="AF3008" s="8"/>
      <c r="AG3008" s="8"/>
      <c r="AH3008" s="8"/>
    </row>
    <row r="3009" spans="1:39" ht="13.5" customHeight="1">
      <c r="A3009" s="8" t="s">
        <v>16528</v>
      </c>
      <c r="B3009" s="16">
        <v>24</v>
      </c>
      <c r="C3009" s="8" t="s">
        <v>20</v>
      </c>
      <c r="D3009" s="8" t="s">
        <v>85</v>
      </c>
      <c r="E3009" s="8" t="s">
        <v>16529</v>
      </c>
      <c r="F3009" s="17">
        <v>41433</v>
      </c>
      <c r="G3009" s="8" t="s">
        <v>16530</v>
      </c>
      <c r="H3009" s="8" t="s">
        <v>7385</v>
      </c>
      <c r="I3009" s="8" t="s">
        <v>73</v>
      </c>
      <c r="J3009" s="16" t="s">
        <v>7386</v>
      </c>
      <c r="K3009" s="2" t="s">
        <v>7387</v>
      </c>
      <c r="L3009" s="8" t="s">
        <v>7388</v>
      </c>
      <c r="M3009" s="8" t="s">
        <v>3407</v>
      </c>
      <c r="N3009" s="8" t="s">
        <v>16531</v>
      </c>
      <c r="O3009" s="8" t="s">
        <v>1018</v>
      </c>
      <c r="P3009" s="8" t="s">
        <v>405</v>
      </c>
      <c r="Q3009" s="12" t="s">
        <v>16532</v>
      </c>
      <c r="R3009" s="8" t="s">
        <v>29</v>
      </c>
      <c r="S3009" s="7" t="s">
        <v>28</v>
      </c>
      <c r="T3009" s="6"/>
      <c r="U3009" s="8"/>
    </row>
    <row r="3010" spans="1:39" ht="13.5" customHeight="1">
      <c r="A3010" s="8" t="s">
        <v>16518</v>
      </c>
      <c r="B3010" s="16" t="s">
        <v>16519</v>
      </c>
      <c r="C3010" s="8" t="s">
        <v>20</v>
      </c>
      <c r="D3010" s="8" t="s">
        <v>21</v>
      </c>
      <c r="F3010" s="17">
        <v>41433</v>
      </c>
      <c r="G3010" s="8" t="s">
        <v>16520</v>
      </c>
      <c r="H3010" s="8" t="s">
        <v>3461</v>
      </c>
      <c r="I3010" s="8" t="s">
        <v>45</v>
      </c>
      <c r="J3010" s="16" t="s">
        <v>10716</v>
      </c>
      <c r="K3010" s="2" t="s">
        <v>3463</v>
      </c>
      <c r="L3010" s="8" t="s">
        <v>3464</v>
      </c>
      <c r="M3010" s="8" t="s">
        <v>27</v>
      </c>
      <c r="N3010" s="8" t="s">
        <v>16521</v>
      </c>
      <c r="O3010" s="8" t="s">
        <v>29</v>
      </c>
      <c r="P3010" s="8" t="s">
        <v>405</v>
      </c>
      <c r="Q3010" s="12" t="s">
        <v>16522</v>
      </c>
      <c r="R3010" s="8" t="s">
        <v>100</v>
      </c>
      <c r="S3010" s="7" t="s">
        <v>28</v>
      </c>
      <c r="T3010" s="6"/>
      <c r="U3010" s="8"/>
      <c r="AI3010" s="8"/>
      <c r="AJ3010" s="8"/>
      <c r="AK3010" s="8"/>
      <c r="AL3010" s="8"/>
      <c r="AM3010" s="8"/>
    </row>
    <row r="3011" spans="1:39" ht="13.5" customHeight="1">
      <c r="A3011" s="8" t="s">
        <v>16560</v>
      </c>
      <c r="B3011" s="16">
        <v>24</v>
      </c>
      <c r="C3011" s="8" t="s">
        <v>115</v>
      </c>
      <c r="D3011" s="8" t="s">
        <v>37</v>
      </c>
      <c r="E3011" s="8" t="s">
        <v>16561</v>
      </c>
      <c r="F3011" s="17">
        <v>41433</v>
      </c>
      <c r="G3011" s="8" t="s">
        <v>16562</v>
      </c>
      <c r="H3011" s="8" t="s">
        <v>565</v>
      </c>
      <c r="I3011" s="8" t="s">
        <v>124</v>
      </c>
      <c r="J3011" s="16" t="s">
        <v>7491</v>
      </c>
      <c r="K3011" s="2" t="s">
        <v>566</v>
      </c>
      <c r="L3011" s="8" t="s">
        <v>567</v>
      </c>
      <c r="M3011" s="8" t="s">
        <v>27</v>
      </c>
      <c r="N3011" s="8" t="s">
        <v>16563</v>
      </c>
      <c r="O3011" s="8" t="s">
        <v>29</v>
      </c>
      <c r="P3011" s="8" t="s">
        <v>405</v>
      </c>
      <c r="Q3011" s="12" t="s">
        <v>16564</v>
      </c>
      <c r="R3011" s="8" t="s">
        <v>559</v>
      </c>
      <c r="S3011" s="7" t="s">
        <v>28</v>
      </c>
      <c r="T3011" s="6"/>
      <c r="U3011" s="8"/>
    </row>
    <row r="3012" spans="1:39" ht="13.5" customHeight="1">
      <c r="A3012" s="8" t="s">
        <v>16523</v>
      </c>
      <c r="B3012" s="16" t="s">
        <v>10445</v>
      </c>
      <c r="C3012" s="8" t="s">
        <v>20</v>
      </c>
      <c r="D3012" s="8" t="s">
        <v>85</v>
      </c>
      <c r="F3012" s="17">
        <v>41433</v>
      </c>
      <c r="G3012" s="8" t="s">
        <v>16524</v>
      </c>
      <c r="H3012" s="8" t="s">
        <v>5562</v>
      </c>
      <c r="I3012" s="8" t="s">
        <v>45</v>
      </c>
      <c r="J3012" s="16" t="s">
        <v>16525</v>
      </c>
      <c r="K3012" s="2" t="s">
        <v>791</v>
      </c>
      <c r="L3012" s="8" t="s">
        <v>792</v>
      </c>
      <c r="M3012" s="8" t="s">
        <v>27</v>
      </c>
      <c r="N3012" s="8" t="s">
        <v>16526</v>
      </c>
      <c r="O3012" s="8" t="s">
        <v>29</v>
      </c>
      <c r="P3012" s="8" t="s">
        <v>405</v>
      </c>
      <c r="Q3012" s="12" t="s">
        <v>16527</v>
      </c>
      <c r="R3012" s="8" t="s">
        <v>100</v>
      </c>
      <c r="S3012" s="7" t="s">
        <v>28</v>
      </c>
      <c r="T3012" s="6"/>
      <c r="U3012" s="8"/>
    </row>
    <row r="3013" spans="1:39" ht="13.5" customHeight="1">
      <c r="A3013" s="8" t="s">
        <v>16533</v>
      </c>
      <c r="B3013" s="16">
        <v>48</v>
      </c>
      <c r="C3013" s="8" t="s">
        <v>20</v>
      </c>
      <c r="D3013" s="8" t="s">
        <v>48</v>
      </c>
      <c r="F3013" s="17">
        <v>41433</v>
      </c>
      <c r="G3013" s="8" t="s">
        <v>16534</v>
      </c>
      <c r="H3013" s="8" t="s">
        <v>16535</v>
      </c>
      <c r="I3013" s="8" t="s">
        <v>45</v>
      </c>
      <c r="J3013" s="16" t="s">
        <v>16536</v>
      </c>
      <c r="K3013" s="2" t="s">
        <v>2696</v>
      </c>
      <c r="L3013" s="8" t="s">
        <v>16537</v>
      </c>
      <c r="M3013" s="8" t="s">
        <v>27</v>
      </c>
      <c r="N3013" s="8" t="s">
        <v>16538</v>
      </c>
      <c r="O3013" s="8" t="s">
        <v>29</v>
      </c>
      <c r="P3013" s="8" t="s">
        <v>405</v>
      </c>
      <c r="Q3013" s="12" t="s">
        <v>16539</v>
      </c>
      <c r="R3013" s="8" t="s">
        <v>29</v>
      </c>
      <c r="S3013" s="7" t="s">
        <v>28</v>
      </c>
      <c r="T3013" s="6"/>
      <c r="U3013" s="8"/>
      <c r="V3013" s="8"/>
      <c r="W3013" s="8"/>
      <c r="X3013" s="8"/>
    </row>
    <row r="3014" spans="1:39" ht="13.5" customHeight="1">
      <c r="A3014" s="8" t="s">
        <v>16584</v>
      </c>
      <c r="B3014" s="16" t="s">
        <v>8822</v>
      </c>
      <c r="C3014" s="8" t="s">
        <v>20</v>
      </c>
      <c r="D3014" s="8" t="s">
        <v>37</v>
      </c>
      <c r="E3014" s="8" t="s">
        <v>16585</v>
      </c>
      <c r="F3014" s="17">
        <v>41432</v>
      </c>
      <c r="G3014" s="8" t="s">
        <v>16586</v>
      </c>
      <c r="H3014" s="8" t="s">
        <v>16587</v>
      </c>
      <c r="I3014" s="8" t="s">
        <v>175</v>
      </c>
      <c r="J3014" s="16" t="s">
        <v>16588</v>
      </c>
      <c r="K3014" s="2" t="s">
        <v>3345</v>
      </c>
      <c r="L3014" s="8" t="s">
        <v>3346</v>
      </c>
      <c r="M3014" s="8" t="s">
        <v>27</v>
      </c>
      <c r="N3014" s="8" t="s">
        <v>16589</v>
      </c>
      <c r="O3014" s="8" t="s">
        <v>29</v>
      </c>
      <c r="P3014" s="8" t="s">
        <v>405</v>
      </c>
      <c r="Q3014" s="12" t="s">
        <v>16590</v>
      </c>
      <c r="R3014" s="8" t="s">
        <v>559</v>
      </c>
      <c r="S3014" s="7" t="s">
        <v>28</v>
      </c>
      <c r="T3014" s="6"/>
      <c r="U3014" s="8"/>
    </row>
    <row r="3015" spans="1:39" ht="13.5" customHeight="1">
      <c r="A3015" s="8" t="s">
        <v>16578</v>
      </c>
      <c r="B3015" s="16" t="s">
        <v>13608</v>
      </c>
      <c r="C3015" s="8" t="s">
        <v>20</v>
      </c>
      <c r="D3015" s="8" t="s">
        <v>37</v>
      </c>
      <c r="E3015" s="8" t="s">
        <v>16579</v>
      </c>
      <c r="F3015" s="17">
        <v>41432</v>
      </c>
      <c r="G3015" s="8" t="s">
        <v>16580</v>
      </c>
      <c r="H3015" s="8" t="s">
        <v>11224</v>
      </c>
      <c r="I3015" s="8" t="s">
        <v>45</v>
      </c>
      <c r="J3015" s="16" t="s">
        <v>12073</v>
      </c>
      <c r="K3015" s="2" t="s">
        <v>7663</v>
      </c>
      <c r="L3015" s="8" t="s">
        <v>16581</v>
      </c>
      <c r="M3015" s="8" t="s">
        <v>27</v>
      </c>
      <c r="N3015" s="8" t="s">
        <v>16582</v>
      </c>
      <c r="O3015" s="8" t="s">
        <v>554</v>
      </c>
      <c r="P3015" s="8" t="s">
        <v>405</v>
      </c>
      <c r="Q3015" s="12" t="s">
        <v>16583</v>
      </c>
      <c r="R3015" s="8" t="s">
        <v>100</v>
      </c>
      <c r="S3015" s="7" t="s">
        <v>28</v>
      </c>
      <c r="T3015" s="6"/>
      <c r="U3015" s="8"/>
      <c r="V3015" s="8"/>
      <c r="W3015" s="8"/>
      <c r="X3015" s="8"/>
    </row>
    <row r="3016" spans="1:39" ht="13.5" customHeight="1">
      <c r="A3016" s="8" t="s">
        <v>16565</v>
      </c>
      <c r="B3016" s="16" t="s">
        <v>16330</v>
      </c>
      <c r="C3016" s="8" t="s">
        <v>20</v>
      </c>
      <c r="D3016" s="8" t="s">
        <v>21</v>
      </c>
      <c r="E3016" s="8" t="s">
        <v>16566</v>
      </c>
      <c r="F3016" s="17">
        <v>41432</v>
      </c>
      <c r="G3016" s="8" t="s">
        <v>16567</v>
      </c>
      <c r="H3016" s="8" t="s">
        <v>16568</v>
      </c>
      <c r="I3016" s="8" t="s">
        <v>45</v>
      </c>
      <c r="J3016" s="16" t="s">
        <v>16569</v>
      </c>
      <c r="K3016" s="2" t="s">
        <v>98</v>
      </c>
      <c r="L3016" s="8" t="s">
        <v>16570</v>
      </c>
      <c r="M3016" s="8" t="s">
        <v>27</v>
      </c>
      <c r="N3016" s="8" t="s">
        <v>16571</v>
      </c>
      <c r="O3016" s="8" t="s">
        <v>29</v>
      </c>
      <c r="P3016" s="8" t="s">
        <v>405</v>
      </c>
      <c r="Q3016" s="12" t="s">
        <v>16572</v>
      </c>
      <c r="R3016" s="8" t="s">
        <v>100</v>
      </c>
      <c r="S3016" s="7" t="s">
        <v>28</v>
      </c>
      <c r="T3016" s="6"/>
      <c r="U3016" s="8"/>
      <c r="AI3016" s="8"/>
      <c r="AJ3016" s="8"/>
      <c r="AK3016" s="8"/>
      <c r="AL3016" s="8"/>
      <c r="AM3016" s="8"/>
    </row>
    <row r="3017" spans="1:39" ht="13.5" customHeight="1">
      <c r="A3017" s="8" t="s">
        <v>16599</v>
      </c>
      <c r="B3017" s="16" t="s">
        <v>9284</v>
      </c>
      <c r="C3017" s="8" t="s">
        <v>20</v>
      </c>
      <c r="D3017" s="8" t="s">
        <v>37</v>
      </c>
      <c r="F3017" s="17">
        <v>41432</v>
      </c>
      <c r="G3017" s="8" t="s">
        <v>16600</v>
      </c>
      <c r="H3017" s="8" t="s">
        <v>1627</v>
      </c>
      <c r="I3017" s="8" t="s">
        <v>272</v>
      </c>
      <c r="J3017" s="16" t="s">
        <v>16601</v>
      </c>
      <c r="K3017" s="2" t="s">
        <v>6321</v>
      </c>
      <c r="L3017" s="8" t="s">
        <v>16602</v>
      </c>
      <c r="M3017" s="8" t="s">
        <v>27</v>
      </c>
      <c r="N3017" s="8" t="s">
        <v>16603</v>
      </c>
      <c r="O3017" s="8" t="s">
        <v>554</v>
      </c>
      <c r="P3017" s="8" t="s">
        <v>405</v>
      </c>
      <c r="Q3017" s="12" t="s">
        <v>16604</v>
      </c>
      <c r="R3017" s="8" t="s">
        <v>100</v>
      </c>
      <c r="S3017" s="7" t="s">
        <v>28</v>
      </c>
      <c r="T3017" s="6"/>
      <c r="U3017" s="8"/>
    </row>
    <row r="3018" spans="1:39" ht="13.5" customHeight="1">
      <c r="A3018" s="8" t="s">
        <v>16591</v>
      </c>
      <c r="B3018" s="16">
        <v>39</v>
      </c>
      <c r="C3018" s="8" t="s">
        <v>20</v>
      </c>
      <c r="D3018" s="8" t="s">
        <v>37</v>
      </c>
      <c r="F3018" s="17">
        <v>41432</v>
      </c>
      <c r="G3018" s="8" t="s">
        <v>16592</v>
      </c>
      <c r="H3018" s="8" t="s">
        <v>16593</v>
      </c>
      <c r="I3018" s="8" t="s">
        <v>62</v>
      </c>
      <c r="J3018" s="16" t="s">
        <v>16594</v>
      </c>
      <c r="K3018" s="2" t="s">
        <v>16595</v>
      </c>
      <c r="L3018" s="8" t="s">
        <v>16596</v>
      </c>
      <c r="M3018" s="8" t="s">
        <v>27</v>
      </c>
      <c r="N3018" s="8" t="s">
        <v>16597</v>
      </c>
      <c r="O3018" s="8" t="s">
        <v>1018</v>
      </c>
      <c r="P3018" s="8" t="s">
        <v>405</v>
      </c>
      <c r="Q3018" s="12" t="s">
        <v>16598</v>
      </c>
      <c r="R3018" s="8" t="s">
        <v>100</v>
      </c>
      <c r="S3018" s="7" t="s">
        <v>28</v>
      </c>
      <c r="T3018" s="6"/>
      <c r="U3018" s="8"/>
    </row>
    <row r="3019" spans="1:39" ht="13.5" customHeight="1">
      <c r="A3019" s="8" t="s">
        <v>16573</v>
      </c>
      <c r="B3019" s="16" t="s">
        <v>14120</v>
      </c>
      <c r="C3019" s="8" t="s">
        <v>20</v>
      </c>
      <c r="D3019" s="8" t="s">
        <v>30</v>
      </c>
      <c r="F3019" s="17">
        <v>41432</v>
      </c>
      <c r="G3019" s="8" t="s">
        <v>16574</v>
      </c>
      <c r="H3019" s="8" t="s">
        <v>2911</v>
      </c>
      <c r="I3019" s="8" t="s">
        <v>175</v>
      </c>
      <c r="J3019" s="16" t="s">
        <v>16575</v>
      </c>
      <c r="K3019" s="2" t="s">
        <v>1807</v>
      </c>
      <c r="L3019" s="8" t="s">
        <v>13690</v>
      </c>
      <c r="M3019" s="8" t="s">
        <v>27</v>
      </c>
      <c r="N3019" s="8" t="s">
        <v>16576</v>
      </c>
      <c r="O3019" s="8" t="s">
        <v>29</v>
      </c>
      <c r="P3019" s="8" t="s">
        <v>405</v>
      </c>
      <c r="Q3019" s="12" t="s">
        <v>16577</v>
      </c>
      <c r="R3019" s="8" t="s">
        <v>100</v>
      </c>
      <c r="S3019" s="7" t="s">
        <v>28</v>
      </c>
      <c r="T3019" s="6"/>
      <c r="U3019" s="8"/>
    </row>
    <row r="3020" spans="1:39" ht="13.5" customHeight="1">
      <c r="A3020" s="8" t="s">
        <v>16611</v>
      </c>
      <c r="B3020" s="16">
        <v>27</v>
      </c>
      <c r="C3020" s="8" t="s">
        <v>20</v>
      </c>
      <c r="D3020" s="8" t="s">
        <v>37</v>
      </c>
      <c r="E3020" s="8" t="s">
        <v>16612</v>
      </c>
      <c r="F3020" s="17">
        <v>41431</v>
      </c>
      <c r="G3020" s="8" t="s">
        <v>16613</v>
      </c>
      <c r="H3020" s="8" t="s">
        <v>16614</v>
      </c>
      <c r="I3020" s="8" t="s">
        <v>73</v>
      </c>
      <c r="J3020" s="16" t="s">
        <v>16615</v>
      </c>
      <c r="K3020" s="2" t="s">
        <v>16616</v>
      </c>
      <c r="L3020" s="8" t="s">
        <v>16617</v>
      </c>
      <c r="M3020" s="8" t="s">
        <v>27</v>
      </c>
      <c r="N3020" s="8" t="s">
        <v>16618</v>
      </c>
      <c r="O3020" s="8" t="s">
        <v>554</v>
      </c>
      <c r="P3020" s="8" t="s">
        <v>405</v>
      </c>
      <c r="Q3020" s="12" t="s">
        <v>16619</v>
      </c>
      <c r="R3020" s="8" t="s">
        <v>100</v>
      </c>
      <c r="S3020" s="7" t="s">
        <v>28</v>
      </c>
      <c r="T3020" s="6"/>
      <c r="U3020" s="8"/>
    </row>
    <row r="3021" spans="1:39" ht="13.5" customHeight="1">
      <c r="A3021" s="8" t="s">
        <v>16605</v>
      </c>
      <c r="B3021" s="16">
        <v>67</v>
      </c>
      <c r="C3021" s="8" t="s">
        <v>20</v>
      </c>
      <c r="D3021" s="8" t="s">
        <v>37</v>
      </c>
      <c r="E3021" s="8" t="s">
        <v>16606</v>
      </c>
      <c r="F3021" s="17">
        <v>41431</v>
      </c>
      <c r="G3021" s="8" t="s">
        <v>16607</v>
      </c>
      <c r="H3021" s="8" t="s">
        <v>9544</v>
      </c>
      <c r="I3021" s="8" t="s">
        <v>370</v>
      </c>
      <c r="J3021" s="16" t="s">
        <v>9545</v>
      </c>
      <c r="K3021" s="2" t="s">
        <v>9546</v>
      </c>
      <c r="L3021" s="8" t="s">
        <v>16608</v>
      </c>
      <c r="M3021" s="8" t="s">
        <v>27</v>
      </c>
      <c r="N3021" s="8" t="s">
        <v>16609</v>
      </c>
      <c r="O3021" s="8" t="s">
        <v>1018</v>
      </c>
      <c r="P3021" s="8" t="s">
        <v>405</v>
      </c>
      <c r="Q3021" s="12" t="s">
        <v>16610</v>
      </c>
      <c r="R3021" s="8" t="s">
        <v>100</v>
      </c>
      <c r="S3021" s="7" t="s">
        <v>28</v>
      </c>
      <c r="T3021" s="6"/>
      <c r="U3021" s="8"/>
    </row>
    <row r="3022" spans="1:39" ht="13.5" customHeight="1">
      <c r="A3022" s="8" t="s">
        <v>16624</v>
      </c>
      <c r="B3022" s="16" t="s">
        <v>13702</v>
      </c>
      <c r="C3022" s="8" t="s">
        <v>115</v>
      </c>
      <c r="D3022" s="8" t="s">
        <v>85</v>
      </c>
      <c r="E3022" s="8" t="s">
        <v>16625</v>
      </c>
      <c r="F3022" s="17">
        <v>41430</v>
      </c>
      <c r="G3022" s="8" t="s">
        <v>16626</v>
      </c>
      <c r="H3022" s="8" t="s">
        <v>16620</v>
      </c>
      <c r="I3022" s="8" t="s">
        <v>427</v>
      </c>
      <c r="J3022" s="16" t="s">
        <v>16621</v>
      </c>
      <c r="K3022" s="2" t="s">
        <v>762</v>
      </c>
      <c r="L3022" s="8" t="s">
        <v>586</v>
      </c>
      <c r="M3022" s="8" t="s">
        <v>27</v>
      </c>
      <c r="N3022" s="8" t="s">
        <v>16622</v>
      </c>
      <c r="O3022" s="8" t="s">
        <v>1170</v>
      </c>
      <c r="P3022" s="8" t="s">
        <v>1171</v>
      </c>
      <c r="Q3022" s="12" t="s">
        <v>16623</v>
      </c>
      <c r="R3022" s="8" t="s">
        <v>100</v>
      </c>
      <c r="S3022" s="7" t="s">
        <v>28</v>
      </c>
      <c r="T3022" s="6"/>
      <c r="U3022" s="8"/>
    </row>
    <row r="3023" spans="1:39" ht="13.5" customHeight="1">
      <c r="A3023" s="8" t="s">
        <v>16627</v>
      </c>
      <c r="B3023" s="16" t="s">
        <v>16519</v>
      </c>
      <c r="C3023" s="8" t="s">
        <v>20</v>
      </c>
      <c r="D3023" s="8" t="s">
        <v>30</v>
      </c>
      <c r="F3023" s="17">
        <v>41430</v>
      </c>
      <c r="G3023" s="8" t="s">
        <v>16628</v>
      </c>
      <c r="H3023" s="8" t="s">
        <v>8521</v>
      </c>
      <c r="I3023" s="8" t="s">
        <v>52</v>
      </c>
      <c r="J3023" s="16" t="s">
        <v>8522</v>
      </c>
      <c r="K3023" s="2" t="s">
        <v>1608</v>
      </c>
      <c r="L3023" s="8" t="s">
        <v>234</v>
      </c>
      <c r="M3023" s="8" t="s">
        <v>27</v>
      </c>
      <c r="N3023" s="8" t="s">
        <v>16629</v>
      </c>
      <c r="O3023" s="8" t="s">
        <v>29</v>
      </c>
      <c r="P3023" s="8" t="s">
        <v>405</v>
      </c>
      <c r="Q3023" s="12" t="s">
        <v>16630</v>
      </c>
      <c r="R3023" s="8" t="s">
        <v>29</v>
      </c>
      <c r="S3023" s="7" t="s">
        <v>28</v>
      </c>
      <c r="T3023" s="6"/>
      <c r="U3023" s="8"/>
      <c r="V3023" s="8"/>
      <c r="W3023" s="8"/>
      <c r="X3023" s="8"/>
    </row>
    <row r="3024" spans="1:39" ht="13.5" customHeight="1">
      <c r="A3024" s="8" t="s">
        <v>16637</v>
      </c>
      <c r="B3024" s="16" t="s">
        <v>13885</v>
      </c>
      <c r="C3024" s="8" t="s">
        <v>20</v>
      </c>
      <c r="D3024" s="8" t="s">
        <v>37</v>
      </c>
      <c r="E3024" s="8" t="s">
        <v>16638</v>
      </c>
      <c r="F3024" s="17">
        <v>41430</v>
      </c>
      <c r="G3024" s="8" t="s">
        <v>16639</v>
      </c>
      <c r="H3024" s="8" t="s">
        <v>6342</v>
      </c>
      <c r="I3024" s="8" t="s">
        <v>73</v>
      </c>
      <c r="J3024" s="16" t="s">
        <v>16640</v>
      </c>
      <c r="K3024" s="2" t="s">
        <v>288</v>
      </c>
      <c r="L3024" s="8" t="s">
        <v>6344</v>
      </c>
      <c r="M3024" s="8" t="s">
        <v>27</v>
      </c>
      <c r="N3024" s="8" t="s">
        <v>16641</v>
      </c>
      <c r="O3024" s="8" t="s">
        <v>29</v>
      </c>
      <c r="P3024" s="8" t="s">
        <v>405</v>
      </c>
      <c r="Q3024" s="12" t="s">
        <v>16642</v>
      </c>
      <c r="R3024" s="8" t="s">
        <v>100</v>
      </c>
      <c r="S3024" s="7" t="s">
        <v>28</v>
      </c>
      <c r="T3024" s="6"/>
      <c r="U3024" s="8"/>
    </row>
    <row r="3025" spans="1:21" ht="13.5" customHeight="1">
      <c r="A3025" s="8" t="s">
        <v>16631</v>
      </c>
      <c r="B3025" s="16">
        <v>36</v>
      </c>
      <c r="C3025" s="8" t="s">
        <v>20</v>
      </c>
      <c r="D3025" s="8" t="s">
        <v>30</v>
      </c>
      <c r="F3025" s="17">
        <v>41430</v>
      </c>
      <c r="G3025" s="8" t="s">
        <v>16632</v>
      </c>
      <c r="H3025" s="8" t="s">
        <v>16633</v>
      </c>
      <c r="I3025" s="8" t="s">
        <v>45</v>
      </c>
      <c r="J3025" s="16" t="s">
        <v>16634</v>
      </c>
      <c r="K3025" s="2" t="s">
        <v>158</v>
      </c>
      <c r="L3025" s="8" t="s">
        <v>2134</v>
      </c>
      <c r="M3025" s="8" t="s">
        <v>3189</v>
      </c>
      <c r="N3025" s="8" t="s">
        <v>16635</v>
      </c>
      <c r="O3025" s="8" t="s">
        <v>1018</v>
      </c>
      <c r="P3025" s="8" t="s">
        <v>405</v>
      </c>
      <c r="Q3025" s="12" t="s">
        <v>16636</v>
      </c>
      <c r="R3025" s="8" t="s">
        <v>100</v>
      </c>
      <c r="S3025" s="7" t="s">
        <v>28</v>
      </c>
      <c r="T3025" s="6"/>
      <c r="U3025" s="8"/>
    </row>
    <row r="3026" spans="1:21" ht="13.5" customHeight="1">
      <c r="A3026" s="8" t="s">
        <v>16643</v>
      </c>
      <c r="B3026" s="16" t="s">
        <v>8822</v>
      </c>
      <c r="C3026" s="8" t="s">
        <v>20</v>
      </c>
      <c r="D3026" s="8" t="s">
        <v>37</v>
      </c>
      <c r="E3026" s="8" t="s">
        <v>16644</v>
      </c>
      <c r="F3026" s="17">
        <v>41430</v>
      </c>
      <c r="G3026" s="8" t="s">
        <v>16645</v>
      </c>
      <c r="H3026" s="8" t="s">
        <v>12040</v>
      </c>
      <c r="I3026" s="8" t="s">
        <v>45</v>
      </c>
      <c r="J3026" s="16" t="s">
        <v>16646</v>
      </c>
      <c r="K3026" s="2" t="s">
        <v>158</v>
      </c>
      <c r="L3026" s="8" t="s">
        <v>159</v>
      </c>
      <c r="M3026" s="8" t="s">
        <v>27</v>
      </c>
      <c r="N3026" s="8" t="s">
        <v>16647</v>
      </c>
      <c r="O3026" s="8" t="s">
        <v>29</v>
      </c>
      <c r="P3026" s="8" t="s">
        <v>405</v>
      </c>
      <c r="Q3026" s="12" t="s">
        <v>16648</v>
      </c>
      <c r="R3026" s="8" t="s">
        <v>100</v>
      </c>
      <c r="S3026" s="7" t="s">
        <v>28</v>
      </c>
      <c r="T3026" s="6"/>
      <c r="U3026" s="8"/>
    </row>
    <row r="3027" spans="1:21" ht="13.5" customHeight="1">
      <c r="A3027" s="8" t="s">
        <v>16649</v>
      </c>
      <c r="B3027" s="16">
        <v>4</v>
      </c>
      <c r="C3027" s="8" t="s">
        <v>115</v>
      </c>
      <c r="D3027" s="8" t="s">
        <v>48</v>
      </c>
      <c r="E3027" s="8" t="s">
        <v>16650</v>
      </c>
      <c r="F3027" s="17">
        <v>41429</v>
      </c>
      <c r="G3027" s="8" t="s">
        <v>16651</v>
      </c>
      <c r="H3027" s="8" t="s">
        <v>762</v>
      </c>
      <c r="I3027" s="8" t="s">
        <v>427</v>
      </c>
      <c r="J3027" s="16" t="s">
        <v>16652</v>
      </c>
      <c r="K3027" s="2" t="s">
        <v>762</v>
      </c>
      <c r="L3027" s="8" t="s">
        <v>586</v>
      </c>
      <c r="M3027" s="8" t="s">
        <v>383</v>
      </c>
      <c r="N3027" s="8" t="s">
        <v>16653</v>
      </c>
      <c r="O3027" s="8" t="s">
        <v>1018</v>
      </c>
      <c r="P3027" s="8" t="s">
        <v>405</v>
      </c>
      <c r="Q3027" s="12" t="s">
        <v>16654</v>
      </c>
      <c r="R3027" s="8" t="s">
        <v>100</v>
      </c>
      <c r="S3027" s="7" t="s">
        <v>28</v>
      </c>
      <c r="T3027" s="6"/>
      <c r="U3027" s="8"/>
    </row>
    <row r="3028" spans="1:21" ht="13.5" customHeight="1">
      <c r="A3028" s="8" t="s">
        <v>16661</v>
      </c>
      <c r="B3028" s="16" t="s">
        <v>13885</v>
      </c>
      <c r="C3028" s="8" t="s">
        <v>20</v>
      </c>
      <c r="D3028" s="8" t="s">
        <v>30</v>
      </c>
      <c r="F3028" s="17">
        <v>41429</v>
      </c>
      <c r="G3028" s="8" t="s">
        <v>16662</v>
      </c>
      <c r="H3028" s="8" t="s">
        <v>1204</v>
      </c>
      <c r="I3028" s="8" t="s">
        <v>323</v>
      </c>
      <c r="J3028" s="16">
        <v>38120</v>
      </c>
      <c r="K3028" s="2" t="s">
        <v>1205</v>
      </c>
      <c r="L3028" s="8" t="s">
        <v>1206</v>
      </c>
      <c r="M3028" s="8" t="s">
        <v>27</v>
      </c>
      <c r="N3028" s="8" t="s">
        <v>16663</v>
      </c>
      <c r="O3028" s="8" t="s">
        <v>29</v>
      </c>
      <c r="P3028" s="8" t="s">
        <v>405</v>
      </c>
      <c r="Q3028" s="12" t="s">
        <v>16664</v>
      </c>
      <c r="R3028" s="8" t="s">
        <v>100</v>
      </c>
      <c r="S3028" s="7" t="s">
        <v>28</v>
      </c>
      <c r="T3028" s="6"/>
      <c r="U3028" s="8"/>
    </row>
    <row r="3029" spans="1:21" ht="13.5" customHeight="1">
      <c r="A3029" s="8" t="s">
        <v>16655</v>
      </c>
      <c r="B3029" s="16" t="s">
        <v>16371</v>
      </c>
      <c r="C3029" s="8" t="s">
        <v>20</v>
      </c>
      <c r="D3029" s="8" t="s">
        <v>48</v>
      </c>
      <c r="F3029" s="17">
        <v>41429</v>
      </c>
      <c r="G3029" s="8" t="s">
        <v>16656</v>
      </c>
      <c r="H3029" s="8" t="s">
        <v>16657</v>
      </c>
      <c r="I3029" s="8" t="s">
        <v>45</v>
      </c>
      <c r="J3029" s="16" t="s">
        <v>16658</v>
      </c>
      <c r="K3029" s="2" t="s">
        <v>791</v>
      </c>
      <c r="L3029" s="8" t="s">
        <v>4835</v>
      </c>
      <c r="M3029" s="8" t="s">
        <v>27</v>
      </c>
      <c r="N3029" s="8" t="s">
        <v>16659</v>
      </c>
      <c r="O3029" s="8" t="s">
        <v>29</v>
      </c>
      <c r="P3029" s="8" t="s">
        <v>405</v>
      </c>
      <c r="Q3029" s="12" t="s">
        <v>16660</v>
      </c>
      <c r="R3029" s="8" t="s">
        <v>100</v>
      </c>
      <c r="S3029" s="7" t="s">
        <v>28</v>
      </c>
      <c r="T3029" s="6"/>
      <c r="U3029" s="8"/>
    </row>
    <row r="3030" spans="1:21" ht="13.5" customHeight="1">
      <c r="A3030" s="8" t="s">
        <v>16665</v>
      </c>
      <c r="B3030" s="16">
        <v>51</v>
      </c>
      <c r="C3030" s="8" t="s">
        <v>115</v>
      </c>
      <c r="D3030" s="8" t="s">
        <v>30</v>
      </c>
      <c r="F3030" s="17">
        <v>41429</v>
      </c>
      <c r="G3030" s="8" t="s">
        <v>16666</v>
      </c>
      <c r="H3030" s="8" t="s">
        <v>16667</v>
      </c>
      <c r="I3030" s="8" t="s">
        <v>45</v>
      </c>
      <c r="J3030" s="16" t="s">
        <v>16668</v>
      </c>
      <c r="K3030" s="2" t="s">
        <v>16669</v>
      </c>
      <c r="L3030" s="8" t="s">
        <v>16670</v>
      </c>
      <c r="M3030" s="8" t="s">
        <v>27</v>
      </c>
      <c r="N3030" s="8" t="s">
        <v>16671</v>
      </c>
      <c r="O3030" s="8" t="s">
        <v>29</v>
      </c>
      <c r="P3030" s="8" t="s">
        <v>405</v>
      </c>
      <c r="Q3030" s="12" t="s">
        <v>16672</v>
      </c>
      <c r="R3030" s="8" t="s">
        <v>100</v>
      </c>
      <c r="S3030" s="7" t="s">
        <v>28</v>
      </c>
      <c r="T3030" s="6"/>
      <c r="U3030" s="8"/>
    </row>
    <row r="3031" spans="1:21" ht="13.5" customHeight="1">
      <c r="A3031" s="8" t="s">
        <v>16673</v>
      </c>
      <c r="B3031" s="16" t="s">
        <v>9284</v>
      </c>
      <c r="C3031" s="8" t="s">
        <v>20</v>
      </c>
      <c r="D3031" s="8" t="s">
        <v>30</v>
      </c>
      <c r="F3031" s="17">
        <v>41429</v>
      </c>
      <c r="G3031" s="8" t="s">
        <v>16674</v>
      </c>
      <c r="H3031" s="8" t="s">
        <v>3461</v>
      </c>
      <c r="I3031" s="8" t="s">
        <v>45</v>
      </c>
      <c r="J3031" s="16" t="s">
        <v>10716</v>
      </c>
      <c r="K3031" s="2" t="s">
        <v>3463</v>
      </c>
      <c r="L3031" s="8" t="s">
        <v>3464</v>
      </c>
      <c r="M3031" s="8" t="s">
        <v>27</v>
      </c>
      <c r="N3031" s="8" t="s">
        <v>16675</v>
      </c>
      <c r="O3031" s="8" t="s">
        <v>29</v>
      </c>
      <c r="P3031" s="8" t="s">
        <v>405</v>
      </c>
      <c r="Q3031" s="12" t="s">
        <v>16676</v>
      </c>
      <c r="R3031" s="8" t="s">
        <v>100</v>
      </c>
      <c r="S3031" s="7" t="s">
        <v>28</v>
      </c>
      <c r="T3031" s="6"/>
      <c r="U3031" s="8"/>
    </row>
    <row r="3032" spans="1:21" ht="13.5" customHeight="1">
      <c r="A3032" s="8" t="s">
        <v>16677</v>
      </c>
      <c r="B3032" s="16" t="s">
        <v>16678</v>
      </c>
      <c r="C3032" s="8" t="s">
        <v>20</v>
      </c>
      <c r="D3032" s="8" t="s">
        <v>37</v>
      </c>
      <c r="E3032" s="8" t="s">
        <v>16679</v>
      </c>
      <c r="F3032" s="17">
        <v>41429</v>
      </c>
      <c r="G3032" s="8" t="s">
        <v>16680</v>
      </c>
      <c r="H3032" s="8" t="s">
        <v>434</v>
      </c>
      <c r="I3032" s="8" t="s">
        <v>435</v>
      </c>
      <c r="J3032" s="16" t="s">
        <v>16681</v>
      </c>
      <c r="K3032" s="2" t="s">
        <v>437</v>
      </c>
      <c r="L3032" s="8" t="s">
        <v>438</v>
      </c>
      <c r="M3032" s="8" t="s">
        <v>27</v>
      </c>
      <c r="N3032" s="8" t="s">
        <v>16682</v>
      </c>
      <c r="O3032" s="8" t="s">
        <v>29</v>
      </c>
      <c r="P3032" s="8" t="s">
        <v>405</v>
      </c>
      <c r="Q3032" s="12" t="s">
        <v>16683</v>
      </c>
      <c r="R3032" s="8" t="s">
        <v>100</v>
      </c>
      <c r="S3032" s="7" t="s">
        <v>28</v>
      </c>
      <c r="T3032" s="6"/>
      <c r="U3032" s="8"/>
    </row>
    <row r="3033" spans="1:21" ht="13.5" customHeight="1">
      <c r="A3033" s="8" t="s">
        <v>16698</v>
      </c>
      <c r="B3033" s="16">
        <v>60</v>
      </c>
      <c r="C3033" s="8" t="s">
        <v>20</v>
      </c>
      <c r="D3033" s="8" t="s">
        <v>37</v>
      </c>
      <c r="E3033" s="8" t="s">
        <v>16699</v>
      </c>
      <c r="F3033" s="17">
        <v>41428</v>
      </c>
      <c r="G3033" s="8" t="s">
        <v>16700</v>
      </c>
      <c r="H3033" s="8" t="s">
        <v>16701</v>
      </c>
      <c r="I3033" s="8" t="s">
        <v>212</v>
      </c>
      <c r="J3033" s="16" t="s">
        <v>16702</v>
      </c>
      <c r="K3033" s="2" t="s">
        <v>557</v>
      </c>
      <c r="L3033" s="8" t="s">
        <v>16703</v>
      </c>
      <c r="M3033" s="8" t="s">
        <v>27</v>
      </c>
      <c r="N3033" s="8" t="s">
        <v>16704</v>
      </c>
      <c r="O3033" s="8" t="s">
        <v>554</v>
      </c>
      <c r="P3033" s="8" t="s">
        <v>405</v>
      </c>
      <c r="Q3033" s="12" t="s">
        <v>16705</v>
      </c>
      <c r="R3033" s="8" t="s">
        <v>972</v>
      </c>
      <c r="S3033" s="7" t="s">
        <v>28</v>
      </c>
      <c r="T3033" s="6"/>
      <c r="U3033" s="8"/>
    </row>
    <row r="3034" spans="1:21" ht="13.5" customHeight="1">
      <c r="A3034" s="8" t="s">
        <v>16684</v>
      </c>
      <c r="B3034" s="16" t="s">
        <v>16371</v>
      </c>
      <c r="C3034" s="8" t="s">
        <v>20</v>
      </c>
      <c r="D3034" s="8" t="s">
        <v>48</v>
      </c>
      <c r="F3034" s="17">
        <v>41428</v>
      </c>
      <c r="G3034" s="8" t="s">
        <v>16685</v>
      </c>
      <c r="H3034" s="8" t="s">
        <v>16686</v>
      </c>
      <c r="I3034" s="8" t="s">
        <v>45</v>
      </c>
      <c r="J3034" s="16" t="s">
        <v>16687</v>
      </c>
      <c r="K3034" s="2" t="s">
        <v>203</v>
      </c>
      <c r="L3034" s="8" t="s">
        <v>16688</v>
      </c>
      <c r="M3034" s="8" t="s">
        <v>27</v>
      </c>
      <c r="N3034" s="8" t="s">
        <v>16689</v>
      </c>
      <c r="O3034" s="8" t="s">
        <v>29</v>
      </c>
      <c r="P3034" s="8" t="s">
        <v>405</v>
      </c>
      <c r="Q3034" s="12" t="s">
        <v>16690</v>
      </c>
      <c r="R3034" s="8" t="s">
        <v>100</v>
      </c>
      <c r="S3034" s="7" t="s">
        <v>28</v>
      </c>
      <c r="T3034" s="6"/>
      <c r="U3034" s="8"/>
    </row>
    <row r="3035" spans="1:21" ht="13.5" customHeight="1">
      <c r="A3035" s="8" t="s">
        <v>16691</v>
      </c>
      <c r="B3035" s="16">
        <v>35</v>
      </c>
      <c r="C3035" s="8" t="s">
        <v>20</v>
      </c>
      <c r="D3035" s="8" t="s">
        <v>37</v>
      </c>
      <c r="E3035" s="8" t="s">
        <v>16692</v>
      </c>
      <c r="F3035" s="17">
        <v>41428</v>
      </c>
      <c r="G3035" s="8" t="s">
        <v>16693</v>
      </c>
      <c r="H3035" s="8" t="s">
        <v>16694</v>
      </c>
      <c r="I3035" s="8" t="s">
        <v>878</v>
      </c>
      <c r="J3035" s="16" t="s">
        <v>16695</v>
      </c>
      <c r="K3035" s="2" t="s">
        <v>2388</v>
      </c>
      <c r="L3035" s="8" t="s">
        <v>3626</v>
      </c>
      <c r="M3035" s="8" t="s">
        <v>13000</v>
      </c>
      <c r="N3035" s="8" t="s">
        <v>16696</v>
      </c>
      <c r="O3035" s="8" t="s">
        <v>1018</v>
      </c>
      <c r="P3035" s="8" t="s">
        <v>405</v>
      </c>
      <c r="Q3035" s="12" t="s">
        <v>16697</v>
      </c>
      <c r="R3035" s="8" t="s">
        <v>100</v>
      </c>
      <c r="S3035" s="7" t="s">
        <v>28</v>
      </c>
      <c r="T3035" s="6"/>
      <c r="U3035" s="8"/>
    </row>
    <row r="3036" spans="1:21" ht="13.5" customHeight="1">
      <c r="A3036" s="8" t="s">
        <v>16714</v>
      </c>
      <c r="B3036" s="16" t="s">
        <v>16282</v>
      </c>
      <c r="C3036" s="8" t="s">
        <v>20</v>
      </c>
      <c r="D3036" s="8" t="s">
        <v>85</v>
      </c>
      <c r="F3036" s="17">
        <v>41427</v>
      </c>
      <c r="G3036" s="8" t="s">
        <v>16715</v>
      </c>
      <c r="H3036" s="8" t="s">
        <v>12874</v>
      </c>
      <c r="I3036" s="8" t="s">
        <v>94</v>
      </c>
      <c r="J3036" s="16" t="s">
        <v>12875</v>
      </c>
      <c r="K3036" s="2" t="s">
        <v>288</v>
      </c>
      <c r="L3036" s="8" t="s">
        <v>12876</v>
      </c>
      <c r="M3036" s="8" t="s">
        <v>27</v>
      </c>
      <c r="N3036" s="8" t="s">
        <v>16716</v>
      </c>
      <c r="O3036" s="8" t="s">
        <v>1170</v>
      </c>
      <c r="P3036" s="8" t="s">
        <v>1171</v>
      </c>
      <c r="Q3036" s="12"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3036" s="8" t="s">
        <v>100</v>
      </c>
      <c r="S3036" s="7" t="s">
        <v>28</v>
      </c>
      <c r="T3036" s="6"/>
      <c r="U3036" s="8"/>
    </row>
    <row r="3037" spans="1:21" ht="13.5" customHeight="1">
      <c r="A3037" s="8" t="s">
        <v>16711</v>
      </c>
      <c r="B3037" s="16" t="s">
        <v>9471</v>
      </c>
      <c r="C3037" s="8" t="s">
        <v>115</v>
      </c>
      <c r="D3037" s="8" t="s">
        <v>85</v>
      </c>
      <c r="F3037" s="17">
        <v>41427</v>
      </c>
      <c r="G3037" s="8" t="s">
        <v>16708</v>
      </c>
      <c r="H3037" s="8" t="s">
        <v>12874</v>
      </c>
      <c r="I3037" s="8" t="s">
        <v>94</v>
      </c>
      <c r="J3037" s="16" t="s">
        <v>12875</v>
      </c>
      <c r="K3037" s="2" t="s">
        <v>288</v>
      </c>
      <c r="L3037" s="8" t="s">
        <v>12876</v>
      </c>
      <c r="M3037" s="8" t="s">
        <v>27</v>
      </c>
      <c r="N3037" s="8" t="s">
        <v>16712</v>
      </c>
      <c r="O3037" s="8" t="s">
        <v>1170</v>
      </c>
      <c r="P3037" s="8" t="s">
        <v>1171</v>
      </c>
      <c r="Q3037" s="12" t="s">
        <v>16713</v>
      </c>
      <c r="R3037" s="8" t="s">
        <v>29</v>
      </c>
      <c r="S3037" s="7" t="s">
        <v>28</v>
      </c>
      <c r="T3037" s="6"/>
      <c r="U3037" s="8"/>
    </row>
    <row r="3038" spans="1:21" ht="13.5" customHeight="1">
      <c r="A3038" s="8" t="s">
        <v>16706</v>
      </c>
      <c r="B3038" s="16" t="s">
        <v>9471</v>
      </c>
      <c r="C3038" s="8" t="s">
        <v>20</v>
      </c>
      <c r="D3038" s="8" t="s">
        <v>85</v>
      </c>
      <c r="E3038" s="8" t="s">
        <v>16707</v>
      </c>
      <c r="F3038" s="17">
        <v>41427</v>
      </c>
      <c r="G3038" s="8" t="s">
        <v>16708</v>
      </c>
      <c r="H3038" s="8" t="s">
        <v>12874</v>
      </c>
      <c r="I3038" s="8" t="s">
        <v>94</v>
      </c>
      <c r="J3038" s="16" t="s">
        <v>12875</v>
      </c>
      <c r="K3038" s="2" t="s">
        <v>288</v>
      </c>
      <c r="L3038" s="8" t="s">
        <v>12876</v>
      </c>
      <c r="M3038" s="8" t="s">
        <v>27</v>
      </c>
      <c r="N3038" s="8" t="s">
        <v>16709</v>
      </c>
      <c r="O3038" s="8" t="s">
        <v>619</v>
      </c>
      <c r="P3038" s="8" t="s">
        <v>405</v>
      </c>
      <c r="Q3038" s="12" t="s">
        <v>16710</v>
      </c>
      <c r="R3038" s="8" t="s">
        <v>29</v>
      </c>
      <c r="S3038" s="7" t="s">
        <v>28</v>
      </c>
      <c r="T3038" s="6"/>
      <c r="U3038" s="8"/>
    </row>
    <row r="3039" spans="1:21" ht="13.5" customHeight="1">
      <c r="A3039" s="8" t="s">
        <v>16717</v>
      </c>
      <c r="B3039" s="16" t="s">
        <v>16015</v>
      </c>
      <c r="C3039" s="8" t="s">
        <v>20</v>
      </c>
      <c r="D3039" s="8" t="s">
        <v>85</v>
      </c>
      <c r="E3039" s="8" t="s">
        <v>16718</v>
      </c>
      <c r="F3039" s="17">
        <v>41427</v>
      </c>
      <c r="G3039" s="8" t="s">
        <v>16719</v>
      </c>
      <c r="H3039" s="8" t="s">
        <v>16720</v>
      </c>
      <c r="I3039" s="8" t="s">
        <v>220</v>
      </c>
      <c r="J3039" s="16" t="s">
        <v>16721</v>
      </c>
      <c r="K3039" s="2" t="s">
        <v>11277</v>
      </c>
      <c r="L3039" s="8" t="s">
        <v>16722</v>
      </c>
      <c r="M3039" s="8" t="s">
        <v>27</v>
      </c>
      <c r="N3039" s="8" t="s">
        <v>16723</v>
      </c>
      <c r="O3039" s="8" t="s">
        <v>554</v>
      </c>
      <c r="P3039" s="8" t="s">
        <v>405</v>
      </c>
      <c r="Q3039" s="12" t="s">
        <v>16724</v>
      </c>
      <c r="R3039" s="8" t="s">
        <v>29</v>
      </c>
      <c r="S3039" s="7" t="s">
        <v>28</v>
      </c>
      <c r="T3039" s="6"/>
      <c r="U3039" s="8"/>
    </row>
    <row r="3040" spans="1:21" ht="13.5" customHeight="1">
      <c r="A3040" s="8" t="s">
        <v>16737</v>
      </c>
      <c r="B3040" s="16">
        <v>55</v>
      </c>
      <c r="C3040" s="8" t="s">
        <v>20</v>
      </c>
      <c r="D3040" s="8" t="s">
        <v>30</v>
      </c>
      <c r="F3040" s="17">
        <v>41427</v>
      </c>
      <c r="G3040" s="8" t="s">
        <v>16738</v>
      </c>
      <c r="H3040" s="8" t="s">
        <v>7221</v>
      </c>
      <c r="I3040" s="8" t="s">
        <v>212</v>
      </c>
      <c r="J3040" s="16" t="s">
        <v>16739</v>
      </c>
      <c r="K3040" s="2" t="s">
        <v>1795</v>
      </c>
      <c r="L3040" s="8" t="s">
        <v>7344</v>
      </c>
      <c r="M3040" s="8" t="s">
        <v>1706</v>
      </c>
      <c r="N3040" s="8" t="s">
        <v>16740</v>
      </c>
      <c r="O3040" s="8" t="s">
        <v>1018</v>
      </c>
      <c r="P3040" s="8" t="s">
        <v>405</v>
      </c>
      <c r="Q3040" s="12" t="s">
        <v>16741</v>
      </c>
      <c r="R3040" s="8" t="s">
        <v>559</v>
      </c>
      <c r="S3040" s="7" t="s">
        <v>28</v>
      </c>
      <c r="T3040" s="6"/>
      <c r="U3040" s="8"/>
    </row>
    <row r="3041" spans="1:39" ht="13.5" customHeight="1">
      <c r="A3041" s="8" t="s">
        <v>16730</v>
      </c>
      <c r="B3041" s="16" t="s">
        <v>14120</v>
      </c>
      <c r="C3041" s="8" t="s">
        <v>20</v>
      </c>
      <c r="D3041" s="8" t="s">
        <v>48</v>
      </c>
      <c r="F3041" s="17">
        <v>41427</v>
      </c>
      <c r="G3041" s="8" t="s">
        <v>16731</v>
      </c>
      <c r="H3041" s="8" t="s">
        <v>16732</v>
      </c>
      <c r="I3041" s="8" t="s">
        <v>45</v>
      </c>
      <c r="J3041" s="16" t="s">
        <v>16733</v>
      </c>
      <c r="K3041" s="2" t="s">
        <v>98</v>
      </c>
      <c r="L3041" s="8" t="s">
        <v>16734</v>
      </c>
      <c r="M3041" s="8" t="s">
        <v>27</v>
      </c>
      <c r="N3041" s="8" t="s">
        <v>16735</v>
      </c>
      <c r="O3041" s="8" t="s">
        <v>29</v>
      </c>
      <c r="P3041" s="8" t="s">
        <v>405</v>
      </c>
      <c r="Q3041" s="12" t="s">
        <v>16736</v>
      </c>
      <c r="R3041" s="8" t="s">
        <v>100</v>
      </c>
      <c r="S3041" s="7" t="s">
        <v>28</v>
      </c>
      <c r="T3041" s="6"/>
      <c r="U3041" s="8"/>
    </row>
    <row r="3042" spans="1:39" ht="13.5" customHeight="1">
      <c r="A3042" s="8" t="s">
        <v>16725</v>
      </c>
      <c r="B3042" s="16" t="s">
        <v>11195</v>
      </c>
      <c r="C3042" s="8" t="s">
        <v>20</v>
      </c>
      <c r="D3042" s="8" t="s">
        <v>48</v>
      </c>
      <c r="E3042" s="8" t="s">
        <v>16726</v>
      </c>
      <c r="F3042" s="17">
        <v>41427</v>
      </c>
      <c r="G3042" s="8" t="s">
        <v>16727</v>
      </c>
      <c r="H3042" s="8" t="s">
        <v>830</v>
      </c>
      <c r="I3042" s="8" t="s">
        <v>46</v>
      </c>
      <c r="J3042" s="16" t="s">
        <v>12828</v>
      </c>
      <c r="K3042" s="2" t="s">
        <v>1716</v>
      </c>
      <c r="L3042" s="8" t="s">
        <v>3266</v>
      </c>
      <c r="M3042" s="8" t="s">
        <v>27</v>
      </c>
      <c r="N3042" s="8" t="s">
        <v>16728</v>
      </c>
      <c r="O3042" s="8" t="s">
        <v>29</v>
      </c>
      <c r="P3042" s="8" t="s">
        <v>405</v>
      </c>
      <c r="Q3042" s="12" t="s">
        <v>16729</v>
      </c>
      <c r="R3042" s="8" t="s">
        <v>29</v>
      </c>
      <c r="S3042" s="7" t="s">
        <v>28</v>
      </c>
      <c r="T3042" s="6"/>
      <c r="U3042" s="8"/>
    </row>
    <row r="3043" spans="1:39" ht="13.5" customHeight="1">
      <c r="A3043" s="8" t="s">
        <v>16742</v>
      </c>
      <c r="B3043" s="16">
        <v>21</v>
      </c>
      <c r="C3043" s="8" t="s">
        <v>20</v>
      </c>
      <c r="D3043" s="8" t="s">
        <v>48</v>
      </c>
      <c r="F3043" s="17">
        <v>41426</v>
      </c>
      <c r="G3043" s="8" t="s">
        <v>16743</v>
      </c>
      <c r="H3043" s="8" t="s">
        <v>16744</v>
      </c>
      <c r="I3043" s="8" t="s">
        <v>73</v>
      </c>
      <c r="J3043" s="16" t="s">
        <v>16745</v>
      </c>
      <c r="K3043" s="2" t="s">
        <v>12748</v>
      </c>
      <c r="L3043" s="8" t="s">
        <v>16746</v>
      </c>
      <c r="M3043" s="8" t="s">
        <v>27</v>
      </c>
      <c r="N3043" s="8" t="s">
        <v>16747</v>
      </c>
      <c r="O3043" s="8" t="s">
        <v>619</v>
      </c>
      <c r="P3043" s="8" t="s">
        <v>405</v>
      </c>
      <c r="Q3043" s="12" t="s">
        <v>16748</v>
      </c>
      <c r="R3043" s="8" t="s">
        <v>29</v>
      </c>
      <c r="S3043" s="7" t="s">
        <v>28</v>
      </c>
      <c r="T3043" s="6"/>
      <c r="U3043" s="8"/>
    </row>
    <row r="3044" spans="1:39" ht="13.5" customHeight="1">
      <c r="A3044" s="8" t="s">
        <v>16754</v>
      </c>
      <c r="B3044" s="16" t="s">
        <v>16209</v>
      </c>
      <c r="C3044" s="8" t="s">
        <v>20</v>
      </c>
      <c r="D3044" s="8" t="s">
        <v>37</v>
      </c>
      <c r="E3044" s="8" t="s">
        <v>16755</v>
      </c>
      <c r="F3044" s="17">
        <v>41426</v>
      </c>
      <c r="G3044" s="8" t="s">
        <v>16756</v>
      </c>
      <c r="H3044" s="8" t="s">
        <v>158</v>
      </c>
      <c r="I3044" s="8" t="s">
        <v>45</v>
      </c>
      <c r="J3044" s="16" t="s">
        <v>16757</v>
      </c>
      <c r="K3044" s="2" t="s">
        <v>158</v>
      </c>
      <c r="L3044" s="8" t="s">
        <v>159</v>
      </c>
      <c r="M3044" s="8" t="s">
        <v>27</v>
      </c>
      <c r="N3044" s="8" t="s">
        <v>16758</v>
      </c>
      <c r="O3044" s="8" t="s">
        <v>29</v>
      </c>
      <c r="P3044" s="8" t="s">
        <v>405</v>
      </c>
      <c r="Q3044" s="12" t="s">
        <v>16759</v>
      </c>
      <c r="R3044" s="8" t="s">
        <v>100</v>
      </c>
      <c r="S3044" s="7" t="s">
        <v>28</v>
      </c>
      <c r="T3044" s="6"/>
      <c r="U3044" s="8"/>
    </row>
    <row r="3045" spans="1:39" ht="13.5" customHeight="1">
      <c r="A3045" s="8" t="s">
        <v>16749</v>
      </c>
      <c r="B3045" s="16" t="s">
        <v>8868</v>
      </c>
      <c r="C3045" s="8" t="s">
        <v>20</v>
      </c>
      <c r="D3045" s="8" t="s">
        <v>30</v>
      </c>
      <c r="F3045" s="17">
        <v>41426</v>
      </c>
      <c r="G3045" s="8" t="s">
        <v>16750</v>
      </c>
      <c r="H3045" s="8" t="s">
        <v>638</v>
      </c>
      <c r="I3045" s="8" t="s">
        <v>124</v>
      </c>
      <c r="J3045" s="16" t="s">
        <v>16751</v>
      </c>
      <c r="K3045" s="2" t="s">
        <v>639</v>
      </c>
      <c r="L3045" s="8" t="s">
        <v>640</v>
      </c>
      <c r="M3045" s="8" t="s">
        <v>27</v>
      </c>
      <c r="N3045" s="8" t="s">
        <v>16752</v>
      </c>
      <c r="O3045" s="8" t="s">
        <v>29</v>
      </c>
      <c r="P3045" s="8" t="s">
        <v>405</v>
      </c>
      <c r="Q3045" s="12" t="s">
        <v>16753</v>
      </c>
      <c r="R3045" s="8" t="s">
        <v>100</v>
      </c>
      <c r="S3045" s="7" t="s">
        <v>28</v>
      </c>
      <c r="T3045" s="6"/>
      <c r="U3045" s="8"/>
    </row>
    <row r="3046" spans="1:39" ht="13.5" customHeight="1">
      <c r="A3046" s="8" t="s">
        <v>16760</v>
      </c>
      <c r="B3046" s="16" t="s">
        <v>16309</v>
      </c>
      <c r="C3046" s="8" t="s">
        <v>20</v>
      </c>
      <c r="D3046" s="8" t="s">
        <v>37</v>
      </c>
      <c r="E3046" s="8" t="s">
        <v>16761</v>
      </c>
      <c r="F3046" s="17">
        <v>41426</v>
      </c>
      <c r="G3046" s="8" t="s">
        <v>16762</v>
      </c>
      <c r="H3046" s="8" t="s">
        <v>846</v>
      </c>
      <c r="I3046" s="8" t="s">
        <v>306</v>
      </c>
      <c r="J3046" s="16" t="s">
        <v>11777</v>
      </c>
      <c r="K3046" s="2" t="s">
        <v>846</v>
      </c>
      <c r="L3046" s="8" t="s">
        <v>16763</v>
      </c>
      <c r="M3046" s="8" t="s">
        <v>27</v>
      </c>
      <c r="N3046" s="8" t="s">
        <v>16764</v>
      </c>
      <c r="O3046" s="8" t="s">
        <v>554</v>
      </c>
      <c r="P3046" s="8" t="s">
        <v>405</v>
      </c>
      <c r="Q3046" s="12" t="s">
        <v>16765</v>
      </c>
      <c r="R3046" s="8" t="s">
        <v>972</v>
      </c>
      <c r="S3046" s="7" t="s">
        <v>28</v>
      </c>
      <c r="T3046" s="6"/>
      <c r="U3046" s="8"/>
    </row>
    <row r="3047" spans="1:39" ht="13.5" customHeight="1">
      <c r="A3047" s="8" t="s">
        <v>16766</v>
      </c>
      <c r="B3047" s="16">
        <v>18</v>
      </c>
      <c r="C3047" s="8" t="s">
        <v>20</v>
      </c>
      <c r="D3047" s="8" t="s">
        <v>85</v>
      </c>
      <c r="F3047" s="17">
        <v>41425</v>
      </c>
      <c r="G3047" s="8" t="s">
        <v>16767</v>
      </c>
      <c r="H3047" s="8" t="s">
        <v>6122</v>
      </c>
      <c r="I3047" s="8" t="s">
        <v>370</v>
      </c>
      <c r="J3047" s="16" t="s">
        <v>16768</v>
      </c>
      <c r="K3047" s="2" t="s">
        <v>16769</v>
      </c>
      <c r="L3047" s="8" t="s">
        <v>16770</v>
      </c>
      <c r="M3047" s="8" t="s">
        <v>383</v>
      </c>
      <c r="N3047" s="8" t="s">
        <v>16771</v>
      </c>
      <c r="O3047" s="8" t="s">
        <v>1018</v>
      </c>
      <c r="P3047" s="8" t="s">
        <v>405</v>
      </c>
      <c r="Q3047" s="12" t="s">
        <v>16772</v>
      </c>
      <c r="R3047" s="8" t="s">
        <v>100</v>
      </c>
      <c r="S3047" s="7" t="s">
        <v>28</v>
      </c>
      <c r="T3047" s="6"/>
      <c r="U3047" s="8"/>
    </row>
    <row r="3048" spans="1:39" ht="13.5" customHeight="1">
      <c r="A3048" s="8" t="s">
        <v>16773</v>
      </c>
      <c r="B3048" s="16">
        <v>54</v>
      </c>
      <c r="C3048" s="8" t="s">
        <v>20</v>
      </c>
      <c r="D3048" s="8" t="s">
        <v>37</v>
      </c>
      <c r="E3048" s="8" t="s">
        <v>16774</v>
      </c>
      <c r="F3048" s="17">
        <v>41425</v>
      </c>
      <c r="G3048" s="8" t="s">
        <v>16775</v>
      </c>
      <c r="H3048" s="8" t="s">
        <v>16776</v>
      </c>
      <c r="I3048" s="8" t="s">
        <v>370</v>
      </c>
      <c r="J3048" s="16" t="s">
        <v>16777</v>
      </c>
      <c r="K3048" s="2" t="s">
        <v>13436</v>
      </c>
      <c r="L3048" s="8" t="s">
        <v>16778</v>
      </c>
      <c r="M3048" s="8" t="s">
        <v>27</v>
      </c>
      <c r="N3048" s="8" t="s">
        <v>16779</v>
      </c>
      <c r="O3048" s="8" t="s">
        <v>554</v>
      </c>
      <c r="P3048" s="8" t="s">
        <v>405</v>
      </c>
      <c r="Q3048" s="12" t="s">
        <v>16780</v>
      </c>
      <c r="R3048" s="8" t="s">
        <v>559</v>
      </c>
      <c r="S3048" s="7" t="s">
        <v>28</v>
      </c>
      <c r="T3048" s="6"/>
      <c r="U3048" s="8"/>
    </row>
    <row r="3049" spans="1:39" ht="13.5" customHeight="1">
      <c r="A3049" s="8" t="s">
        <v>16801</v>
      </c>
      <c r="B3049" s="16" t="s">
        <v>16015</v>
      </c>
      <c r="C3049" s="8" t="s">
        <v>20</v>
      </c>
      <c r="D3049" s="8" t="s">
        <v>37</v>
      </c>
      <c r="E3049" s="8" t="s">
        <v>16802</v>
      </c>
      <c r="F3049" s="17">
        <v>41424</v>
      </c>
      <c r="G3049" s="8" t="s">
        <v>16803</v>
      </c>
      <c r="H3049" s="8" t="s">
        <v>3736</v>
      </c>
      <c r="I3049" s="8" t="s">
        <v>45</v>
      </c>
      <c r="J3049" s="16" t="s">
        <v>16791</v>
      </c>
      <c r="K3049" s="2" t="s">
        <v>1070</v>
      </c>
      <c r="L3049" s="8" t="s">
        <v>3738</v>
      </c>
      <c r="M3049" s="8" t="s">
        <v>383</v>
      </c>
      <c r="N3049" s="8" t="s">
        <v>16804</v>
      </c>
      <c r="O3049" s="8" t="s">
        <v>554</v>
      </c>
      <c r="P3049" s="8" t="s">
        <v>405</v>
      </c>
      <c r="Q3049" s="12" t="s">
        <v>16805</v>
      </c>
      <c r="R3049" s="8" t="s">
        <v>100</v>
      </c>
      <c r="S3049" s="7" t="s">
        <v>28</v>
      </c>
      <c r="T3049" s="6"/>
      <c r="U3049" s="8"/>
    </row>
    <row r="3050" spans="1:39" ht="13.5" customHeight="1">
      <c r="A3050" s="8" t="s">
        <v>16789</v>
      </c>
      <c r="B3050" s="16" t="s">
        <v>8868</v>
      </c>
      <c r="C3050" s="8" t="s">
        <v>20</v>
      </c>
      <c r="D3050" s="8" t="s">
        <v>48</v>
      </c>
      <c r="F3050" s="17">
        <v>41424</v>
      </c>
      <c r="G3050" s="8" t="s">
        <v>16790</v>
      </c>
      <c r="H3050" s="8" t="s">
        <v>3736</v>
      </c>
      <c r="I3050" s="8" t="s">
        <v>45</v>
      </c>
      <c r="J3050" s="16" t="s">
        <v>16791</v>
      </c>
      <c r="K3050" s="2" t="s">
        <v>1070</v>
      </c>
      <c r="L3050" s="8" t="s">
        <v>3738</v>
      </c>
      <c r="M3050" s="8" t="s">
        <v>27</v>
      </c>
      <c r="N3050" s="8" t="s">
        <v>16792</v>
      </c>
      <c r="O3050" s="8" t="s">
        <v>29</v>
      </c>
      <c r="P3050" s="8" t="s">
        <v>405</v>
      </c>
      <c r="Q3050" s="12" t="s">
        <v>16793</v>
      </c>
      <c r="R3050" s="8" t="s">
        <v>100</v>
      </c>
      <c r="S3050" s="7" t="s">
        <v>28</v>
      </c>
      <c r="T3050" s="6"/>
      <c r="U3050" s="8"/>
    </row>
    <row r="3051" spans="1:39" ht="13.5" customHeight="1">
      <c r="A3051" s="8" t="s">
        <v>16794</v>
      </c>
      <c r="B3051" s="16">
        <v>24</v>
      </c>
      <c r="C3051" s="8" t="s">
        <v>20</v>
      </c>
      <c r="D3051" s="8" t="s">
        <v>48</v>
      </c>
      <c r="E3051" s="8" t="s">
        <v>16795</v>
      </c>
      <c r="F3051" s="17">
        <v>41424</v>
      </c>
      <c r="G3051" s="8" t="s">
        <v>16796</v>
      </c>
      <c r="H3051" s="8" t="s">
        <v>1442</v>
      </c>
      <c r="I3051" s="8" t="s">
        <v>124</v>
      </c>
      <c r="J3051" s="16" t="s">
        <v>16797</v>
      </c>
      <c r="K3051" s="2" t="s">
        <v>639</v>
      </c>
      <c r="L3051" s="8" t="s">
        <v>16798</v>
      </c>
      <c r="M3051" s="8" t="s">
        <v>1706</v>
      </c>
      <c r="N3051" s="8" t="s">
        <v>16799</v>
      </c>
      <c r="O3051" s="8" t="s">
        <v>404</v>
      </c>
      <c r="P3051" s="8" t="s">
        <v>405</v>
      </c>
      <c r="Q3051" s="12" t="s">
        <v>16800</v>
      </c>
      <c r="R3051" s="8" t="s">
        <v>972</v>
      </c>
      <c r="S3051" s="7" t="s">
        <v>28</v>
      </c>
      <c r="T3051" s="6"/>
      <c r="U3051" s="8"/>
    </row>
    <row r="3052" spans="1:39" ht="13.5" customHeight="1">
      <c r="A3052" s="8" t="s">
        <v>16781</v>
      </c>
      <c r="B3052" s="16" t="s">
        <v>11195</v>
      </c>
      <c r="C3052" s="8" t="s">
        <v>115</v>
      </c>
      <c r="D3052" s="8" t="s">
        <v>21</v>
      </c>
      <c r="E3052" s="8" t="s">
        <v>16782</v>
      </c>
      <c r="F3052" s="17">
        <v>41424</v>
      </c>
      <c r="G3052" s="8" t="s">
        <v>16783</v>
      </c>
      <c r="H3052" s="8" t="s">
        <v>16784</v>
      </c>
      <c r="I3052" s="8" t="s">
        <v>247</v>
      </c>
      <c r="J3052" s="16" t="s">
        <v>16785</v>
      </c>
      <c r="K3052" s="2" t="s">
        <v>9740</v>
      </c>
      <c r="L3052" s="8" t="s">
        <v>16786</v>
      </c>
      <c r="M3052" s="8" t="s">
        <v>27</v>
      </c>
      <c r="N3052" s="8" t="s">
        <v>16787</v>
      </c>
      <c r="O3052" s="8" t="s">
        <v>554</v>
      </c>
      <c r="P3052" s="8" t="s">
        <v>405</v>
      </c>
      <c r="Q3052" s="12" t="s">
        <v>16788</v>
      </c>
      <c r="R3052" s="8" t="s">
        <v>559</v>
      </c>
      <c r="S3052" s="7" t="s">
        <v>28</v>
      </c>
      <c r="T3052" s="6"/>
      <c r="U3052" s="8"/>
      <c r="AI3052" s="8"/>
      <c r="AJ3052" s="8"/>
      <c r="AK3052" s="8"/>
      <c r="AL3052" s="8"/>
      <c r="AM3052" s="8"/>
    </row>
    <row r="3053" spans="1:39" ht="13.5" customHeight="1">
      <c r="A3053" s="8" t="s">
        <v>16811</v>
      </c>
      <c r="B3053" s="16">
        <v>22</v>
      </c>
      <c r="C3053" s="8" t="s">
        <v>20</v>
      </c>
      <c r="D3053" s="8" t="s">
        <v>85</v>
      </c>
      <c r="E3053" s="8" t="s">
        <v>16812</v>
      </c>
      <c r="F3053" s="17">
        <v>41423</v>
      </c>
      <c r="G3053" s="8" t="s">
        <v>16813</v>
      </c>
      <c r="H3053" s="8" t="s">
        <v>607</v>
      </c>
      <c r="I3053" s="8" t="s">
        <v>45</v>
      </c>
      <c r="J3053" s="16" t="s">
        <v>16814</v>
      </c>
      <c r="K3053" s="2" t="s">
        <v>608</v>
      </c>
      <c r="L3053" s="8" t="s">
        <v>609</v>
      </c>
      <c r="M3053" s="8" t="s">
        <v>27</v>
      </c>
      <c r="N3053" s="8" t="s">
        <v>16815</v>
      </c>
      <c r="O3053" s="8" t="s">
        <v>1018</v>
      </c>
      <c r="P3053" s="8" t="s">
        <v>405</v>
      </c>
      <c r="Q3053" s="12" t="s">
        <v>16816</v>
      </c>
      <c r="R3053" s="8" t="s">
        <v>100</v>
      </c>
      <c r="S3053" s="7" t="s">
        <v>28</v>
      </c>
      <c r="T3053" s="6"/>
      <c r="U3053" s="8"/>
    </row>
    <row r="3054" spans="1:39" ht="13.5" customHeight="1">
      <c r="A3054" s="8" t="s">
        <v>16830</v>
      </c>
      <c r="B3054" s="16">
        <v>48</v>
      </c>
      <c r="C3054" s="8" t="s">
        <v>20</v>
      </c>
      <c r="D3054" s="8" t="s">
        <v>30</v>
      </c>
      <c r="F3054" s="17">
        <v>41423</v>
      </c>
      <c r="G3054" s="8" t="s">
        <v>16831</v>
      </c>
      <c r="H3054" s="8" t="s">
        <v>16832</v>
      </c>
      <c r="I3054" s="8" t="s">
        <v>46</v>
      </c>
      <c r="J3054" s="16" t="s">
        <v>16833</v>
      </c>
      <c r="K3054" s="2" t="s">
        <v>1716</v>
      </c>
      <c r="L3054" s="8" t="s">
        <v>16834</v>
      </c>
      <c r="M3054" s="8" t="s">
        <v>14630</v>
      </c>
      <c r="N3054" s="8" t="s">
        <v>16835</v>
      </c>
      <c r="O3054" s="8" t="s">
        <v>1018</v>
      </c>
      <c r="P3054" s="8" t="s">
        <v>405</v>
      </c>
      <c r="Q3054" s="12" t="s">
        <v>16836</v>
      </c>
      <c r="R3054" s="8" t="s">
        <v>29</v>
      </c>
      <c r="S3054" s="7" t="s">
        <v>28</v>
      </c>
      <c r="T3054" s="6"/>
      <c r="U3054" s="8"/>
    </row>
    <row r="3055" spans="1:39" ht="13.5" customHeight="1">
      <c r="A3055" s="8" t="s">
        <v>16822</v>
      </c>
      <c r="B3055" s="16" t="s">
        <v>15578</v>
      </c>
      <c r="C3055" s="8" t="s">
        <v>20</v>
      </c>
      <c r="D3055" s="8" t="s">
        <v>30</v>
      </c>
      <c r="F3055" s="17">
        <v>41423</v>
      </c>
      <c r="G3055" s="8" t="s">
        <v>16823</v>
      </c>
      <c r="H3055" s="8" t="s">
        <v>16824</v>
      </c>
      <c r="I3055" s="8" t="s">
        <v>862</v>
      </c>
      <c r="J3055" s="16" t="s">
        <v>16825</v>
      </c>
      <c r="K3055" s="2" t="s">
        <v>16826</v>
      </c>
      <c r="L3055" s="8" t="s">
        <v>16827</v>
      </c>
      <c r="M3055" s="8" t="s">
        <v>27</v>
      </c>
      <c r="N3055" s="8" t="s">
        <v>16828</v>
      </c>
      <c r="O3055" s="8" t="s">
        <v>554</v>
      </c>
      <c r="P3055" s="8" t="s">
        <v>405</v>
      </c>
      <c r="Q3055" s="12" t="s">
        <v>16829</v>
      </c>
      <c r="R3055" s="8" t="s">
        <v>559</v>
      </c>
      <c r="S3055" s="7" t="s">
        <v>28</v>
      </c>
      <c r="T3055" s="6"/>
      <c r="U3055" s="8"/>
    </row>
    <row r="3056" spans="1:39" ht="13.5" customHeight="1">
      <c r="A3056" s="8" t="s">
        <v>16817</v>
      </c>
      <c r="B3056" s="16" t="s">
        <v>16077</v>
      </c>
      <c r="C3056" s="8" t="s">
        <v>20</v>
      </c>
      <c r="D3056" s="8" t="s">
        <v>85</v>
      </c>
      <c r="F3056" s="17">
        <v>41423</v>
      </c>
      <c r="G3056" s="8" t="s">
        <v>16818</v>
      </c>
      <c r="H3056" s="8" t="s">
        <v>1110</v>
      </c>
      <c r="I3056" s="8" t="s">
        <v>408</v>
      </c>
      <c r="J3056" s="16" t="s">
        <v>16819</v>
      </c>
      <c r="K3056" s="2" t="s">
        <v>1110</v>
      </c>
      <c r="L3056" s="8" t="s">
        <v>1111</v>
      </c>
      <c r="M3056" s="8" t="s">
        <v>27</v>
      </c>
      <c r="N3056" s="8" t="s">
        <v>16820</v>
      </c>
      <c r="O3056" s="8" t="s">
        <v>29</v>
      </c>
      <c r="P3056" s="8" t="s">
        <v>405</v>
      </c>
      <c r="Q3056" s="12" t="s">
        <v>16821</v>
      </c>
      <c r="R3056" s="8" t="s">
        <v>100</v>
      </c>
      <c r="S3056" s="7" t="s">
        <v>28</v>
      </c>
      <c r="T3056" s="6"/>
      <c r="U3056" s="8"/>
    </row>
    <row r="3057" spans="1:21" ht="13.5" customHeight="1">
      <c r="A3057" s="8" t="s">
        <v>16806</v>
      </c>
      <c r="B3057" s="16">
        <v>34</v>
      </c>
      <c r="C3057" s="8" t="s">
        <v>20</v>
      </c>
      <c r="D3057" s="8" t="s">
        <v>85</v>
      </c>
      <c r="E3057" s="8" t="s">
        <v>16807</v>
      </c>
      <c r="F3057" s="17">
        <v>41423</v>
      </c>
      <c r="G3057" s="8" t="s">
        <v>16808</v>
      </c>
      <c r="H3057" s="8" t="s">
        <v>119</v>
      </c>
      <c r="I3057" s="8" t="s">
        <v>3709</v>
      </c>
      <c r="J3057" s="16" t="s">
        <v>6937</v>
      </c>
      <c r="K3057" s="2" t="s">
        <v>3711</v>
      </c>
      <c r="L3057" s="8" t="s">
        <v>19944</v>
      </c>
      <c r="M3057" s="8" t="s">
        <v>27</v>
      </c>
      <c r="N3057" s="8" t="s">
        <v>16809</v>
      </c>
      <c r="O3057" s="8" t="s">
        <v>1018</v>
      </c>
      <c r="P3057" s="8" t="s">
        <v>405</v>
      </c>
      <c r="Q3057" s="12" t="s">
        <v>16810</v>
      </c>
      <c r="R3057" s="8" t="s">
        <v>100</v>
      </c>
      <c r="S3057" s="7" t="s">
        <v>28</v>
      </c>
      <c r="T3057" s="6"/>
      <c r="U3057" s="8"/>
    </row>
    <row r="3058" spans="1:21" ht="13.5" customHeight="1">
      <c r="A3058" s="8" t="s">
        <v>16837</v>
      </c>
      <c r="B3058" s="16">
        <v>37</v>
      </c>
      <c r="C3058" s="8" t="s">
        <v>115</v>
      </c>
      <c r="D3058" s="8" t="s">
        <v>37</v>
      </c>
      <c r="E3058" s="8" t="s">
        <v>16838</v>
      </c>
      <c r="F3058" s="17">
        <v>41422</v>
      </c>
      <c r="G3058" s="8" t="s">
        <v>16839</v>
      </c>
      <c r="H3058" s="8" t="s">
        <v>16840</v>
      </c>
      <c r="I3058" s="8" t="s">
        <v>323</v>
      </c>
      <c r="J3058" s="16" t="s">
        <v>16841</v>
      </c>
      <c r="K3058" s="2" t="s">
        <v>3187</v>
      </c>
      <c r="L3058" s="8" t="s">
        <v>6573</v>
      </c>
      <c r="M3058" s="8" t="s">
        <v>27</v>
      </c>
      <c r="N3058" s="8" t="s">
        <v>16842</v>
      </c>
      <c r="O3058" s="8" t="s">
        <v>554</v>
      </c>
      <c r="P3058" s="8" t="s">
        <v>405</v>
      </c>
      <c r="Q3058" s="12" t="s">
        <v>16843</v>
      </c>
      <c r="R3058" s="8" t="s">
        <v>100</v>
      </c>
      <c r="S3058" s="7" t="s">
        <v>28</v>
      </c>
      <c r="T3058" s="6"/>
      <c r="U3058" s="8"/>
    </row>
    <row r="3059" spans="1:21" ht="13.5" customHeight="1">
      <c r="A3059" s="8" t="s">
        <v>16844</v>
      </c>
      <c r="B3059" s="16">
        <v>72</v>
      </c>
      <c r="C3059" s="8" t="s">
        <v>20</v>
      </c>
      <c r="D3059" s="8" t="s">
        <v>37</v>
      </c>
      <c r="E3059" s="8" t="s">
        <v>16845</v>
      </c>
      <c r="F3059" s="17">
        <v>41422</v>
      </c>
      <c r="G3059" s="8" t="s">
        <v>16846</v>
      </c>
      <c r="H3059" s="8" t="s">
        <v>934</v>
      </c>
      <c r="I3059" s="8" t="s">
        <v>73</v>
      </c>
      <c r="J3059" s="16" t="s">
        <v>6831</v>
      </c>
      <c r="K3059" s="2" t="s">
        <v>74</v>
      </c>
      <c r="L3059" s="8" t="s">
        <v>935</v>
      </c>
      <c r="M3059" s="8" t="s">
        <v>27</v>
      </c>
      <c r="N3059" s="8" t="s">
        <v>16847</v>
      </c>
      <c r="O3059" s="8" t="s">
        <v>554</v>
      </c>
      <c r="P3059" s="8" t="s">
        <v>405</v>
      </c>
      <c r="Q3059" s="12" t="s">
        <v>16848</v>
      </c>
      <c r="R3059" s="8" t="s">
        <v>100</v>
      </c>
      <c r="S3059" s="7" t="s">
        <v>28</v>
      </c>
      <c r="T3059" s="6"/>
      <c r="U3059" s="8"/>
    </row>
    <row r="3060" spans="1:21" ht="13.5" customHeight="1">
      <c r="A3060" s="8" t="s">
        <v>16849</v>
      </c>
      <c r="B3060" s="16" t="s">
        <v>13885</v>
      </c>
      <c r="C3060" s="8" t="s">
        <v>20</v>
      </c>
      <c r="D3060" s="8" t="s">
        <v>85</v>
      </c>
      <c r="E3060" s="8" t="s">
        <v>16850</v>
      </c>
      <c r="F3060" s="17">
        <v>41421</v>
      </c>
      <c r="G3060" s="8" t="s">
        <v>16851</v>
      </c>
      <c r="H3060" s="8" t="s">
        <v>717</v>
      </c>
      <c r="I3060" s="8" t="s">
        <v>435</v>
      </c>
      <c r="J3060" s="16" t="s">
        <v>5461</v>
      </c>
      <c r="K3060" s="2" t="s">
        <v>717</v>
      </c>
      <c r="L3060" s="8" t="s">
        <v>16852</v>
      </c>
      <c r="M3060" s="8" t="s">
        <v>27</v>
      </c>
      <c r="N3060" s="8" t="s">
        <v>16853</v>
      </c>
      <c r="O3060" s="8" t="s">
        <v>16854</v>
      </c>
      <c r="P3060" s="8" t="s">
        <v>1171</v>
      </c>
      <c r="Q3060" s="12" t="s">
        <v>16855</v>
      </c>
      <c r="R3060" s="8" t="s">
        <v>100</v>
      </c>
      <c r="S3060" s="7" t="s">
        <v>28</v>
      </c>
      <c r="T3060" s="6"/>
      <c r="U3060" s="8"/>
    </row>
    <row r="3061" spans="1:21" ht="13.5" customHeight="1">
      <c r="A3061" s="8" t="s">
        <v>16881</v>
      </c>
      <c r="B3061" s="16" t="s">
        <v>13885</v>
      </c>
      <c r="C3061" s="8" t="s">
        <v>20</v>
      </c>
      <c r="D3061" s="8" t="s">
        <v>37</v>
      </c>
      <c r="E3061" s="8" t="s">
        <v>16882</v>
      </c>
      <c r="F3061" s="17">
        <v>41420</v>
      </c>
      <c r="G3061" s="8" t="s">
        <v>16883</v>
      </c>
      <c r="H3061" s="8" t="s">
        <v>16884</v>
      </c>
      <c r="I3061" s="8" t="s">
        <v>408</v>
      </c>
      <c r="J3061" s="16" t="s">
        <v>16885</v>
      </c>
      <c r="K3061" s="2" t="s">
        <v>914</v>
      </c>
      <c r="L3061" s="8" t="s">
        <v>16886</v>
      </c>
      <c r="M3061" s="8" t="s">
        <v>27</v>
      </c>
      <c r="N3061" s="8" t="s">
        <v>16887</v>
      </c>
      <c r="O3061" s="8" t="s">
        <v>29</v>
      </c>
      <c r="P3061" s="8" t="s">
        <v>405</v>
      </c>
      <c r="Q3061" s="12" t="s">
        <v>16888</v>
      </c>
      <c r="R3061" s="8" t="s">
        <v>100</v>
      </c>
      <c r="S3061" s="7" t="s">
        <v>28</v>
      </c>
      <c r="T3061" s="6"/>
      <c r="U3061" s="8"/>
    </row>
    <row r="3062" spans="1:21" ht="13.5" customHeight="1">
      <c r="A3062" s="8" t="s">
        <v>16856</v>
      </c>
      <c r="B3062" s="16" t="s">
        <v>16330</v>
      </c>
      <c r="C3062" s="8" t="s">
        <v>20</v>
      </c>
      <c r="D3062" s="8" t="s">
        <v>48</v>
      </c>
      <c r="E3062" s="8" t="s">
        <v>16857</v>
      </c>
      <c r="F3062" s="17">
        <v>41420</v>
      </c>
      <c r="G3062" s="8" t="s">
        <v>16858</v>
      </c>
      <c r="H3062" s="8" t="s">
        <v>16859</v>
      </c>
      <c r="I3062" s="8" t="s">
        <v>73</v>
      </c>
      <c r="J3062" s="16" t="s">
        <v>16860</v>
      </c>
      <c r="K3062" s="2" t="s">
        <v>16861</v>
      </c>
      <c r="L3062" s="8" t="s">
        <v>16862</v>
      </c>
      <c r="M3062" s="8" t="s">
        <v>27</v>
      </c>
      <c r="N3062" s="8" t="s">
        <v>16863</v>
      </c>
      <c r="O3062" s="8" t="s">
        <v>29</v>
      </c>
      <c r="P3062" s="8" t="s">
        <v>405</v>
      </c>
      <c r="Q3062" s="12" t="s">
        <v>16864</v>
      </c>
      <c r="R3062" s="8" t="s">
        <v>100</v>
      </c>
      <c r="S3062" s="7" t="s">
        <v>28</v>
      </c>
      <c r="T3062" s="6"/>
      <c r="U3062" s="8"/>
    </row>
    <row r="3063" spans="1:21" ht="13.5" customHeight="1">
      <c r="A3063" s="8" t="s">
        <v>16865</v>
      </c>
      <c r="B3063" s="16" t="s">
        <v>16309</v>
      </c>
      <c r="C3063" s="8" t="s">
        <v>20</v>
      </c>
      <c r="D3063" s="8" t="s">
        <v>48</v>
      </c>
      <c r="E3063" s="8" t="s">
        <v>16866</v>
      </c>
      <c r="F3063" s="17">
        <v>41420</v>
      </c>
      <c r="G3063" s="8" t="s">
        <v>16867</v>
      </c>
      <c r="H3063" s="8" t="s">
        <v>16868</v>
      </c>
      <c r="I3063" s="8" t="s">
        <v>427</v>
      </c>
      <c r="J3063" s="16" t="s">
        <v>16869</v>
      </c>
      <c r="K3063" s="2" t="s">
        <v>585</v>
      </c>
      <c r="L3063" s="8" t="s">
        <v>16870</v>
      </c>
      <c r="M3063" s="8" t="s">
        <v>27</v>
      </c>
      <c r="N3063" s="8" t="s">
        <v>16871</v>
      </c>
      <c r="O3063" s="8" t="s">
        <v>554</v>
      </c>
      <c r="P3063" s="8" t="s">
        <v>405</v>
      </c>
      <c r="Q3063" s="12" t="s">
        <v>16872</v>
      </c>
      <c r="R3063" s="8" t="s">
        <v>559</v>
      </c>
      <c r="S3063" s="7" t="s">
        <v>28</v>
      </c>
      <c r="T3063" s="6"/>
      <c r="U3063" s="8"/>
    </row>
    <row r="3064" spans="1:21" ht="13.5" customHeight="1">
      <c r="A3064" s="8" t="s">
        <v>16873</v>
      </c>
      <c r="B3064" s="16" t="s">
        <v>11829</v>
      </c>
      <c r="C3064" s="8" t="s">
        <v>20</v>
      </c>
      <c r="D3064" s="8" t="s">
        <v>37</v>
      </c>
      <c r="F3064" s="17">
        <v>41420</v>
      </c>
      <c r="G3064" s="8" t="s">
        <v>16874</v>
      </c>
      <c r="H3064" s="8" t="s">
        <v>16875</v>
      </c>
      <c r="I3064" s="8" t="s">
        <v>212</v>
      </c>
      <c r="J3064" s="16" t="s">
        <v>16876</v>
      </c>
      <c r="K3064" s="2" t="s">
        <v>16877</v>
      </c>
      <c r="L3064" s="8" t="s">
        <v>16878</v>
      </c>
      <c r="M3064" s="8" t="s">
        <v>27</v>
      </c>
      <c r="N3064" s="8" t="s">
        <v>16879</v>
      </c>
      <c r="O3064" s="8" t="s">
        <v>554</v>
      </c>
      <c r="P3064" s="8" t="s">
        <v>405</v>
      </c>
      <c r="Q3064" s="12" t="s">
        <v>16880</v>
      </c>
      <c r="R3064" s="8" t="s">
        <v>100</v>
      </c>
      <c r="S3064" s="7" t="s">
        <v>28</v>
      </c>
      <c r="T3064" s="6"/>
      <c r="U3064" s="8"/>
    </row>
    <row r="3065" spans="1:21" ht="13.5" customHeight="1">
      <c r="A3065" s="8" t="s">
        <v>16889</v>
      </c>
      <c r="B3065" s="16" t="s">
        <v>16209</v>
      </c>
      <c r="C3065" s="8" t="s">
        <v>20</v>
      </c>
      <c r="D3065" s="8" t="s">
        <v>85</v>
      </c>
      <c r="E3065" s="8" t="s">
        <v>16890</v>
      </c>
      <c r="F3065" s="17">
        <v>41419</v>
      </c>
      <c r="G3065" s="8" t="s">
        <v>16891</v>
      </c>
      <c r="H3065" s="8" t="s">
        <v>51</v>
      </c>
      <c r="I3065" s="8" t="s">
        <v>32</v>
      </c>
      <c r="J3065" s="16" t="s">
        <v>16892</v>
      </c>
      <c r="K3065" s="2" t="s">
        <v>2615</v>
      </c>
      <c r="L3065" s="8" t="s">
        <v>1857</v>
      </c>
      <c r="M3065" s="8" t="s">
        <v>27</v>
      </c>
      <c r="N3065" s="8" t="s">
        <v>16893</v>
      </c>
      <c r="O3065" s="8" t="s">
        <v>554</v>
      </c>
      <c r="P3065" s="8" t="s">
        <v>405</v>
      </c>
      <c r="Q3065" s="12" t="s">
        <v>16894</v>
      </c>
      <c r="R3065" s="8" t="s">
        <v>29</v>
      </c>
      <c r="S3065" s="7" t="s">
        <v>28</v>
      </c>
      <c r="T3065" s="6"/>
      <c r="U3065" s="8"/>
    </row>
    <row r="3066" spans="1:21" ht="13.5" customHeight="1">
      <c r="A3066" s="8" t="s">
        <v>16895</v>
      </c>
      <c r="B3066" s="16" t="s">
        <v>8868</v>
      </c>
      <c r="C3066" s="8" t="s">
        <v>20</v>
      </c>
      <c r="D3066" s="8" t="s">
        <v>85</v>
      </c>
      <c r="E3066" s="8" t="s">
        <v>16896</v>
      </c>
      <c r="F3066" s="17">
        <v>41419</v>
      </c>
      <c r="G3066" s="8" t="s">
        <v>16897</v>
      </c>
      <c r="H3066" s="8" t="s">
        <v>16898</v>
      </c>
      <c r="I3066" s="8" t="s">
        <v>57</v>
      </c>
      <c r="J3066" s="16" t="s">
        <v>8605</v>
      </c>
      <c r="K3066" s="2" t="s">
        <v>8606</v>
      </c>
      <c r="L3066" s="8" t="s">
        <v>4002</v>
      </c>
      <c r="M3066" s="8" t="s">
        <v>27</v>
      </c>
      <c r="N3066" s="8" t="s">
        <v>16899</v>
      </c>
      <c r="O3066" s="8" t="s">
        <v>554</v>
      </c>
      <c r="P3066" s="8" t="s">
        <v>405</v>
      </c>
      <c r="Q3066" s="12" t="s">
        <v>16900</v>
      </c>
      <c r="R3066" s="8" t="s">
        <v>100</v>
      </c>
      <c r="S3066" s="7" t="s">
        <v>28</v>
      </c>
      <c r="T3066" s="6"/>
      <c r="U3066" s="8"/>
    </row>
    <row r="3067" spans="1:21" ht="13.5" customHeight="1">
      <c r="A3067" s="8" t="s">
        <v>16915</v>
      </c>
      <c r="B3067" s="16" t="s">
        <v>16202</v>
      </c>
      <c r="C3067" s="8" t="s">
        <v>20</v>
      </c>
      <c r="D3067" s="8" t="s">
        <v>37</v>
      </c>
      <c r="E3067" s="8" t="s">
        <v>16916</v>
      </c>
      <c r="F3067" s="17">
        <v>41419</v>
      </c>
      <c r="G3067" s="8" t="s">
        <v>16917</v>
      </c>
      <c r="H3067" s="8" t="s">
        <v>16918</v>
      </c>
      <c r="I3067" s="8" t="s">
        <v>243</v>
      </c>
      <c r="J3067" s="16" t="s">
        <v>16919</v>
      </c>
      <c r="K3067" s="2" t="s">
        <v>1461</v>
      </c>
      <c r="L3067" s="8" t="s">
        <v>16920</v>
      </c>
      <c r="M3067" s="8" t="s">
        <v>27</v>
      </c>
      <c r="N3067" s="8" t="s">
        <v>16921</v>
      </c>
      <c r="O3067" s="8" t="s">
        <v>554</v>
      </c>
      <c r="P3067" s="8" t="s">
        <v>405</v>
      </c>
      <c r="Q3067" s="12" t="s">
        <v>16922</v>
      </c>
      <c r="R3067" s="8" t="s">
        <v>559</v>
      </c>
      <c r="S3067" s="7" t="s">
        <v>28</v>
      </c>
      <c r="T3067" s="6"/>
      <c r="U3067" s="8"/>
    </row>
    <row r="3068" spans="1:21" ht="13.5" customHeight="1">
      <c r="A3068" s="8" t="s">
        <v>16909</v>
      </c>
      <c r="B3068" s="16">
        <v>42</v>
      </c>
      <c r="C3068" s="8" t="s">
        <v>20</v>
      </c>
      <c r="D3068" s="8" t="s">
        <v>37</v>
      </c>
      <c r="E3068" s="8" t="s">
        <v>16910</v>
      </c>
      <c r="F3068" s="17">
        <v>41419</v>
      </c>
      <c r="G3068" s="8" t="s">
        <v>16911</v>
      </c>
      <c r="H3068" s="8" t="s">
        <v>1658</v>
      </c>
      <c r="I3068" s="8" t="s">
        <v>45</v>
      </c>
      <c r="J3068" s="16" t="s">
        <v>16912</v>
      </c>
      <c r="K3068" s="2" t="s">
        <v>1658</v>
      </c>
      <c r="L3068" s="8" t="s">
        <v>2346</v>
      </c>
      <c r="M3068" s="8" t="s">
        <v>3189</v>
      </c>
      <c r="N3068" s="8" t="s">
        <v>16913</v>
      </c>
      <c r="O3068" s="8" t="s">
        <v>29</v>
      </c>
      <c r="P3068" s="8" t="s">
        <v>405</v>
      </c>
      <c r="Q3068" s="12" t="s">
        <v>16914</v>
      </c>
      <c r="R3068" s="8" t="s">
        <v>29</v>
      </c>
      <c r="S3068" s="7" t="s">
        <v>28</v>
      </c>
      <c r="T3068" s="6"/>
      <c r="U3068" s="8"/>
    </row>
    <row r="3069" spans="1:21" ht="13.5" customHeight="1">
      <c r="A3069" s="8" t="s">
        <v>3288</v>
      </c>
      <c r="B3069" s="16" t="s">
        <v>16901</v>
      </c>
      <c r="C3069" s="8" t="s">
        <v>20</v>
      </c>
      <c r="D3069" s="8" t="s">
        <v>30</v>
      </c>
      <c r="F3069" s="17">
        <v>41419</v>
      </c>
      <c r="G3069" s="8" t="s">
        <v>16902</v>
      </c>
      <c r="H3069" s="8" t="s">
        <v>493</v>
      </c>
      <c r="I3069" s="8" t="s">
        <v>45</v>
      </c>
      <c r="J3069" s="16" t="s">
        <v>16903</v>
      </c>
      <c r="K3069" s="2" t="s">
        <v>98</v>
      </c>
      <c r="L3069" s="8" t="s">
        <v>494</v>
      </c>
      <c r="M3069" s="8" t="s">
        <v>3407</v>
      </c>
      <c r="N3069" s="8" t="s">
        <v>16904</v>
      </c>
      <c r="O3069" s="8" t="s">
        <v>1018</v>
      </c>
      <c r="P3069" s="8" t="s">
        <v>405</v>
      </c>
      <c r="Q3069" s="12" t="s">
        <v>16905</v>
      </c>
      <c r="R3069" s="8" t="s">
        <v>100</v>
      </c>
      <c r="S3069" s="7" t="s">
        <v>28</v>
      </c>
      <c r="T3069" s="6"/>
      <c r="U3069" s="8"/>
    </row>
    <row r="3070" spans="1:21" ht="13.5" customHeight="1">
      <c r="A3070" s="8" t="s">
        <v>3288</v>
      </c>
      <c r="B3070" s="16">
        <v>23</v>
      </c>
      <c r="C3070" s="8" t="s">
        <v>20</v>
      </c>
      <c r="D3070" s="8" t="s">
        <v>30</v>
      </c>
      <c r="F3070" s="17">
        <v>41419</v>
      </c>
      <c r="G3070" s="8" t="s">
        <v>16906</v>
      </c>
      <c r="H3070" s="8" t="s">
        <v>1110</v>
      </c>
      <c r="I3070" s="8" t="s">
        <v>408</v>
      </c>
      <c r="J3070" s="16" t="s">
        <v>11893</v>
      </c>
      <c r="K3070" s="2" t="s">
        <v>1110</v>
      </c>
      <c r="L3070" s="8" t="s">
        <v>1111</v>
      </c>
      <c r="M3070" s="8" t="s">
        <v>27</v>
      </c>
      <c r="N3070" s="8" t="s">
        <v>16907</v>
      </c>
      <c r="O3070" s="8" t="s">
        <v>404</v>
      </c>
      <c r="P3070" s="8" t="s">
        <v>405</v>
      </c>
      <c r="Q3070" s="12" t="s">
        <v>16908</v>
      </c>
      <c r="R3070" s="8" t="s">
        <v>29</v>
      </c>
      <c r="S3070" s="7" t="s">
        <v>28</v>
      </c>
      <c r="T3070" s="6"/>
      <c r="U3070" s="8"/>
    </row>
    <row r="3071" spans="1:21" ht="13.5" customHeight="1">
      <c r="A3071" s="8" t="s">
        <v>16923</v>
      </c>
      <c r="B3071" s="16">
        <v>47</v>
      </c>
      <c r="C3071" s="8" t="s">
        <v>20</v>
      </c>
      <c r="D3071" s="8" t="s">
        <v>48</v>
      </c>
      <c r="F3071" s="17">
        <v>41418</v>
      </c>
      <c r="G3071" s="8" t="s">
        <v>16924</v>
      </c>
      <c r="H3071" s="8" t="s">
        <v>158</v>
      </c>
      <c r="I3071" s="8" t="s">
        <v>45</v>
      </c>
      <c r="J3071" s="16" t="s">
        <v>16925</v>
      </c>
      <c r="K3071" s="2" t="s">
        <v>158</v>
      </c>
      <c r="L3071" s="8" t="s">
        <v>159</v>
      </c>
      <c r="M3071" s="8" t="s">
        <v>27</v>
      </c>
      <c r="N3071" s="8" t="s">
        <v>16926</v>
      </c>
      <c r="O3071" s="8" t="s">
        <v>29</v>
      </c>
      <c r="P3071" s="8" t="s">
        <v>405</v>
      </c>
      <c r="Q3071" s="12" t="s">
        <v>16927</v>
      </c>
      <c r="R3071" s="8" t="s">
        <v>100</v>
      </c>
      <c r="S3071" s="7" t="s">
        <v>28</v>
      </c>
      <c r="T3071" s="6"/>
      <c r="U3071" s="8"/>
    </row>
    <row r="3072" spans="1:21" ht="13.5" customHeight="1">
      <c r="A3072" s="8" t="s">
        <v>16928</v>
      </c>
      <c r="B3072" s="16">
        <v>72</v>
      </c>
      <c r="C3072" s="8" t="s">
        <v>20</v>
      </c>
      <c r="D3072" s="8" t="s">
        <v>30</v>
      </c>
      <c r="F3072" s="17">
        <v>41418</v>
      </c>
      <c r="G3072" s="8" t="s">
        <v>16929</v>
      </c>
      <c r="H3072" s="8" t="s">
        <v>16930</v>
      </c>
      <c r="I3072" s="8" t="s">
        <v>306</v>
      </c>
      <c r="J3072" s="16" t="s">
        <v>16931</v>
      </c>
      <c r="K3072" s="2" t="s">
        <v>2169</v>
      </c>
      <c r="L3072" s="8" t="s">
        <v>16932</v>
      </c>
      <c r="M3072" s="8" t="s">
        <v>383</v>
      </c>
      <c r="N3072" s="8" t="s">
        <v>16933</v>
      </c>
      <c r="O3072" s="8" t="s">
        <v>1018</v>
      </c>
      <c r="P3072" s="8" t="s">
        <v>405</v>
      </c>
      <c r="Q3072" s="12" t="s">
        <v>16934</v>
      </c>
      <c r="R3072" s="8" t="s">
        <v>100</v>
      </c>
      <c r="S3072" s="7" t="s">
        <v>28</v>
      </c>
      <c r="T3072" s="6"/>
      <c r="U3072" s="8"/>
    </row>
    <row r="3073" spans="1:34" ht="13.5" customHeight="1">
      <c r="A3073" s="8" t="s">
        <v>16955</v>
      </c>
      <c r="B3073" s="16">
        <v>42</v>
      </c>
      <c r="C3073" s="8" t="s">
        <v>20</v>
      </c>
      <c r="D3073" s="8" t="s">
        <v>37</v>
      </c>
      <c r="E3073" s="8" t="s">
        <v>16956</v>
      </c>
      <c r="F3073" s="17">
        <v>41418</v>
      </c>
      <c r="G3073" s="8" t="s">
        <v>16957</v>
      </c>
      <c r="H3073" s="8" t="s">
        <v>1658</v>
      </c>
      <c r="I3073" s="8" t="s">
        <v>45</v>
      </c>
      <c r="J3073" s="16" t="s">
        <v>16912</v>
      </c>
      <c r="K3073" s="2" t="s">
        <v>1658</v>
      </c>
      <c r="L3073" s="8" t="s">
        <v>2346</v>
      </c>
      <c r="M3073" s="8" t="s">
        <v>27</v>
      </c>
      <c r="N3073" s="8" t="s">
        <v>16913</v>
      </c>
      <c r="O3073" s="8" t="s">
        <v>1018</v>
      </c>
      <c r="P3073" s="8" t="s">
        <v>405</v>
      </c>
      <c r="Q3073" s="12" t="s">
        <v>16958</v>
      </c>
      <c r="R3073" s="8" t="s">
        <v>100</v>
      </c>
      <c r="S3073" s="7" t="s">
        <v>28</v>
      </c>
      <c r="T3073" s="6"/>
      <c r="U3073" s="8"/>
    </row>
    <row r="3074" spans="1:34" ht="13.5" customHeight="1">
      <c r="A3074" s="8" t="s">
        <v>16947</v>
      </c>
      <c r="B3074" s="16" t="s">
        <v>16948</v>
      </c>
      <c r="C3074" s="8" t="s">
        <v>20</v>
      </c>
      <c r="D3074" s="8" t="s">
        <v>37</v>
      </c>
      <c r="E3074" s="8" t="s">
        <v>16949</v>
      </c>
      <c r="F3074" s="17">
        <v>41418</v>
      </c>
      <c r="G3074" s="8" t="s">
        <v>16950</v>
      </c>
      <c r="H3074" s="8" t="s">
        <v>11208</v>
      </c>
      <c r="I3074" s="8" t="s">
        <v>41</v>
      </c>
      <c r="J3074" s="16" t="s">
        <v>16951</v>
      </c>
      <c r="K3074" s="2" t="s">
        <v>4944</v>
      </c>
      <c r="L3074" s="8" t="s">
        <v>16952</v>
      </c>
      <c r="M3074" s="8" t="s">
        <v>27</v>
      </c>
      <c r="N3074" s="8" t="s">
        <v>16953</v>
      </c>
      <c r="O3074" s="8" t="s">
        <v>29</v>
      </c>
      <c r="P3074" s="8" t="s">
        <v>405</v>
      </c>
      <c r="Q3074" s="12" t="s">
        <v>16954</v>
      </c>
      <c r="R3074" s="8" t="s">
        <v>29</v>
      </c>
      <c r="S3074" s="7" t="s">
        <v>28</v>
      </c>
      <c r="T3074" s="6"/>
      <c r="U3074" s="8"/>
    </row>
    <row r="3075" spans="1:34" ht="13.5" customHeight="1">
      <c r="A3075" s="8" t="s">
        <v>16941</v>
      </c>
      <c r="B3075" s="16" t="s">
        <v>10999</v>
      </c>
      <c r="C3075" s="8" t="s">
        <v>20</v>
      </c>
      <c r="D3075" s="8" t="s">
        <v>37</v>
      </c>
      <c r="F3075" s="17">
        <v>41418</v>
      </c>
      <c r="G3075" s="8" t="s">
        <v>16942</v>
      </c>
      <c r="H3075" s="8" t="s">
        <v>1220</v>
      </c>
      <c r="I3075" s="8" t="s">
        <v>306</v>
      </c>
      <c r="J3075" s="16" t="s">
        <v>16943</v>
      </c>
      <c r="K3075" s="2" t="s">
        <v>1221</v>
      </c>
      <c r="L3075" s="8" t="s">
        <v>16944</v>
      </c>
      <c r="M3075" s="8" t="s">
        <v>27</v>
      </c>
      <c r="N3075" s="8" t="s">
        <v>16945</v>
      </c>
      <c r="O3075" s="8" t="s">
        <v>29</v>
      </c>
      <c r="P3075" s="8" t="s">
        <v>405</v>
      </c>
      <c r="Q3075" s="12" t="s">
        <v>16946</v>
      </c>
      <c r="R3075" s="8" t="s">
        <v>972</v>
      </c>
      <c r="S3075" s="7" t="s">
        <v>28</v>
      </c>
      <c r="T3075" s="6"/>
      <c r="U3075" s="8"/>
    </row>
    <row r="3076" spans="1:34" ht="13.5" customHeight="1">
      <c r="A3076" s="8" t="s">
        <v>16935</v>
      </c>
      <c r="B3076" s="16">
        <v>49</v>
      </c>
      <c r="C3076" s="8" t="s">
        <v>20</v>
      </c>
      <c r="D3076" s="8" t="s">
        <v>30</v>
      </c>
      <c r="F3076" s="17">
        <v>41418</v>
      </c>
      <c r="G3076" s="8" t="s">
        <v>16936</v>
      </c>
      <c r="H3076" s="8" t="s">
        <v>16937</v>
      </c>
      <c r="I3076" s="8" t="s">
        <v>862</v>
      </c>
      <c r="J3076" s="16" t="s">
        <v>16938</v>
      </c>
      <c r="K3076" s="2" t="s">
        <v>4631</v>
      </c>
      <c r="L3076" s="8" t="s">
        <v>5088</v>
      </c>
      <c r="M3076" s="8" t="s">
        <v>27</v>
      </c>
      <c r="N3076" s="8" t="s">
        <v>16939</v>
      </c>
      <c r="O3076" s="8" t="s">
        <v>554</v>
      </c>
      <c r="P3076" s="8" t="s">
        <v>405</v>
      </c>
      <c r="Q3076" s="12" t="s">
        <v>16940</v>
      </c>
      <c r="R3076" s="8" t="s">
        <v>100</v>
      </c>
      <c r="S3076" s="7" t="s">
        <v>28</v>
      </c>
      <c r="T3076" s="6"/>
      <c r="U3076" s="8"/>
      <c r="V3076" s="8"/>
      <c r="W3076" s="8"/>
      <c r="X3076" s="8"/>
    </row>
    <row r="3077" spans="1:34" ht="13.5" customHeight="1">
      <c r="A3077" s="8" t="s">
        <v>16974</v>
      </c>
      <c r="B3077" s="16">
        <v>28</v>
      </c>
      <c r="C3077" s="8" t="s">
        <v>20</v>
      </c>
      <c r="D3077" s="8" t="s">
        <v>30</v>
      </c>
      <c r="F3077" s="17">
        <v>41417</v>
      </c>
      <c r="G3077" s="8" t="s">
        <v>16975</v>
      </c>
      <c r="H3077" s="8" t="s">
        <v>762</v>
      </c>
      <c r="I3077" s="8" t="s">
        <v>427</v>
      </c>
      <c r="J3077" s="16" t="s">
        <v>16976</v>
      </c>
      <c r="K3077" s="2" t="s">
        <v>1729</v>
      </c>
      <c r="L3077" s="8" t="s">
        <v>586</v>
      </c>
      <c r="M3077" s="8" t="s">
        <v>27</v>
      </c>
      <c r="N3077" s="8" t="s">
        <v>16977</v>
      </c>
      <c r="O3077" s="8" t="s">
        <v>1018</v>
      </c>
      <c r="P3077" s="8" t="s">
        <v>405</v>
      </c>
      <c r="Q3077" s="12"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3077" s="8" t="s">
        <v>559</v>
      </c>
      <c r="S3077" s="7" t="s">
        <v>28</v>
      </c>
      <c r="T3077" s="6"/>
      <c r="U3077" s="8"/>
    </row>
    <row r="3078" spans="1:34" ht="13.5" customHeight="1">
      <c r="A3078" s="8" t="s">
        <v>16959</v>
      </c>
      <c r="B3078" s="16">
        <v>27</v>
      </c>
      <c r="C3078" s="8" t="s">
        <v>20</v>
      </c>
      <c r="D3078" s="8" t="s">
        <v>85</v>
      </c>
      <c r="F3078" s="17">
        <v>41417</v>
      </c>
      <c r="G3078" s="8" t="s">
        <v>16960</v>
      </c>
      <c r="H3078" s="8" t="s">
        <v>5259</v>
      </c>
      <c r="I3078" s="8" t="s">
        <v>45</v>
      </c>
      <c r="J3078" s="16" t="s">
        <v>9068</v>
      </c>
      <c r="K3078" s="2" t="s">
        <v>98</v>
      </c>
      <c r="L3078" s="8" t="s">
        <v>5043</v>
      </c>
      <c r="M3078" s="8" t="s">
        <v>27</v>
      </c>
      <c r="N3078" s="8" t="s">
        <v>16961</v>
      </c>
      <c r="O3078" s="8" t="s">
        <v>1018</v>
      </c>
      <c r="P3078" s="8" t="s">
        <v>405</v>
      </c>
      <c r="Q3078" s="12" t="s">
        <v>16962</v>
      </c>
      <c r="R3078" s="8" t="s">
        <v>100</v>
      </c>
      <c r="S3078" s="7" t="s">
        <v>28</v>
      </c>
      <c r="T3078" s="6"/>
      <c r="U3078" s="8"/>
    </row>
    <row r="3079" spans="1:34" ht="13.5" customHeight="1">
      <c r="A3079" s="8" t="s">
        <v>16969</v>
      </c>
      <c r="B3079" s="16">
        <v>49</v>
      </c>
      <c r="C3079" s="8" t="s">
        <v>20</v>
      </c>
      <c r="D3079" s="8" t="s">
        <v>30</v>
      </c>
      <c r="F3079" s="17">
        <v>41417</v>
      </c>
      <c r="G3079" s="8" t="s">
        <v>16970</v>
      </c>
      <c r="H3079" s="8" t="s">
        <v>219</v>
      </c>
      <c r="I3079" s="8" t="s">
        <v>220</v>
      </c>
      <c r="J3079" s="16" t="s">
        <v>16971</v>
      </c>
      <c r="K3079" s="2" t="s">
        <v>424</v>
      </c>
      <c r="L3079" s="8" t="s">
        <v>221</v>
      </c>
      <c r="M3079" s="8" t="s">
        <v>383</v>
      </c>
      <c r="N3079" s="8" t="s">
        <v>16972</v>
      </c>
      <c r="O3079" s="8" t="s">
        <v>1018</v>
      </c>
      <c r="P3079" s="8" t="s">
        <v>405</v>
      </c>
      <c r="Q3079" s="12" t="s">
        <v>16973</v>
      </c>
      <c r="R3079" s="8" t="s">
        <v>100</v>
      </c>
      <c r="S3079" s="7" t="s">
        <v>28</v>
      </c>
      <c r="T3079" s="6"/>
      <c r="U3079" s="8"/>
    </row>
    <row r="3080" spans="1:34" ht="13.5" customHeight="1">
      <c r="A3080" s="8" t="s">
        <v>16963</v>
      </c>
      <c r="B3080" s="16" t="s">
        <v>8581</v>
      </c>
      <c r="C3080" s="8" t="s">
        <v>20</v>
      </c>
      <c r="D3080" s="8" t="s">
        <v>85</v>
      </c>
      <c r="E3080" s="8" t="s">
        <v>16964</v>
      </c>
      <c r="F3080" s="17">
        <v>41417</v>
      </c>
      <c r="G3080" s="8" t="s">
        <v>16965</v>
      </c>
      <c r="H3080" s="8" t="s">
        <v>783</v>
      </c>
      <c r="I3080" s="8" t="s">
        <v>69</v>
      </c>
      <c r="J3080" s="16" t="s">
        <v>16966</v>
      </c>
      <c r="K3080" s="2" t="s">
        <v>784</v>
      </c>
      <c r="L3080" s="8" t="s">
        <v>785</v>
      </c>
      <c r="M3080" s="8" t="s">
        <v>27</v>
      </c>
      <c r="N3080" s="8" t="s">
        <v>16967</v>
      </c>
      <c r="O3080" s="8" t="s">
        <v>29</v>
      </c>
      <c r="P3080" s="8" t="s">
        <v>405</v>
      </c>
      <c r="Q3080" s="12" t="s">
        <v>16968</v>
      </c>
      <c r="R3080" s="8" t="s">
        <v>100</v>
      </c>
      <c r="S3080" s="7" t="s">
        <v>28</v>
      </c>
      <c r="T3080" s="6"/>
      <c r="U3080" s="8"/>
    </row>
    <row r="3081" spans="1:34" ht="13.5" customHeight="1">
      <c r="A3081" s="8" t="s">
        <v>16978</v>
      </c>
      <c r="B3081" s="16" t="s">
        <v>16077</v>
      </c>
      <c r="C3081" s="8" t="s">
        <v>20</v>
      </c>
      <c r="D3081" s="8" t="s">
        <v>85</v>
      </c>
      <c r="E3081" s="8" t="s">
        <v>16979</v>
      </c>
      <c r="F3081" s="17">
        <v>41416</v>
      </c>
      <c r="G3081" s="8" t="s">
        <v>16980</v>
      </c>
      <c r="H3081" s="8" t="s">
        <v>343</v>
      </c>
      <c r="I3081" s="8" t="s">
        <v>247</v>
      </c>
      <c r="J3081" s="16" t="s">
        <v>16981</v>
      </c>
      <c r="K3081" s="2" t="s">
        <v>16982</v>
      </c>
      <c r="L3081" s="8" t="s">
        <v>16983</v>
      </c>
      <c r="M3081" s="8" t="s">
        <v>27</v>
      </c>
      <c r="N3081" s="8" t="s">
        <v>16984</v>
      </c>
      <c r="O3081" s="8" t="s">
        <v>16985</v>
      </c>
      <c r="P3081" s="8" t="s">
        <v>21081</v>
      </c>
      <c r="Q3081" s="12" t="s">
        <v>16986</v>
      </c>
      <c r="R3081" s="8" t="s">
        <v>29</v>
      </c>
      <c r="S3081" s="7" t="s">
        <v>18</v>
      </c>
      <c r="T3081" s="6"/>
      <c r="U3081" s="8"/>
      <c r="Y3081" s="8"/>
      <c r="Z3081" s="8"/>
      <c r="AA3081" s="8"/>
      <c r="AB3081" s="8"/>
      <c r="AC3081" s="8"/>
      <c r="AD3081" s="8"/>
      <c r="AE3081" s="8"/>
      <c r="AF3081" s="8"/>
      <c r="AG3081" s="8"/>
      <c r="AH3081" s="8"/>
    </row>
    <row r="3082" spans="1:34" ht="13.5" customHeight="1">
      <c r="A3082" s="8" t="s">
        <v>16987</v>
      </c>
      <c r="B3082" s="16" t="s">
        <v>13608</v>
      </c>
      <c r="C3082" s="8" t="s">
        <v>20</v>
      </c>
      <c r="D3082" s="8" t="s">
        <v>85</v>
      </c>
      <c r="F3082" s="17">
        <v>41416</v>
      </c>
      <c r="G3082" s="8" t="s">
        <v>16988</v>
      </c>
      <c r="H3082" s="8" t="s">
        <v>1110</v>
      </c>
      <c r="I3082" s="8" t="s">
        <v>408</v>
      </c>
      <c r="J3082" s="16" t="s">
        <v>16989</v>
      </c>
      <c r="K3082" s="2" t="s">
        <v>1110</v>
      </c>
      <c r="L3082" s="8" t="s">
        <v>1111</v>
      </c>
      <c r="M3082" s="8" t="s">
        <v>27</v>
      </c>
      <c r="N3082" s="8" t="s">
        <v>16990</v>
      </c>
      <c r="O3082" s="8" t="s">
        <v>29</v>
      </c>
      <c r="P3082" s="8" t="s">
        <v>405</v>
      </c>
      <c r="Q3082" s="12" t="s">
        <v>16991</v>
      </c>
      <c r="R3082" s="8" t="s">
        <v>100</v>
      </c>
      <c r="S3082" s="7" t="s">
        <v>28</v>
      </c>
      <c r="T3082" s="6"/>
      <c r="U3082" s="8"/>
    </row>
    <row r="3083" spans="1:34" ht="13.5" customHeight="1">
      <c r="A3083" s="8" t="s">
        <v>16995</v>
      </c>
      <c r="B3083" s="16" t="s">
        <v>13716</v>
      </c>
      <c r="C3083" s="8" t="s">
        <v>20</v>
      </c>
      <c r="D3083" s="8" t="s">
        <v>37</v>
      </c>
      <c r="E3083" s="8" t="s">
        <v>16996</v>
      </c>
      <c r="F3083" s="17">
        <v>41416</v>
      </c>
      <c r="G3083" s="8" t="s">
        <v>16997</v>
      </c>
      <c r="H3083" s="8" t="s">
        <v>1069</v>
      </c>
      <c r="I3083" s="8" t="s">
        <v>62</v>
      </c>
      <c r="J3083" s="16" t="s">
        <v>16998</v>
      </c>
      <c r="K3083" s="2" t="s">
        <v>1070</v>
      </c>
      <c r="L3083" s="8" t="s">
        <v>409</v>
      </c>
      <c r="M3083" s="8" t="s">
        <v>27</v>
      </c>
      <c r="N3083" s="8" t="s">
        <v>16999</v>
      </c>
      <c r="O3083" s="8" t="s">
        <v>29</v>
      </c>
      <c r="P3083" s="8" t="s">
        <v>405</v>
      </c>
      <c r="Q3083" s="12" t="s">
        <v>17000</v>
      </c>
      <c r="R3083" s="8" t="s">
        <v>29</v>
      </c>
      <c r="S3083" s="7" t="s">
        <v>28</v>
      </c>
      <c r="T3083" s="6"/>
      <c r="U3083" s="8"/>
    </row>
    <row r="3084" spans="1:34" ht="13.5" customHeight="1">
      <c r="A3084" s="8" t="s">
        <v>3288</v>
      </c>
      <c r="C3084" s="8" t="s">
        <v>20</v>
      </c>
      <c r="D3084" s="8" t="s">
        <v>30</v>
      </c>
      <c r="F3084" s="17">
        <v>41416</v>
      </c>
      <c r="G3084" s="8" t="s">
        <v>16992</v>
      </c>
      <c r="H3084" s="8" t="s">
        <v>1110</v>
      </c>
      <c r="I3084" s="8" t="s">
        <v>408</v>
      </c>
      <c r="J3084" s="16" t="s">
        <v>16993</v>
      </c>
      <c r="K3084" s="2" t="s">
        <v>1110</v>
      </c>
      <c r="L3084" s="8" t="s">
        <v>1111</v>
      </c>
      <c r="M3084" s="8" t="s">
        <v>27</v>
      </c>
      <c r="N3084" s="8" t="s">
        <v>16994</v>
      </c>
      <c r="O3084" s="8" t="s">
        <v>1018</v>
      </c>
      <c r="P3084" s="8" t="s">
        <v>405</v>
      </c>
      <c r="Q3084" s="12" t="s">
        <v>16991</v>
      </c>
      <c r="R3084" s="8" t="s">
        <v>100</v>
      </c>
      <c r="S3084" s="7" t="s">
        <v>28</v>
      </c>
      <c r="T3084" s="6"/>
      <c r="U3084" s="8"/>
    </row>
    <row r="3085" spans="1:34" ht="13.5" customHeight="1">
      <c r="A3085" s="8" t="s">
        <v>16978</v>
      </c>
      <c r="B3085" s="16" t="s">
        <v>16077</v>
      </c>
      <c r="C3085" s="8" t="s">
        <v>20</v>
      </c>
      <c r="D3085" s="8" t="s">
        <v>85</v>
      </c>
      <c r="E3085" s="8" t="s">
        <v>16979</v>
      </c>
      <c r="F3085" s="17">
        <v>41416</v>
      </c>
      <c r="G3085" s="8" t="s">
        <v>16980</v>
      </c>
      <c r="H3085" s="8" t="s">
        <v>343</v>
      </c>
      <c r="I3085" s="8" t="s">
        <v>247</v>
      </c>
      <c r="J3085" s="16" t="s">
        <v>16981</v>
      </c>
      <c r="K3085" s="2" t="s">
        <v>16982</v>
      </c>
      <c r="L3085" s="8" t="s">
        <v>16983</v>
      </c>
      <c r="M3085" s="8" t="s">
        <v>27</v>
      </c>
      <c r="N3085" s="8" t="s">
        <v>16984</v>
      </c>
      <c r="O3085" s="8" t="s">
        <v>16985</v>
      </c>
      <c r="P3085" s="8" t="s">
        <v>16985</v>
      </c>
      <c r="Q3085" s="12" t="s">
        <v>16986</v>
      </c>
      <c r="R3085" s="8" t="s">
        <v>29</v>
      </c>
      <c r="S3085" s="7" t="s">
        <v>18</v>
      </c>
      <c r="T3085" s="6"/>
      <c r="U3085" s="8"/>
      <c r="Y3085" s="8"/>
      <c r="Z3085" s="8"/>
      <c r="AA3085" s="8"/>
      <c r="AB3085" s="8"/>
      <c r="AC3085" s="8"/>
      <c r="AD3085" s="8"/>
      <c r="AE3085" s="8"/>
      <c r="AF3085" s="8"/>
      <c r="AG3085" s="8"/>
      <c r="AH3085" s="8"/>
    </row>
    <row r="3086" spans="1:34" ht="13.5" customHeight="1">
      <c r="A3086" s="8" t="s">
        <v>17001</v>
      </c>
      <c r="B3086" s="16">
        <v>18</v>
      </c>
      <c r="C3086" s="8" t="s">
        <v>20</v>
      </c>
      <c r="D3086" s="8" t="s">
        <v>48</v>
      </c>
      <c r="F3086" s="17">
        <v>41415</v>
      </c>
      <c r="G3086" s="8" t="s">
        <v>17002</v>
      </c>
      <c r="H3086" s="8" t="s">
        <v>98</v>
      </c>
      <c r="I3086" s="8" t="s">
        <v>45</v>
      </c>
      <c r="J3086" s="16" t="s">
        <v>3036</v>
      </c>
      <c r="K3086" s="2" t="s">
        <v>98</v>
      </c>
      <c r="L3086" s="8" t="s">
        <v>99</v>
      </c>
      <c r="M3086" s="8" t="s">
        <v>27</v>
      </c>
      <c r="N3086" s="8" t="s">
        <v>17003</v>
      </c>
      <c r="O3086" s="8" t="s">
        <v>1018</v>
      </c>
      <c r="P3086" s="8" t="s">
        <v>405</v>
      </c>
      <c r="Q3086" s="12" t="s">
        <v>17004</v>
      </c>
      <c r="R3086" s="8" t="s">
        <v>100</v>
      </c>
      <c r="S3086" s="7" t="s">
        <v>28</v>
      </c>
      <c r="T3086" s="6"/>
      <c r="U3086" s="8"/>
    </row>
    <row r="3087" spans="1:34" ht="13.5" customHeight="1">
      <c r="A3087" s="8" t="s">
        <v>17005</v>
      </c>
      <c r="B3087" s="16" t="s">
        <v>8868</v>
      </c>
      <c r="C3087" s="8" t="s">
        <v>20</v>
      </c>
      <c r="D3087" s="8" t="s">
        <v>85</v>
      </c>
      <c r="E3087" s="8" t="s">
        <v>17006</v>
      </c>
      <c r="F3087" s="17">
        <v>41414</v>
      </c>
      <c r="G3087" s="8" t="s">
        <v>17007</v>
      </c>
      <c r="H3087" s="8" t="s">
        <v>3403</v>
      </c>
      <c r="I3087" s="8" t="s">
        <v>247</v>
      </c>
      <c r="J3087" s="16" t="s">
        <v>17008</v>
      </c>
      <c r="K3087" s="2" t="s">
        <v>17009</v>
      </c>
      <c r="L3087" s="8" t="s">
        <v>17010</v>
      </c>
      <c r="M3087" s="8" t="s">
        <v>27</v>
      </c>
      <c r="N3087" s="8" t="s">
        <v>17011</v>
      </c>
      <c r="O3087" s="8" t="s">
        <v>554</v>
      </c>
      <c r="P3087" s="8" t="s">
        <v>405</v>
      </c>
      <c r="Q3087" s="12" t="s">
        <v>17012</v>
      </c>
      <c r="R3087" s="8" t="s">
        <v>29</v>
      </c>
      <c r="S3087" s="7" t="s">
        <v>28</v>
      </c>
      <c r="T3087" s="6"/>
      <c r="U3087" s="8"/>
      <c r="V3087" s="8"/>
      <c r="W3087" s="8"/>
      <c r="X3087" s="8"/>
    </row>
    <row r="3088" spans="1:34" ht="13.5" customHeight="1">
      <c r="A3088" s="8" t="s">
        <v>17020</v>
      </c>
      <c r="B3088" s="16">
        <v>28</v>
      </c>
      <c r="C3088" s="8" t="s">
        <v>20</v>
      </c>
      <c r="D3088" s="8" t="s">
        <v>48</v>
      </c>
      <c r="E3088" s="8" t="s">
        <v>17021</v>
      </c>
      <c r="F3088" s="17">
        <v>41414</v>
      </c>
      <c r="G3088" s="8" t="s">
        <v>17022</v>
      </c>
      <c r="H3088" s="8" t="s">
        <v>599</v>
      </c>
      <c r="I3088" s="8" t="s">
        <v>73</v>
      </c>
      <c r="J3088" s="16" t="s">
        <v>4796</v>
      </c>
      <c r="K3088" s="2" t="s">
        <v>600</v>
      </c>
      <c r="L3088" s="8" t="s">
        <v>601</v>
      </c>
      <c r="M3088" s="8" t="s">
        <v>27</v>
      </c>
      <c r="N3088" s="8" t="s">
        <v>17023</v>
      </c>
      <c r="O3088" s="8" t="s">
        <v>554</v>
      </c>
      <c r="P3088" s="8" t="s">
        <v>405</v>
      </c>
      <c r="Q3088" s="12" t="s">
        <v>17024</v>
      </c>
      <c r="R3088" s="8" t="s">
        <v>29</v>
      </c>
      <c r="S3088" s="7" t="s">
        <v>28</v>
      </c>
      <c r="T3088" s="6"/>
      <c r="U3088" s="8"/>
    </row>
    <row r="3089" spans="1:39" ht="13.5" customHeight="1">
      <c r="A3089" s="8" t="s">
        <v>17013</v>
      </c>
      <c r="B3089" s="16" t="s">
        <v>16077</v>
      </c>
      <c r="C3089" s="8" t="s">
        <v>20</v>
      </c>
      <c r="D3089" s="8" t="s">
        <v>85</v>
      </c>
      <c r="E3089" s="8" t="s">
        <v>17014</v>
      </c>
      <c r="F3089" s="17">
        <v>41414</v>
      </c>
      <c r="G3089" s="8" t="s">
        <v>17015</v>
      </c>
      <c r="H3089" s="8" t="s">
        <v>3353</v>
      </c>
      <c r="I3089" s="8" t="s">
        <v>247</v>
      </c>
      <c r="J3089" s="16" t="s">
        <v>17016</v>
      </c>
      <c r="K3089" s="2" t="s">
        <v>17017</v>
      </c>
      <c r="L3089" s="8" t="s">
        <v>5114</v>
      </c>
      <c r="M3089" s="8" t="s">
        <v>27</v>
      </c>
      <c r="N3089" s="8" t="s">
        <v>17018</v>
      </c>
      <c r="O3089" s="8" t="s">
        <v>554</v>
      </c>
      <c r="P3089" s="8" t="s">
        <v>405</v>
      </c>
      <c r="Q3089" s="12" t="s">
        <v>17019</v>
      </c>
      <c r="R3089" s="8" t="s">
        <v>100</v>
      </c>
      <c r="S3089" s="7" t="s">
        <v>28</v>
      </c>
      <c r="T3089" s="6"/>
      <c r="U3089" s="8"/>
    </row>
    <row r="3090" spans="1:39" ht="13.5" customHeight="1">
      <c r="A3090" s="8" t="s">
        <v>17044</v>
      </c>
      <c r="C3090" s="8" t="s">
        <v>20</v>
      </c>
      <c r="D3090" s="8" t="s">
        <v>85</v>
      </c>
      <c r="F3090" s="17">
        <v>41412</v>
      </c>
      <c r="G3090" s="8" t="s">
        <v>17045</v>
      </c>
      <c r="H3090" s="8" t="s">
        <v>1204</v>
      </c>
      <c r="I3090" s="8" t="s">
        <v>323</v>
      </c>
      <c r="J3090" s="16">
        <v>38116</v>
      </c>
      <c r="K3090" s="2" t="s">
        <v>1205</v>
      </c>
      <c r="L3090" s="8" t="s">
        <v>1206</v>
      </c>
      <c r="M3090" s="8" t="s">
        <v>383</v>
      </c>
      <c r="N3090" s="8" t="s">
        <v>17046</v>
      </c>
      <c r="O3090" s="8" t="s">
        <v>8865</v>
      </c>
      <c r="P3090" s="8" t="s">
        <v>1171</v>
      </c>
      <c r="Q3090" s="12" t="str">
        <f>HYPERLINK("http://wreg.com/2013/05/30/funeral-escort-riders-say-farewell-to-one-of-their-own/","http://wreg.com/2013/05/30/funeral-escort-riders-say-farewell-to-one-of-their-own/")</f>
        <v>http://wreg.com/2013/05/30/funeral-escort-riders-say-farewell-to-one-of-their-own/</v>
      </c>
      <c r="R3090" s="8" t="s">
        <v>100</v>
      </c>
      <c r="S3090" s="7" t="s">
        <v>28</v>
      </c>
      <c r="T3090" s="6"/>
      <c r="U3090" s="8"/>
    </row>
    <row r="3091" spans="1:39" ht="13.5" customHeight="1">
      <c r="A3091" s="8" t="s">
        <v>17033</v>
      </c>
      <c r="B3091" s="16" t="s">
        <v>13702</v>
      </c>
      <c r="C3091" s="8" t="s">
        <v>20</v>
      </c>
      <c r="D3091" s="8" t="s">
        <v>85</v>
      </c>
      <c r="F3091" s="17">
        <v>41412</v>
      </c>
      <c r="G3091" s="8" t="s">
        <v>17034</v>
      </c>
      <c r="H3091" s="8" t="s">
        <v>8990</v>
      </c>
      <c r="I3091" s="8" t="s">
        <v>45</v>
      </c>
      <c r="J3091" s="16" t="s">
        <v>17035</v>
      </c>
      <c r="K3091" s="2" t="s">
        <v>98</v>
      </c>
      <c r="L3091" s="8" t="s">
        <v>8992</v>
      </c>
      <c r="M3091" s="8" t="s">
        <v>27</v>
      </c>
      <c r="N3091" s="8" t="s">
        <v>17036</v>
      </c>
      <c r="O3091" s="8" t="s">
        <v>29</v>
      </c>
      <c r="P3091" s="8" t="s">
        <v>405</v>
      </c>
      <c r="Q3091" s="12" t="s">
        <v>17037</v>
      </c>
      <c r="R3091" s="8" t="s">
        <v>100</v>
      </c>
      <c r="S3091" s="7" t="s">
        <v>28</v>
      </c>
      <c r="T3091" s="6"/>
      <c r="U3091" s="8"/>
    </row>
    <row r="3092" spans="1:39" ht="13.5" customHeight="1">
      <c r="A3092" s="8" t="s">
        <v>17047</v>
      </c>
      <c r="B3092" s="16" t="s">
        <v>8581</v>
      </c>
      <c r="C3092" s="8" t="s">
        <v>20</v>
      </c>
      <c r="D3092" s="8" t="s">
        <v>37</v>
      </c>
      <c r="E3092" s="8" t="s">
        <v>17048</v>
      </c>
      <c r="F3092" s="17">
        <v>41412</v>
      </c>
      <c r="G3092" s="8" t="s">
        <v>17049</v>
      </c>
      <c r="H3092" s="8" t="s">
        <v>12641</v>
      </c>
      <c r="I3092" s="8" t="s">
        <v>1092</v>
      </c>
      <c r="J3092" s="16" t="s">
        <v>17050</v>
      </c>
      <c r="K3092" s="2" t="s">
        <v>17051</v>
      </c>
      <c r="L3092" s="8" t="s">
        <v>17052</v>
      </c>
      <c r="M3092" s="8" t="s">
        <v>27</v>
      </c>
      <c r="N3092" s="8" t="s">
        <v>17053</v>
      </c>
      <c r="O3092" s="8" t="s">
        <v>29</v>
      </c>
      <c r="P3092" s="8" t="s">
        <v>405</v>
      </c>
      <c r="Q3092" s="12" t="s">
        <v>17054</v>
      </c>
      <c r="R3092" s="8" t="s">
        <v>29</v>
      </c>
      <c r="S3092" s="7" t="s">
        <v>28</v>
      </c>
      <c r="T3092" s="6"/>
      <c r="U3092" s="8"/>
    </row>
    <row r="3093" spans="1:39" ht="13.5" customHeight="1">
      <c r="A3093" s="8" t="s">
        <v>17025</v>
      </c>
      <c r="B3093" s="16" t="s">
        <v>10999</v>
      </c>
      <c r="C3093" s="8" t="s">
        <v>20</v>
      </c>
      <c r="D3093" s="8" t="s">
        <v>85</v>
      </c>
      <c r="E3093" s="8" t="s">
        <v>17026</v>
      </c>
      <c r="F3093" s="17">
        <v>41412</v>
      </c>
      <c r="G3093" s="8" t="s">
        <v>17027</v>
      </c>
      <c r="H3093" s="8" t="s">
        <v>17028</v>
      </c>
      <c r="I3093" s="8" t="s">
        <v>986</v>
      </c>
      <c r="J3093" s="16" t="s">
        <v>17029</v>
      </c>
      <c r="K3093" s="2" t="s">
        <v>987</v>
      </c>
      <c r="L3093" s="8" t="s">
        <v>17030</v>
      </c>
      <c r="M3093" s="8" t="s">
        <v>27</v>
      </c>
      <c r="N3093" s="8" t="s">
        <v>17031</v>
      </c>
      <c r="O3093" s="8" t="s">
        <v>554</v>
      </c>
      <c r="P3093" s="8" t="s">
        <v>405</v>
      </c>
      <c r="Q3093" s="12" t="s">
        <v>17032</v>
      </c>
      <c r="R3093" s="8" t="s">
        <v>100</v>
      </c>
      <c r="S3093" s="7" t="s">
        <v>28</v>
      </c>
      <c r="T3093" s="6"/>
      <c r="U3093" s="8"/>
    </row>
    <row r="3094" spans="1:39" ht="13.5" customHeight="1">
      <c r="A3094" s="8" t="s">
        <v>17038</v>
      </c>
      <c r="B3094" s="16">
        <v>50</v>
      </c>
      <c r="C3094" s="8" t="s">
        <v>20</v>
      </c>
      <c r="D3094" s="8" t="s">
        <v>85</v>
      </c>
      <c r="E3094" s="8" t="s">
        <v>17039</v>
      </c>
      <c r="F3094" s="17">
        <v>41412</v>
      </c>
      <c r="G3094" s="8" t="s">
        <v>17040</v>
      </c>
      <c r="H3094" s="8" t="s">
        <v>98</v>
      </c>
      <c r="I3094" s="8" t="s">
        <v>45</v>
      </c>
      <c r="J3094" s="16" t="s">
        <v>17041</v>
      </c>
      <c r="K3094" s="2" t="s">
        <v>98</v>
      </c>
      <c r="L3094" s="8" t="s">
        <v>418</v>
      </c>
      <c r="M3094" s="8" t="s">
        <v>27</v>
      </c>
      <c r="N3094" s="8" t="s">
        <v>17042</v>
      </c>
      <c r="O3094" s="8" t="s">
        <v>29</v>
      </c>
      <c r="P3094" s="8" t="s">
        <v>405</v>
      </c>
      <c r="Q3094" s="12" t="s">
        <v>17043</v>
      </c>
      <c r="R3094" s="8" t="s">
        <v>100</v>
      </c>
      <c r="S3094" s="7" t="s">
        <v>28</v>
      </c>
      <c r="T3094" s="6"/>
      <c r="U3094" s="8"/>
    </row>
    <row r="3095" spans="1:39" ht="13.5" customHeight="1">
      <c r="A3095" s="8" t="s">
        <v>17079</v>
      </c>
      <c r="B3095" s="16" t="s">
        <v>16209</v>
      </c>
      <c r="C3095" s="8" t="s">
        <v>115</v>
      </c>
      <c r="D3095" s="8" t="s">
        <v>48</v>
      </c>
      <c r="E3095" s="8" t="s">
        <v>17080</v>
      </c>
      <c r="F3095" s="17">
        <v>41411</v>
      </c>
      <c r="G3095" s="8" t="s">
        <v>17064</v>
      </c>
      <c r="H3095" s="8" t="s">
        <v>17065</v>
      </c>
      <c r="I3095" s="8" t="s">
        <v>427</v>
      </c>
      <c r="J3095" s="16" t="s">
        <v>17066</v>
      </c>
      <c r="K3095" s="2" t="s">
        <v>5657</v>
      </c>
      <c r="L3095" s="8" t="s">
        <v>17067</v>
      </c>
      <c r="M3095" s="8" t="s">
        <v>27</v>
      </c>
      <c r="N3095" s="8" t="s">
        <v>17081</v>
      </c>
      <c r="O3095" s="8" t="s">
        <v>554</v>
      </c>
      <c r="P3095" s="8" t="s">
        <v>405</v>
      </c>
      <c r="Q3095" s="12" t="s">
        <v>17082</v>
      </c>
      <c r="R3095" s="8" t="s">
        <v>100</v>
      </c>
      <c r="S3095" s="7" t="s">
        <v>28</v>
      </c>
      <c r="T3095" s="6"/>
      <c r="U3095" s="8"/>
    </row>
    <row r="3096" spans="1:39" ht="13.5" customHeight="1">
      <c r="A3096" s="8" t="s">
        <v>17083</v>
      </c>
      <c r="B3096" s="16">
        <v>43</v>
      </c>
      <c r="C3096" s="8" t="s">
        <v>20</v>
      </c>
      <c r="D3096" s="8" t="s">
        <v>37</v>
      </c>
      <c r="E3096" s="8" t="s">
        <v>17084</v>
      </c>
      <c r="F3096" s="17">
        <v>41411</v>
      </c>
      <c r="G3096" s="8" t="s">
        <v>17085</v>
      </c>
      <c r="H3096" s="8" t="s">
        <v>2179</v>
      </c>
      <c r="I3096" s="8" t="s">
        <v>442</v>
      </c>
      <c r="J3096" s="16">
        <v>53704</v>
      </c>
      <c r="K3096" s="2" t="s">
        <v>9877</v>
      </c>
      <c r="L3096" s="8" t="s">
        <v>3887</v>
      </c>
      <c r="M3096" s="8" t="s">
        <v>27</v>
      </c>
      <c r="N3096" s="8" t="s">
        <v>17086</v>
      </c>
      <c r="O3096" s="8" t="s">
        <v>554</v>
      </c>
      <c r="P3096" s="8" t="s">
        <v>405</v>
      </c>
      <c r="Q3096" s="12" t="s">
        <v>17087</v>
      </c>
      <c r="R3096" s="8" t="s">
        <v>559</v>
      </c>
      <c r="S3096" s="7" t="s">
        <v>28</v>
      </c>
      <c r="T3096" s="6"/>
      <c r="U3096" s="8"/>
    </row>
    <row r="3097" spans="1:39" ht="13.5" customHeight="1">
      <c r="A3097" s="8" t="s">
        <v>17062</v>
      </c>
      <c r="B3097" s="16">
        <v>30</v>
      </c>
      <c r="C3097" s="8" t="s">
        <v>20</v>
      </c>
      <c r="D3097" s="8" t="s">
        <v>85</v>
      </c>
      <c r="E3097" s="8" t="s">
        <v>17063</v>
      </c>
      <c r="F3097" s="17">
        <v>41411</v>
      </c>
      <c r="G3097" s="8" t="s">
        <v>17064</v>
      </c>
      <c r="H3097" s="8" t="s">
        <v>17065</v>
      </c>
      <c r="I3097" s="8" t="s">
        <v>427</v>
      </c>
      <c r="J3097" s="16" t="s">
        <v>17066</v>
      </c>
      <c r="K3097" s="2" t="s">
        <v>5657</v>
      </c>
      <c r="L3097" s="8" t="s">
        <v>17067</v>
      </c>
      <c r="M3097" s="8" t="s">
        <v>27</v>
      </c>
      <c r="N3097" s="8" t="s">
        <v>17068</v>
      </c>
      <c r="O3097" s="8" t="s">
        <v>554</v>
      </c>
      <c r="P3097" s="8" t="s">
        <v>405</v>
      </c>
      <c r="Q3097" s="12" t="s">
        <v>17069</v>
      </c>
      <c r="R3097" s="8" t="s">
        <v>100</v>
      </c>
      <c r="S3097" s="7" t="s">
        <v>28</v>
      </c>
      <c r="T3097" s="6"/>
      <c r="U3097" s="8"/>
    </row>
    <row r="3098" spans="1:39" ht="13.5" customHeight="1">
      <c r="A3098" s="8" t="s">
        <v>17070</v>
      </c>
      <c r="B3098" s="16">
        <v>44</v>
      </c>
      <c r="C3098" s="8" t="s">
        <v>20</v>
      </c>
      <c r="D3098" s="8" t="s">
        <v>48</v>
      </c>
      <c r="E3098" s="8" t="s">
        <v>17071</v>
      </c>
      <c r="F3098" s="17">
        <v>41411</v>
      </c>
      <c r="G3098" s="8" t="s">
        <v>17072</v>
      </c>
      <c r="H3098" s="8" t="s">
        <v>17073</v>
      </c>
      <c r="I3098" s="8" t="s">
        <v>45</v>
      </c>
      <c r="J3098" s="16" t="s">
        <v>17074</v>
      </c>
      <c r="K3098" s="2" t="s">
        <v>98</v>
      </c>
      <c r="L3098" s="8" t="s">
        <v>17075</v>
      </c>
      <c r="M3098" s="8" t="s">
        <v>17076</v>
      </c>
      <c r="N3098" s="8" t="s">
        <v>17077</v>
      </c>
      <c r="O3098" s="8" t="s">
        <v>1018</v>
      </c>
      <c r="P3098" s="8" t="s">
        <v>405</v>
      </c>
      <c r="Q3098" s="12" t="s">
        <v>17078</v>
      </c>
      <c r="R3098" s="8" t="s">
        <v>100</v>
      </c>
      <c r="S3098" s="7" t="s">
        <v>28</v>
      </c>
      <c r="T3098" s="6"/>
      <c r="U3098" s="8"/>
    </row>
    <row r="3099" spans="1:39" ht="13.5" customHeight="1">
      <c r="A3099" s="8" t="s">
        <v>17088</v>
      </c>
      <c r="B3099" s="16">
        <v>33</v>
      </c>
      <c r="C3099" s="8" t="s">
        <v>115</v>
      </c>
      <c r="D3099" s="8" t="s">
        <v>37</v>
      </c>
      <c r="E3099" s="8" t="s">
        <v>17089</v>
      </c>
      <c r="F3099" s="17">
        <v>41411</v>
      </c>
      <c r="G3099" s="8" t="s">
        <v>17090</v>
      </c>
      <c r="H3099" s="8" t="s">
        <v>153</v>
      </c>
      <c r="I3099" s="8" t="s">
        <v>370</v>
      </c>
      <c r="J3099" s="16" t="s">
        <v>17091</v>
      </c>
      <c r="K3099" s="2" t="s">
        <v>698</v>
      </c>
      <c r="L3099" s="8" t="s">
        <v>17092</v>
      </c>
      <c r="M3099" s="8" t="s">
        <v>27</v>
      </c>
      <c r="N3099" s="8" t="s">
        <v>17093</v>
      </c>
      <c r="O3099" s="8" t="s">
        <v>4742</v>
      </c>
      <c r="P3099" s="8" t="s">
        <v>405</v>
      </c>
      <c r="Q3099" s="12" t="s">
        <v>17094</v>
      </c>
      <c r="R3099" s="8" t="s">
        <v>100</v>
      </c>
      <c r="S3099" s="7" t="s">
        <v>28</v>
      </c>
      <c r="T3099" s="6"/>
      <c r="U3099" s="8"/>
    </row>
    <row r="3100" spans="1:39" ht="13.5" customHeight="1">
      <c r="A3100" s="8" t="s">
        <v>17055</v>
      </c>
      <c r="B3100" s="16" t="s">
        <v>13608</v>
      </c>
      <c r="C3100" s="8" t="s">
        <v>20</v>
      </c>
      <c r="D3100" s="8" t="s">
        <v>21</v>
      </c>
      <c r="F3100" s="17">
        <v>41411</v>
      </c>
      <c r="G3100" s="8" t="s">
        <v>17056</v>
      </c>
      <c r="H3100" s="8" t="s">
        <v>17057</v>
      </c>
      <c r="I3100" s="8" t="s">
        <v>45</v>
      </c>
      <c r="J3100" s="16" t="s">
        <v>17058</v>
      </c>
      <c r="K3100" s="2" t="s">
        <v>98</v>
      </c>
      <c r="L3100" s="8" t="s">
        <v>17059</v>
      </c>
      <c r="M3100" s="8" t="s">
        <v>27</v>
      </c>
      <c r="N3100" s="8" t="s">
        <v>17060</v>
      </c>
      <c r="O3100" s="8" t="s">
        <v>29</v>
      </c>
      <c r="P3100" s="8" t="s">
        <v>405</v>
      </c>
      <c r="Q3100" s="12" t="s">
        <v>17061</v>
      </c>
      <c r="R3100" s="8" t="s">
        <v>100</v>
      </c>
      <c r="S3100" s="7" t="s">
        <v>28</v>
      </c>
      <c r="T3100" s="6"/>
      <c r="U3100" s="8"/>
      <c r="Y3100" s="8"/>
      <c r="Z3100" s="8"/>
      <c r="AA3100" s="8"/>
      <c r="AB3100" s="8"/>
      <c r="AC3100" s="8"/>
      <c r="AD3100" s="8"/>
      <c r="AE3100" s="8"/>
      <c r="AF3100" s="8"/>
      <c r="AG3100" s="8"/>
      <c r="AH3100" s="8"/>
      <c r="AI3100" s="8"/>
      <c r="AJ3100" s="8"/>
      <c r="AK3100" s="8"/>
      <c r="AL3100" s="8"/>
      <c r="AM3100" s="8"/>
    </row>
    <row r="3101" spans="1:39" ht="13.5" customHeight="1">
      <c r="A3101" s="8" t="s">
        <v>17101</v>
      </c>
      <c r="B3101" s="16">
        <v>25</v>
      </c>
      <c r="C3101" s="8" t="s">
        <v>20</v>
      </c>
      <c r="D3101" s="8" t="s">
        <v>85</v>
      </c>
      <c r="F3101" s="17">
        <v>41410</v>
      </c>
      <c r="G3101" s="8" t="s">
        <v>17102</v>
      </c>
      <c r="H3101" s="8" t="s">
        <v>16025</v>
      </c>
      <c r="I3101" s="8" t="s">
        <v>45</v>
      </c>
      <c r="J3101" s="16" t="s">
        <v>8003</v>
      </c>
      <c r="K3101" s="2" t="s">
        <v>98</v>
      </c>
      <c r="L3101" s="8" t="s">
        <v>99</v>
      </c>
      <c r="M3101" s="8" t="s">
        <v>27</v>
      </c>
      <c r="N3101" s="8" t="s">
        <v>17103</v>
      </c>
      <c r="O3101" s="8" t="s">
        <v>404</v>
      </c>
      <c r="P3101" s="8" t="s">
        <v>405</v>
      </c>
      <c r="Q3101" s="12" t="s">
        <v>17104</v>
      </c>
      <c r="R3101" s="8" t="s">
        <v>29</v>
      </c>
      <c r="S3101" s="7" t="s">
        <v>28</v>
      </c>
      <c r="T3101" s="6"/>
      <c r="U3101" s="8"/>
    </row>
    <row r="3102" spans="1:39" ht="13.5" customHeight="1">
      <c r="A3102" s="8" t="s">
        <v>17105</v>
      </c>
      <c r="B3102" s="16" t="s">
        <v>16077</v>
      </c>
      <c r="C3102" s="8" t="s">
        <v>20</v>
      </c>
      <c r="D3102" s="8" t="s">
        <v>30</v>
      </c>
      <c r="F3102" s="17">
        <v>41410</v>
      </c>
      <c r="G3102" s="8" t="s">
        <v>17106</v>
      </c>
      <c r="H3102" s="8" t="s">
        <v>565</v>
      </c>
      <c r="I3102" s="8" t="s">
        <v>124</v>
      </c>
      <c r="J3102" s="16" t="s">
        <v>17107</v>
      </c>
      <c r="K3102" s="2" t="s">
        <v>566</v>
      </c>
      <c r="L3102" s="8" t="s">
        <v>567</v>
      </c>
      <c r="M3102" s="8" t="s">
        <v>27</v>
      </c>
      <c r="N3102" s="8" t="s">
        <v>17108</v>
      </c>
      <c r="O3102" s="8" t="s">
        <v>29</v>
      </c>
      <c r="P3102" s="8" t="s">
        <v>405</v>
      </c>
      <c r="Q3102" s="12" t="s">
        <v>17109</v>
      </c>
      <c r="R3102" s="8" t="s">
        <v>100</v>
      </c>
      <c r="S3102" s="7" t="s">
        <v>28</v>
      </c>
      <c r="T3102" s="6"/>
      <c r="U3102" s="8"/>
    </row>
    <row r="3103" spans="1:39" ht="13.5" customHeight="1">
      <c r="A3103" s="8" t="s">
        <v>17117</v>
      </c>
      <c r="B3103" s="16" t="s">
        <v>16063</v>
      </c>
      <c r="C3103" s="8" t="s">
        <v>20</v>
      </c>
      <c r="D3103" s="8" t="s">
        <v>37</v>
      </c>
      <c r="E3103" s="8" t="s">
        <v>17118</v>
      </c>
      <c r="F3103" s="17">
        <v>41410</v>
      </c>
      <c r="G3103" s="8" t="s">
        <v>17119</v>
      </c>
      <c r="H3103" s="8" t="s">
        <v>207</v>
      </c>
      <c r="I3103" s="8" t="s">
        <v>69</v>
      </c>
      <c r="J3103" s="16" t="s">
        <v>17120</v>
      </c>
      <c r="K3103" s="2" t="s">
        <v>3506</v>
      </c>
      <c r="L3103" s="8" t="s">
        <v>17121</v>
      </c>
      <c r="M3103" s="8" t="s">
        <v>27</v>
      </c>
      <c r="N3103" s="8" t="s">
        <v>17122</v>
      </c>
      <c r="O3103" s="8" t="s">
        <v>29</v>
      </c>
      <c r="P3103" s="8" t="s">
        <v>405</v>
      </c>
      <c r="Q3103" s="12" t="s">
        <v>17123</v>
      </c>
      <c r="R3103" s="8" t="s">
        <v>100</v>
      </c>
      <c r="S3103" s="7" t="s">
        <v>28</v>
      </c>
      <c r="T3103" s="6"/>
      <c r="U3103" s="8"/>
    </row>
    <row r="3104" spans="1:39" ht="13.5" customHeight="1">
      <c r="A3104" s="8" t="s">
        <v>17095</v>
      </c>
      <c r="B3104" s="16">
        <v>34</v>
      </c>
      <c r="C3104" s="8" t="s">
        <v>20</v>
      </c>
      <c r="D3104" s="8" t="s">
        <v>85</v>
      </c>
      <c r="E3104" s="8" t="s">
        <v>17096</v>
      </c>
      <c r="F3104" s="17">
        <v>41410</v>
      </c>
      <c r="G3104" s="8" t="s">
        <v>17097</v>
      </c>
      <c r="H3104" s="8" t="s">
        <v>934</v>
      </c>
      <c r="I3104" s="8" t="s">
        <v>73</v>
      </c>
      <c r="J3104" s="16" t="s">
        <v>17098</v>
      </c>
      <c r="K3104" s="2" t="s">
        <v>74</v>
      </c>
      <c r="L3104" s="8" t="s">
        <v>935</v>
      </c>
      <c r="M3104" s="8" t="s">
        <v>1706</v>
      </c>
      <c r="N3104" s="8" t="s">
        <v>17099</v>
      </c>
      <c r="O3104" s="8" t="s">
        <v>1018</v>
      </c>
      <c r="P3104" s="8" t="s">
        <v>405</v>
      </c>
      <c r="Q3104" s="12" t="s">
        <v>17100</v>
      </c>
      <c r="R3104" s="8" t="s">
        <v>100</v>
      </c>
      <c r="S3104" s="7" t="s">
        <v>28</v>
      </c>
      <c r="T3104" s="6"/>
      <c r="U3104" s="8"/>
    </row>
    <row r="3105" spans="1:21" ht="13.5" customHeight="1">
      <c r="A3105" s="8" t="s">
        <v>17110</v>
      </c>
      <c r="B3105" s="16" t="s">
        <v>16209</v>
      </c>
      <c r="C3105" s="8" t="s">
        <v>20</v>
      </c>
      <c r="D3105" s="8" t="s">
        <v>37</v>
      </c>
      <c r="E3105" s="8" t="s">
        <v>17111</v>
      </c>
      <c r="F3105" s="17">
        <v>41410</v>
      </c>
      <c r="G3105" s="8" t="s">
        <v>17112</v>
      </c>
      <c r="H3105" s="8" t="s">
        <v>17113</v>
      </c>
      <c r="I3105" s="8" t="s">
        <v>306</v>
      </c>
      <c r="J3105" s="16" t="s">
        <v>17114</v>
      </c>
      <c r="K3105" s="2" t="s">
        <v>846</v>
      </c>
      <c r="L3105" s="8" t="s">
        <v>847</v>
      </c>
      <c r="M3105" s="8" t="s">
        <v>27</v>
      </c>
      <c r="N3105" s="8" t="s">
        <v>17115</v>
      </c>
      <c r="O3105" s="8" t="s">
        <v>554</v>
      </c>
      <c r="P3105" s="8" t="s">
        <v>405</v>
      </c>
      <c r="Q3105" s="12" t="s">
        <v>17116</v>
      </c>
      <c r="R3105" s="8" t="s">
        <v>100</v>
      </c>
      <c r="S3105" s="7" t="s">
        <v>28</v>
      </c>
      <c r="T3105" s="6"/>
      <c r="U3105" s="8"/>
    </row>
    <row r="3106" spans="1:21" ht="13.5" customHeight="1">
      <c r="A3106" s="8" t="s">
        <v>17131</v>
      </c>
      <c r="B3106" s="16" t="s">
        <v>10119</v>
      </c>
      <c r="C3106" s="8" t="s">
        <v>20</v>
      </c>
      <c r="D3106" s="8" t="s">
        <v>85</v>
      </c>
      <c r="E3106" s="8" t="s">
        <v>17132</v>
      </c>
      <c r="F3106" s="17">
        <v>41409</v>
      </c>
      <c r="G3106" s="8" t="s">
        <v>17126</v>
      </c>
      <c r="H3106" s="8" t="s">
        <v>17127</v>
      </c>
      <c r="I3106" s="8" t="s">
        <v>69</v>
      </c>
      <c r="J3106" s="16" t="s">
        <v>17128</v>
      </c>
      <c r="K3106" s="2" t="s">
        <v>1301</v>
      </c>
      <c r="L3106" s="8" t="s">
        <v>12726</v>
      </c>
      <c r="M3106" s="8" t="s">
        <v>27</v>
      </c>
      <c r="N3106" s="8" t="s">
        <v>17133</v>
      </c>
      <c r="O3106" s="8" t="s">
        <v>29</v>
      </c>
      <c r="P3106" s="8" t="s">
        <v>405</v>
      </c>
      <c r="Q3106" s="12" t="s">
        <v>17130</v>
      </c>
      <c r="R3106" s="8" t="s">
        <v>100</v>
      </c>
      <c r="S3106" s="7" t="s">
        <v>28</v>
      </c>
      <c r="T3106" s="6"/>
      <c r="U3106" s="8"/>
    </row>
    <row r="3107" spans="1:21" ht="13.5" customHeight="1">
      <c r="A3107" s="8" t="s">
        <v>17140</v>
      </c>
      <c r="B3107" s="16">
        <v>52</v>
      </c>
      <c r="C3107" s="8" t="s">
        <v>20</v>
      </c>
      <c r="D3107" s="8" t="s">
        <v>48</v>
      </c>
      <c r="F3107" s="17">
        <v>41409</v>
      </c>
      <c r="G3107" s="8" t="s">
        <v>17141</v>
      </c>
      <c r="H3107" s="8" t="s">
        <v>857</v>
      </c>
      <c r="I3107" s="8" t="s">
        <v>41</v>
      </c>
      <c r="J3107" s="16" t="s">
        <v>17142</v>
      </c>
      <c r="K3107" s="2" t="s">
        <v>857</v>
      </c>
      <c r="L3107" s="8" t="s">
        <v>858</v>
      </c>
      <c r="M3107" s="8" t="s">
        <v>27</v>
      </c>
      <c r="N3107" s="8" t="s">
        <v>17143</v>
      </c>
      <c r="O3107" s="8" t="s">
        <v>1018</v>
      </c>
      <c r="P3107" s="8" t="s">
        <v>405</v>
      </c>
      <c r="Q3107" s="12" t="s">
        <v>17144</v>
      </c>
      <c r="R3107" s="8" t="s">
        <v>29</v>
      </c>
      <c r="S3107" s="7" t="s">
        <v>28</v>
      </c>
      <c r="T3107" s="6"/>
      <c r="U3107" s="8"/>
    </row>
    <row r="3108" spans="1:21" ht="13.5" customHeight="1">
      <c r="A3108" s="8" t="s">
        <v>17124</v>
      </c>
      <c r="B3108" s="16" t="s">
        <v>16209</v>
      </c>
      <c r="C3108" s="8" t="s">
        <v>115</v>
      </c>
      <c r="D3108" s="8" t="s">
        <v>85</v>
      </c>
      <c r="E3108" s="8" t="s">
        <v>17125</v>
      </c>
      <c r="F3108" s="17">
        <v>41409</v>
      </c>
      <c r="G3108" s="8" t="s">
        <v>17126</v>
      </c>
      <c r="H3108" s="8" t="s">
        <v>17127</v>
      </c>
      <c r="I3108" s="8" t="s">
        <v>69</v>
      </c>
      <c r="J3108" s="16" t="s">
        <v>17128</v>
      </c>
      <c r="K3108" s="2" t="s">
        <v>1301</v>
      </c>
      <c r="L3108" s="8" t="s">
        <v>12726</v>
      </c>
      <c r="M3108" s="8" t="s">
        <v>27</v>
      </c>
      <c r="N3108" s="8" t="s">
        <v>17129</v>
      </c>
      <c r="O3108" s="8" t="s">
        <v>29</v>
      </c>
      <c r="P3108" s="8" t="s">
        <v>405</v>
      </c>
      <c r="Q3108" s="12" t="s">
        <v>17130</v>
      </c>
      <c r="R3108" s="8" t="s">
        <v>100</v>
      </c>
      <c r="S3108" s="7" t="s">
        <v>28</v>
      </c>
      <c r="T3108" s="6"/>
      <c r="U3108" s="8"/>
    </row>
    <row r="3109" spans="1:21" ht="13.5" customHeight="1">
      <c r="A3109" s="8" t="s">
        <v>17134</v>
      </c>
      <c r="B3109" s="16" t="s">
        <v>16221</v>
      </c>
      <c r="C3109" s="8" t="s">
        <v>20</v>
      </c>
      <c r="D3109" s="8" t="s">
        <v>85</v>
      </c>
      <c r="E3109" s="8" t="s">
        <v>17135</v>
      </c>
      <c r="F3109" s="17">
        <v>41409</v>
      </c>
      <c r="G3109" s="8" t="s">
        <v>17136</v>
      </c>
      <c r="H3109" s="8" t="s">
        <v>4234</v>
      </c>
      <c r="I3109" s="8" t="s">
        <v>46</v>
      </c>
      <c r="J3109" s="16" t="s">
        <v>17137</v>
      </c>
      <c r="K3109" s="2" t="s">
        <v>9034</v>
      </c>
      <c r="L3109" s="8" t="s">
        <v>4237</v>
      </c>
      <c r="M3109" s="8" t="s">
        <v>27</v>
      </c>
      <c r="N3109" s="8" t="s">
        <v>17138</v>
      </c>
      <c r="O3109" s="8" t="s">
        <v>29</v>
      </c>
      <c r="P3109" s="8" t="s">
        <v>405</v>
      </c>
      <c r="Q3109" s="12" t="s">
        <v>17139</v>
      </c>
      <c r="R3109" s="8" t="s">
        <v>100</v>
      </c>
      <c r="S3109" s="7" t="s">
        <v>28</v>
      </c>
      <c r="T3109" s="6"/>
      <c r="U3109" s="8"/>
    </row>
    <row r="3110" spans="1:21" ht="13.5" customHeight="1">
      <c r="A3110" s="8" t="s">
        <v>17155</v>
      </c>
      <c r="B3110" s="16" t="s">
        <v>10218</v>
      </c>
      <c r="C3110" s="8" t="s">
        <v>20</v>
      </c>
      <c r="D3110" s="8" t="s">
        <v>37</v>
      </c>
      <c r="E3110" s="8" t="s">
        <v>17156</v>
      </c>
      <c r="F3110" s="17">
        <v>41408</v>
      </c>
      <c r="G3110" s="8" t="s">
        <v>17157</v>
      </c>
      <c r="H3110" s="8" t="s">
        <v>10290</v>
      </c>
      <c r="I3110" s="8" t="s">
        <v>62</v>
      </c>
      <c r="J3110" s="16" t="s">
        <v>17158</v>
      </c>
      <c r="K3110" s="2" t="s">
        <v>644</v>
      </c>
      <c r="L3110" s="8" t="s">
        <v>645</v>
      </c>
      <c r="M3110" s="8" t="s">
        <v>27</v>
      </c>
      <c r="N3110" s="8" t="s">
        <v>17159</v>
      </c>
      <c r="O3110" s="8" t="s">
        <v>29</v>
      </c>
      <c r="P3110" s="8" t="s">
        <v>405</v>
      </c>
      <c r="Q3110" s="12" t="s">
        <v>17160</v>
      </c>
      <c r="R3110" s="8" t="s">
        <v>100</v>
      </c>
      <c r="S3110" s="7" t="s">
        <v>28</v>
      </c>
      <c r="T3110" s="6"/>
      <c r="U3110" s="8"/>
    </row>
    <row r="3111" spans="1:21" ht="13.5" customHeight="1">
      <c r="A3111" s="8" t="s">
        <v>17149</v>
      </c>
      <c r="B3111" s="16" t="s">
        <v>16202</v>
      </c>
      <c r="C3111" s="8" t="s">
        <v>20</v>
      </c>
      <c r="D3111" s="8" t="s">
        <v>37</v>
      </c>
      <c r="E3111" s="8" t="s">
        <v>17150</v>
      </c>
      <c r="F3111" s="17">
        <v>41408</v>
      </c>
      <c r="G3111" s="8" t="s">
        <v>17151</v>
      </c>
      <c r="H3111" s="8" t="s">
        <v>1311</v>
      </c>
      <c r="I3111" s="8" t="s">
        <v>212</v>
      </c>
      <c r="J3111" s="16" t="s">
        <v>17152</v>
      </c>
      <c r="K3111" s="2" t="s">
        <v>1311</v>
      </c>
      <c r="L3111" s="8" t="s">
        <v>1312</v>
      </c>
      <c r="M3111" s="8" t="s">
        <v>27</v>
      </c>
      <c r="N3111" s="8" t="s">
        <v>17153</v>
      </c>
      <c r="O3111" s="8" t="s">
        <v>29</v>
      </c>
      <c r="P3111" s="8" t="s">
        <v>405</v>
      </c>
      <c r="Q3111" s="12" t="s">
        <v>17154</v>
      </c>
      <c r="R3111" s="8" t="s">
        <v>559</v>
      </c>
      <c r="S3111" s="7" t="s">
        <v>28</v>
      </c>
      <c r="T3111" s="6"/>
      <c r="U3111" s="8"/>
    </row>
    <row r="3112" spans="1:21" ht="13.5" customHeight="1">
      <c r="A3112" s="8" t="s">
        <v>17145</v>
      </c>
      <c r="B3112" s="16">
        <v>37</v>
      </c>
      <c r="C3112" s="8" t="s">
        <v>20</v>
      </c>
      <c r="D3112" s="8" t="s">
        <v>48</v>
      </c>
      <c r="F3112" s="17">
        <v>41408</v>
      </c>
      <c r="G3112" s="8" t="s">
        <v>17146</v>
      </c>
      <c r="H3112" s="8" t="s">
        <v>6501</v>
      </c>
      <c r="I3112" s="8" t="s">
        <v>45</v>
      </c>
      <c r="J3112" s="16" t="s">
        <v>13424</v>
      </c>
      <c r="K3112" s="2" t="s">
        <v>98</v>
      </c>
      <c r="L3112" s="8" t="s">
        <v>5043</v>
      </c>
      <c r="M3112" s="8" t="s">
        <v>27</v>
      </c>
      <c r="N3112" s="8" t="s">
        <v>17147</v>
      </c>
      <c r="O3112" s="8" t="s">
        <v>1018</v>
      </c>
      <c r="P3112" s="8" t="s">
        <v>405</v>
      </c>
      <c r="Q3112" s="12" t="s">
        <v>17148</v>
      </c>
      <c r="R3112" s="8" t="s">
        <v>29</v>
      </c>
      <c r="S3112" s="7" t="s">
        <v>28</v>
      </c>
      <c r="T3112" s="6"/>
      <c r="U3112" s="8"/>
    </row>
    <row r="3113" spans="1:21" ht="13.5" customHeight="1">
      <c r="A3113" s="8" t="s">
        <v>17161</v>
      </c>
      <c r="B3113" s="16" t="s">
        <v>11195</v>
      </c>
      <c r="C3113" s="8" t="s">
        <v>20</v>
      </c>
      <c r="D3113" s="8" t="s">
        <v>37</v>
      </c>
      <c r="E3113" s="8" t="s">
        <v>17162</v>
      </c>
      <c r="F3113" s="17">
        <v>41407</v>
      </c>
      <c r="G3113" s="8" t="s">
        <v>17163</v>
      </c>
      <c r="H3113" s="8" t="s">
        <v>14745</v>
      </c>
      <c r="I3113" s="8" t="s">
        <v>175</v>
      </c>
      <c r="J3113" s="16" t="s">
        <v>14746</v>
      </c>
      <c r="K3113" s="2" t="s">
        <v>1338</v>
      </c>
      <c r="L3113" s="8" t="s">
        <v>1339</v>
      </c>
      <c r="M3113" s="8" t="s">
        <v>27</v>
      </c>
      <c r="N3113" s="8" t="s">
        <v>17164</v>
      </c>
      <c r="O3113" s="8" t="s">
        <v>29</v>
      </c>
      <c r="P3113" s="8" t="s">
        <v>405</v>
      </c>
      <c r="Q3113" s="12" t="s">
        <v>17165</v>
      </c>
      <c r="R3113" s="8" t="s">
        <v>972</v>
      </c>
      <c r="S3113" s="7" t="s">
        <v>28</v>
      </c>
      <c r="T3113" s="6"/>
      <c r="U3113" s="8"/>
    </row>
    <row r="3114" spans="1:21" ht="13.5" customHeight="1">
      <c r="A3114" s="8" t="s">
        <v>17180</v>
      </c>
      <c r="B3114" s="16" t="s">
        <v>13621</v>
      </c>
      <c r="C3114" s="8" t="s">
        <v>20</v>
      </c>
      <c r="D3114" s="8" t="s">
        <v>30</v>
      </c>
      <c r="F3114" s="17">
        <v>41406</v>
      </c>
      <c r="G3114" s="8" t="s">
        <v>17181</v>
      </c>
      <c r="H3114" s="8" t="s">
        <v>17182</v>
      </c>
      <c r="I3114" s="8" t="s">
        <v>435</v>
      </c>
      <c r="J3114" s="16" t="s">
        <v>17183</v>
      </c>
      <c r="K3114" s="2" t="s">
        <v>717</v>
      </c>
      <c r="L3114" s="8" t="s">
        <v>7242</v>
      </c>
      <c r="M3114" s="8" t="s">
        <v>27</v>
      </c>
      <c r="N3114" s="8" t="s">
        <v>17184</v>
      </c>
      <c r="O3114" s="8" t="s">
        <v>29</v>
      </c>
      <c r="P3114" s="8" t="s">
        <v>405</v>
      </c>
      <c r="Q3114" s="12" t="s">
        <v>17185</v>
      </c>
      <c r="R3114" s="8" t="s">
        <v>100</v>
      </c>
      <c r="S3114" s="7" t="s">
        <v>28</v>
      </c>
      <c r="T3114" s="6"/>
      <c r="U3114" s="8"/>
    </row>
    <row r="3115" spans="1:21" ht="13.5" customHeight="1">
      <c r="A3115" s="8" t="s">
        <v>17166</v>
      </c>
      <c r="B3115" s="16" t="s">
        <v>11195</v>
      </c>
      <c r="C3115" s="8" t="s">
        <v>20</v>
      </c>
      <c r="D3115" s="8" t="s">
        <v>85</v>
      </c>
      <c r="E3115" s="8" t="s">
        <v>17167</v>
      </c>
      <c r="F3115" s="17">
        <v>41406</v>
      </c>
      <c r="G3115" s="8" t="s">
        <v>17168</v>
      </c>
      <c r="H3115" s="8" t="s">
        <v>2120</v>
      </c>
      <c r="I3115" s="8" t="s">
        <v>81</v>
      </c>
      <c r="J3115" s="16" t="s">
        <v>17169</v>
      </c>
      <c r="K3115" s="2" t="s">
        <v>2933</v>
      </c>
      <c r="L3115" s="8" t="s">
        <v>17170</v>
      </c>
      <c r="M3115" s="8" t="s">
        <v>27</v>
      </c>
      <c r="N3115" s="8" t="s">
        <v>17171</v>
      </c>
      <c r="O3115" s="8" t="s">
        <v>29</v>
      </c>
      <c r="P3115" s="8" t="s">
        <v>405</v>
      </c>
      <c r="Q3115" s="12" t="s">
        <v>17172</v>
      </c>
      <c r="R3115" s="8" t="s">
        <v>559</v>
      </c>
      <c r="S3115" s="7" t="s">
        <v>28</v>
      </c>
      <c r="T3115" s="6"/>
      <c r="U3115" s="8"/>
    </row>
    <row r="3116" spans="1:21" ht="13.5" customHeight="1">
      <c r="A3116" s="8" t="s">
        <v>17186</v>
      </c>
      <c r="B3116" s="16">
        <v>28</v>
      </c>
      <c r="C3116" s="8" t="s">
        <v>115</v>
      </c>
      <c r="D3116" s="8" t="s">
        <v>37</v>
      </c>
      <c r="E3116" s="8" t="s">
        <v>17187</v>
      </c>
      <c r="F3116" s="17">
        <v>41406</v>
      </c>
      <c r="G3116" s="8" t="s">
        <v>17188</v>
      </c>
      <c r="H3116" s="8" t="s">
        <v>17189</v>
      </c>
      <c r="I3116" s="8" t="s">
        <v>306</v>
      </c>
      <c r="J3116" s="16" t="s">
        <v>17190</v>
      </c>
      <c r="K3116" s="2" t="s">
        <v>1925</v>
      </c>
      <c r="L3116" s="8" t="s">
        <v>17191</v>
      </c>
      <c r="M3116" s="8" t="s">
        <v>1706</v>
      </c>
      <c r="N3116" s="8" t="s">
        <v>17192</v>
      </c>
      <c r="O3116" s="8" t="s">
        <v>554</v>
      </c>
      <c r="P3116" s="8" t="s">
        <v>405</v>
      </c>
      <c r="Q3116" s="12" t="s">
        <v>17193</v>
      </c>
      <c r="R3116" s="8" t="s">
        <v>972</v>
      </c>
      <c r="S3116" s="7" t="s">
        <v>28</v>
      </c>
      <c r="T3116" s="6"/>
      <c r="U3116" s="8"/>
    </row>
    <row r="3117" spans="1:21" ht="13.5" customHeight="1">
      <c r="A3117" s="8" t="s">
        <v>17173</v>
      </c>
      <c r="B3117" s="16">
        <v>40</v>
      </c>
      <c r="C3117" s="8" t="s">
        <v>115</v>
      </c>
      <c r="D3117" s="8" t="s">
        <v>30</v>
      </c>
      <c r="F3117" s="17">
        <v>41406</v>
      </c>
      <c r="G3117" s="8" t="s">
        <v>17174</v>
      </c>
      <c r="H3117" s="8" t="s">
        <v>17175</v>
      </c>
      <c r="I3117" s="8" t="s">
        <v>306</v>
      </c>
      <c r="J3117" s="16" t="s">
        <v>17176</v>
      </c>
      <c r="K3117" s="2" t="s">
        <v>2169</v>
      </c>
      <c r="L3117" s="8" t="s">
        <v>17177</v>
      </c>
      <c r="M3117" s="8" t="s">
        <v>383</v>
      </c>
      <c r="N3117" s="8" t="s">
        <v>17178</v>
      </c>
      <c r="O3117" s="8" t="s">
        <v>1018</v>
      </c>
      <c r="P3117" s="8" t="s">
        <v>405</v>
      </c>
      <c r="Q3117" s="12" t="s">
        <v>17179</v>
      </c>
      <c r="R3117" s="8" t="s">
        <v>100</v>
      </c>
      <c r="S3117" s="7" t="s">
        <v>28</v>
      </c>
      <c r="T3117" s="6"/>
      <c r="U3117" s="8"/>
    </row>
    <row r="3118" spans="1:21" ht="13.5" customHeight="1">
      <c r="A3118" s="8" t="s">
        <v>17201</v>
      </c>
      <c r="B3118" s="16">
        <v>28</v>
      </c>
      <c r="C3118" s="8" t="s">
        <v>20</v>
      </c>
      <c r="D3118" s="8" t="s">
        <v>37</v>
      </c>
      <c r="E3118" s="8" t="s">
        <v>17202</v>
      </c>
      <c r="F3118" s="17">
        <v>41405</v>
      </c>
      <c r="G3118" s="8" t="s">
        <v>17203</v>
      </c>
      <c r="H3118" s="8" t="s">
        <v>17204</v>
      </c>
      <c r="I3118" s="8" t="s">
        <v>467</v>
      </c>
      <c r="J3118" s="16" t="s">
        <v>17205</v>
      </c>
      <c r="K3118" s="2" t="s">
        <v>1881</v>
      </c>
      <c r="L3118" s="8" t="s">
        <v>17206</v>
      </c>
      <c r="M3118" s="8" t="s">
        <v>27</v>
      </c>
      <c r="N3118" s="8" t="s">
        <v>17207</v>
      </c>
      <c r="O3118" s="8" t="s">
        <v>1018</v>
      </c>
      <c r="P3118" s="8" t="s">
        <v>405</v>
      </c>
      <c r="Q3118" s="12" t="s">
        <v>17208</v>
      </c>
      <c r="R3118" s="8" t="s">
        <v>100</v>
      </c>
      <c r="S3118" s="7" t="s">
        <v>28</v>
      </c>
      <c r="T3118" s="6"/>
      <c r="U3118" s="8"/>
    </row>
    <row r="3119" spans="1:21" ht="13.5" customHeight="1">
      <c r="A3119" s="8" t="s">
        <v>17194</v>
      </c>
      <c r="B3119" s="16" t="s">
        <v>14120</v>
      </c>
      <c r="C3119" s="8" t="s">
        <v>20</v>
      </c>
      <c r="D3119" s="8" t="s">
        <v>48</v>
      </c>
      <c r="E3119" s="8" t="s">
        <v>17195</v>
      </c>
      <c r="F3119" s="17">
        <v>41405</v>
      </c>
      <c r="G3119" s="8" t="s">
        <v>17196</v>
      </c>
      <c r="H3119" s="8" t="s">
        <v>17197</v>
      </c>
      <c r="I3119" s="8" t="s">
        <v>45</v>
      </c>
      <c r="J3119" s="16" t="s">
        <v>17198</v>
      </c>
      <c r="K3119" s="2" t="s">
        <v>98</v>
      </c>
      <c r="L3119" s="8" t="s">
        <v>5043</v>
      </c>
      <c r="M3119" s="8" t="s">
        <v>27</v>
      </c>
      <c r="N3119" s="8" t="s">
        <v>17199</v>
      </c>
      <c r="O3119" s="8" t="s">
        <v>554</v>
      </c>
      <c r="P3119" s="8" t="s">
        <v>405</v>
      </c>
      <c r="Q3119" s="12" t="s">
        <v>17200</v>
      </c>
      <c r="R3119" s="8" t="s">
        <v>100</v>
      </c>
      <c r="S3119" s="7" t="s">
        <v>28</v>
      </c>
      <c r="T3119" s="6"/>
      <c r="U3119" s="8"/>
    </row>
    <row r="3120" spans="1:21" ht="13.5" customHeight="1">
      <c r="A3120" s="8" t="s">
        <v>17243</v>
      </c>
      <c r="B3120" s="16" t="s">
        <v>11195</v>
      </c>
      <c r="C3120" s="8" t="s">
        <v>115</v>
      </c>
      <c r="D3120" s="8" t="s">
        <v>37</v>
      </c>
      <c r="E3120" s="8" t="s">
        <v>17244</v>
      </c>
      <c r="F3120" s="17">
        <v>41404</v>
      </c>
      <c r="G3120" s="8" t="s">
        <v>17245</v>
      </c>
      <c r="H3120" s="8" t="s">
        <v>599</v>
      </c>
      <c r="I3120" s="8" t="s">
        <v>73</v>
      </c>
      <c r="J3120" s="16" t="s">
        <v>4796</v>
      </c>
      <c r="K3120" s="2" t="s">
        <v>600</v>
      </c>
      <c r="L3120" s="8" t="s">
        <v>601</v>
      </c>
      <c r="M3120" s="8" t="s">
        <v>27</v>
      </c>
      <c r="N3120" s="8" t="s">
        <v>17246</v>
      </c>
      <c r="O3120" s="8" t="s">
        <v>29</v>
      </c>
      <c r="P3120" s="8" t="s">
        <v>405</v>
      </c>
      <c r="Q3120" s="12" t="s">
        <v>17247</v>
      </c>
      <c r="R3120" s="8" t="s">
        <v>554</v>
      </c>
      <c r="S3120" s="7" t="s">
        <v>28</v>
      </c>
      <c r="T3120" s="6"/>
      <c r="U3120" s="8"/>
    </row>
    <row r="3121" spans="1:21" ht="13.5" customHeight="1">
      <c r="A3121" s="8" t="s">
        <v>17238</v>
      </c>
      <c r="B3121" s="16" t="s">
        <v>16209</v>
      </c>
      <c r="C3121" s="8" t="s">
        <v>20</v>
      </c>
      <c r="D3121" s="8" t="s">
        <v>37</v>
      </c>
      <c r="E3121" s="8" t="s">
        <v>17239</v>
      </c>
      <c r="F3121" s="17">
        <v>41404</v>
      </c>
      <c r="G3121" s="8" t="s">
        <v>17240</v>
      </c>
      <c r="H3121" s="8" t="s">
        <v>886</v>
      </c>
      <c r="I3121" s="8" t="s">
        <v>45</v>
      </c>
      <c r="J3121" s="16" t="s">
        <v>4555</v>
      </c>
      <c r="K3121" s="2" t="s">
        <v>4556</v>
      </c>
      <c r="L3121" s="8" t="s">
        <v>6165</v>
      </c>
      <c r="M3121" s="8" t="s">
        <v>27</v>
      </c>
      <c r="N3121" s="8" t="s">
        <v>17241</v>
      </c>
      <c r="O3121" s="8" t="s">
        <v>29</v>
      </c>
      <c r="P3121" s="8" t="s">
        <v>405</v>
      </c>
      <c r="Q3121" s="12" t="s">
        <v>17242</v>
      </c>
      <c r="R3121" s="8" t="s">
        <v>100</v>
      </c>
      <c r="S3121" s="7" t="s">
        <v>28</v>
      </c>
      <c r="T3121" s="6"/>
      <c r="U3121" s="8"/>
    </row>
    <row r="3122" spans="1:21" ht="13.5" customHeight="1">
      <c r="A3122" s="8" t="s">
        <v>17216</v>
      </c>
      <c r="B3122" s="16" t="s">
        <v>10119</v>
      </c>
      <c r="C3122" s="8" t="s">
        <v>20</v>
      </c>
      <c r="D3122" s="8" t="s">
        <v>48</v>
      </c>
      <c r="E3122" s="8" t="s">
        <v>17217</v>
      </c>
      <c r="F3122" s="17">
        <v>41404</v>
      </c>
      <c r="G3122" s="8" t="s">
        <v>17218</v>
      </c>
      <c r="H3122" s="8" t="s">
        <v>6858</v>
      </c>
      <c r="I3122" s="8" t="s">
        <v>135</v>
      </c>
      <c r="J3122" s="16" t="s">
        <v>17219</v>
      </c>
      <c r="K3122" s="2" t="s">
        <v>1081</v>
      </c>
      <c r="L3122" s="8" t="s">
        <v>17213</v>
      </c>
      <c r="M3122" s="8" t="s">
        <v>383</v>
      </c>
      <c r="N3122" s="8" t="s">
        <v>17220</v>
      </c>
      <c r="O3122" s="8" t="s">
        <v>17221</v>
      </c>
      <c r="P3122" s="8" t="s">
        <v>405</v>
      </c>
      <c r="Q3122" s="12" t="s">
        <v>17222</v>
      </c>
      <c r="R3122" s="8" t="s">
        <v>100</v>
      </c>
      <c r="S3122" s="7" t="s">
        <v>28</v>
      </c>
      <c r="T3122" s="6"/>
      <c r="U3122" s="8"/>
    </row>
    <row r="3123" spans="1:21" ht="13.5" customHeight="1">
      <c r="A3123" s="8" t="s">
        <v>17223</v>
      </c>
      <c r="B3123" s="16" t="s">
        <v>15276</v>
      </c>
      <c r="C3123" s="8" t="s">
        <v>20</v>
      </c>
      <c r="D3123" s="8" t="s">
        <v>48</v>
      </c>
      <c r="F3123" s="17">
        <v>41404</v>
      </c>
      <c r="G3123" s="8" t="s">
        <v>17224</v>
      </c>
      <c r="H3123" s="8" t="s">
        <v>7269</v>
      </c>
      <c r="I3123" s="8" t="s">
        <v>435</v>
      </c>
      <c r="J3123" s="16" t="s">
        <v>17225</v>
      </c>
      <c r="K3123" s="2" t="s">
        <v>717</v>
      </c>
      <c r="L3123" s="8" t="s">
        <v>19506</v>
      </c>
      <c r="M3123" s="8" t="s">
        <v>27</v>
      </c>
      <c r="N3123" s="8" t="s">
        <v>17226</v>
      </c>
      <c r="O3123" s="8" t="s">
        <v>29</v>
      </c>
      <c r="P3123" s="8" t="s">
        <v>405</v>
      </c>
      <c r="Q3123" s="12" t="s">
        <v>17227</v>
      </c>
      <c r="R3123" s="8" t="s">
        <v>100</v>
      </c>
      <c r="S3123" s="7" t="s">
        <v>28</v>
      </c>
      <c r="T3123" s="6"/>
      <c r="U3123" s="8"/>
    </row>
    <row r="3124" spans="1:21" ht="13.5" customHeight="1">
      <c r="A3124" s="8" t="s">
        <v>17209</v>
      </c>
      <c r="B3124" s="16" t="s">
        <v>16077</v>
      </c>
      <c r="C3124" s="8" t="s">
        <v>20</v>
      </c>
      <c r="D3124" s="8" t="s">
        <v>85</v>
      </c>
      <c r="E3124" s="8" t="s">
        <v>17210</v>
      </c>
      <c r="F3124" s="17">
        <v>41404</v>
      </c>
      <c r="G3124" s="8" t="s">
        <v>17211</v>
      </c>
      <c r="H3124" s="8" t="s">
        <v>6858</v>
      </c>
      <c r="I3124" s="8" t="s">
        <v>135</v>
      </c>
      <c r="J3124" s="16" t="s">
        <v>17212</v>
      </c>
      <c r="K3124" s="2" t="s">
        <v>1081</v>
      </c>
      <c r="L3124" s="8" t="s">
        <v>17213</v>
      </c>
      <c r="M3124" s="8" t="s">
        <v>27</v>
      </c>
      <c r="N3124" s="8" t="s">
        <v>17214</v>
      </c>
      <c r="O3124" s="8" t="s">
        <v>554</v>
      </c>
      <c r="P3124" s="8" t="s">
        <v>405</v>
      </c>
      <c r="Q3124" s="12" t="s">
        <v>17215</v>
      </c>
      <c r="R3124" s="8" t="s">
        <v>100</v>
      </c>
      <c r="S3124" s="7" t="s">
        <v>28</v>
      </c>
      <c r="T3124" s="6"/>
      <c r="U3124" s="8"/>
    </row>
    <row r="3125" spans="1:21" ht="13.5" customHeight="1">
      <c r="A3125" s="8" t="s">
        <v>17232</v>
      </c>
      <c r="B3125" s="16">
        <v>45</v>
      </c>
      <c r="C3125" s="8" t="s">
        <v>20</v>
      </c>
      <c r="D3125" s="8" t="s">
        <v>30</v>
      </c>
      <c r="F3125" s="17">
        <v>41404</v>
      </c>
      <c r="G3125" s="8" t="s">
        <v>17233</v>
      </c>
      <c r="H3125" s="8" t="s">
        <v>882</v>
      </c>
      <c r="I3125" s="8" t="s">
        <v>44</v>
      </c>
      <c r="J3125" s="16" t="s">
        <v>17234</v>
      </c>
      <c r="K3125" s="2" t="s">
        <v>17235</v>
      </c>
      <c r="L3125" s="8" t="s">
        <v>409</v>
      </c>
      <c r="M3125" s="8" t="s">
        <v>27</v>
      </c>
      <c r="N3125" s="8" t="s">
        <v>17236</v>
      </c>
      <c r="O3125" s="8" t="s">
        <v>554</v>
      </c>
      <c r="P3125" s="8" t="s">
        <v>405</v>
      </c>
      <c r="Q3125" s="12" t="s">
        <v>17237</v>
      </c>
      <c r="R3125" s="8" t="s">
        <v>100</v>
      </c>
      <c r="S3125" s="7" t="s">
        <v>28</v>
      </c>
      <c r="T3125" s="6"/>
      <c r="U3125" s="8"/>
    </row>
    <row r="3126" spans="1:21" ht="13.5" customHeight="1">
      <c r="A3126" s="8" t="s">
        <v>17228</v>
      </c>
      <c r="B3126" s="16" t="s">
        <v>8581</v>
      </c>
      <c r="C3126" s="8" t="s">
        <v>20</v>
      </c>
      <c r="D3126" s="8" t="s">
        <v>30</v>
      </c>
      <c r="F3126" s="17">
        <v>41404</v>
      </c>
      <c r="G3126" s="8" t="s">
        <v>17229</v>
      </c>
      <c r="H3126" s="8" t="s">
        <v>14272</v>
      </c>
      <c r="I3126" s="8" t="s">
        <v>220</v>
      </c>
      <c r="J3126" s="16" t="s">
        <v>14273</v>
      </c>
      <c r="K3126" s="2" t="s">
        <v>14274</v>
      </c>
      <c r="L3126" s="8" t="s">
        <v>409</v>
      </c>
      <c r="M3126" s="8" t="s">
        <v>27</v>
      </c>
      <c r="N3126" s="8" t="s">
        <v>17230</v>
      </c>
      <c r="O3126" s="8" t="s">
        <v>29</v>
      </c>
      <c r="P3126" s="8" t="s">
        <v>405</v>
      </c>
      <c r="Q3126" s="12" t="s">
        <v>17231</v>
      </c>
      <c r="R3126" s="8" t="s">
        <v>100</v>
      </c>
      <c r="S3126" s="7" t="s">
        <v>28</v>
      </c>
      <c r="T3126" s="6"/>
      <c r="U3126" s="8"/>
    </row>
    <row r="3127" spans="1:21" ht="13.5" customHeight="1">
      <c r="A3127" s="8" t="s">
        <v>17256</v>
      </c>
      <c r="B3127" s="16">
        <v>58</v>
      </c>
      <c r="C3127" s="8" t="s">
        <v>20</v>
      </c>
      <c r="D3127" s="8" t="s">
        <v>48</v>
      </c>
      <c r="F3127" s="17">
        <v>41403</v>
      </c>
      <c r="G3127" s="8" t="s">
        <v>17257</v>
      </c>
      <c r="H3127" s="8" t="s">
        <v>7741</v>
      </c>
      <c r="I3127" s="8" t="s">
        <v>62</v>
      </c>
      <c r="J3127" s="16" t="s">
        <v>7742</v>
      </c>
      <c r="K3127" s="2" t="s">
        <v>51</v>
      </c>
      <c r="L3127" s="8" t="s">
        <v>17258</v>
      </c>
      <c r="M3127" s="8" t="s">
        <v>27</v>
      </c>
      <c r="N3127" s="8" t="s">
        <v>17259</v>
      </c>
      <c r="O3127" s="8" t="s">
        <v>554</v>
      </c>
      <c r="P3127" s="8" t="s">
        <v>405</v>
      </c>
      <c r="Q3127" s="12" t="s">
        <v>17260</v>
      </c>
      <c r="R3127" s="8" t="s">
        <v>100</v>
      </c>
      <c r="S3127" s="7" t="s">
        <v>28</v>
      </c>
      <c r="T3127" s="6"/>
      <c r="U3127" s="8"/>
    </row>
    <row r="3128" spans="1:21" ht="13.5" customHeight="1">
      <c r="A3128" s="8" t="s">
        <v>17261</v>
      </c>
      <c r="B3128" s="16" t="s">
        <v>10445</v>
      </c>
      <c r="C3128" s="8" t="s">
        <v>20</v>
      </c>
      <c r="D3128" s="8" t="s">
        <v>30</v>
      </c>
      <c r="F3128" s="17">
        <v>41403</v>
      </c>
      <c r="G3128" s="8" t="s">
        <v>17262</v>
      </c>
      <c r="H3128" s="8" t="s">
        <v>313</v>
      </c>
      <c r="I3128" s="8" t="s">
        <v>45</v>
      </c>
      <c r="J3128" s="16" t="s">
        <v>6146</v>
      </c>
      <c r="K3128" s="2" t="s">
        <v>313</v>
      </c>
      <c r="L3128" s="8" t="s">
        <v>17263</v>
      </c>
      <c r="M3128" s="8" t="s">
        <v>27</v>
      </c>
      <c r="N3128" s="8" t="s">
        <v>17264</v>
      </c>
      <c r="O3128" s="8" t="s">
        <v>29</v>
      </c>
      <c r="P3128" s="8" t="s">
        <v>405</v>
      </c>
      <c r="Q3128" s="12" t="s">
        <v>17265</v>
      </c>
      <c r="R3128" s="8" t="s">
        <v>100</v>
      </c>
      <c r="S3128" s="7" t="s">
        <v>28</v>
      </c>
      <c r="T3128" s="6"/>
      <c r="U3128" s="8"/>
    </row>
    <row r="3129" spans="1:21" ht="13.5" customHeight="1">
      <c r="A3129" s="8" t="s">
        <v>17248</v>
      </c>
      <c r="B3129" s="16">
        <v>38</v>
      </c>
      <c r="C3129" s="8" t="s">
        <v>20</v>
      </c>
      <c r="D3129" s="8" t="s">
        <v>85</v>
      </c>
      <c r="E3129" s="8" t="s">
        <v>17249</v>
      </c>
      <c r="F3129" s="17">
        <v>41403</v>
      </c>
      <c r="G3129" s="8" t="s">
        <v>17250</v>
      </c>
      <c r="H3129" s="8" t="s">
        <v>17251</v>
      </c>
      <c r="I3129" s="8" t="s">
        <v>62</v>
      </c>
      <c r="J3129" s="16" t="s">
        <v>17252</v>
      </c>
      <c r="K3129" s="2" t="s">
        <v>3940</v>
      </c>
      <c r="L3129" s="8" t="s">
        <v>17253</v>
      </c>
      <c r="M3129" s="8" t="s">
        <v>383</v>
      </c>
      <c r="N3129" s="8" t="s">
        <v>17254</v>
      </c>
      <c r="O3129" s="8" t="s">
        <v>554</v>
      </c>
      <c r="P3129" s="8" t="s">
        <v>405</v>
      </c>
      <c r="Q3129" s="12" t="s">
        <v>17255</v>
      </c>
      <c r="R3129" s="8" t="s">
        <v>100</v>
      </c>
      <c r="S3129" s="7" t="s">
        <v>28</v>
      </c>
      <c r="T3129" s="6"/>
      <c r="U3129" s="8"/>
    </row>
    <row r="3130" spans="1:21" ht="13.5" customHeight="1">
      <c r="A3130" s="8" t="s">
        <v>3288</v>
      </c>
      <c r="B3130" s="16">
        <v>21</v>
      </c>
      <c r="C3130" s="8" t="s">
        <v>20</v>
      </c>
      <c r="D3130" s="8" t="s">
        <v>30</v>
      </c>
      <c r="F3130" s="17">
        <v>41403</v>
      </c>
      <c r="G3130" s="8" t="s">
        <v>17266</v>
      </c>
      <c r="H3130" s="8" t="s">
        <v>1110</v>
      </c>
      <c r="I3130" s="8" t="s">
        <v>408</v>
      </c>
      <c r="J3130" s="16" t="s">
        <v>17267</v>
      </c>
      <c r="K3130" s="2" t="s">
        <v>1110</v>
      </c>
      <c r="L3130" s="8" t="s">
        <v>1111</v>
      </c>
      <c r="M3130" s="8" t="s">
        <v>27</v>
      </c>
      <c r="N3130" s="8" t="s">
        <v>17268</v>
      </c>
      <c r="O3130" s="8" t="s">
        <v>1018</v>
      </c>
      <c r="P3130" s="8" t="s">
        <v>405</v>
      </c>
      <c r="Q3130" s="12" t="s">
        <v>17269</v>
      </c>
      <c r="R3130" s="8" t="s">
        <v>100</v>
      </c>
      <c r="S3130" s="7" t="s">
        <v>28</v>
      </c>
      <c r="T3130" s="6"/>
      <c r="U3130" s="8"/>
    </row>
    <row r="3131" spans="1:21" ht="13.5" customHeight="1">
      <c r="A3131" s="8" t="s">
        <v>17270</v>
      </c>
      <c r="B3131" s="16">
        <v>54</v>
      </c>
      <c r="C3131" s="8" t="s">
        <v>115</v>
      </c>
      <c r="D3131" s="8" t="s">
        <v>85</v>
      </c>
      <c r="E3131" s="8" t="s">
        <v>17271</v>
      </c>
      <c r="F3131" s="17">
        <v>41402</v>
      </c>
      <c r="G3131" s="8" t="s">
        <v>17272</v>
      </c>
      <c r="H3131" s="8" t="s">
        <v>87</v>
      </c>
      <c r="I3131" s="8" t="s">
        <v>44</v>
      </c>
      <c r="J3131" s="16" t="s">
        <v>1693</v>
      </c>
      <c r="K3131" s="2" t="s">
        <v>88</v>
      </c>
      <c r="L3131" s="8" t="s">
        <v>89</v>
      </c>
      <c r="M3131" s="8" t="s">
        <v>383</v>
      </c>
      <c r="N3131" s="8" t="s">
        <v>17273</v>
      </c>
      <c r="O3131" s="8" t="s">
        <v>17274</v>
      </c>
      <c r="P3131" s="8" t="s">
        <v>1171</v>
      </c>
      <c r="Q3131" s="12" t="s">
        <v>17275</v>
      </c>
      <c r="R3131" s="8" t="s">
        <v>100</v>
      </c>
      <c r="S3131" s="7" t="s">
        <v>28</v>
      </c>
      <c r="T3131" s="6"/>
      <c r="U3131" s="8"/>
    </row>
    <row r="3132" spans="1:21" ht="13.5" customHeight="1">
      <c r="A3132" s="8" t="s">
        <v>17287</v>
      </c>
      <c r="B3132" s="16">
        <v>33</v>
      </c>
      <c r="C3132" s="8" t="s">
        <v>20</v>
      </c>
      <c r="D3132" s="8" t="s">
        <v>37</v>
      </c>
      <c r="E3132" s="8" t="s">
        <v>17288</v>
      </c>
      <c r="F3132" s="17">
        <v>41402</v>
      </c>
      <c r="G3132" s="8" t="s">
        <v>17289</v>
      </c>
      <c r="H3132" s="8" t="s">
        <v>686</v>
      </c>
      <c r="I3132" s="8" t="s">
        <v>45</v>
      </c>
      <c r="J3132" s="16" t="s">
        <v>3286</v>
      </c>
      <c r="K3132" s="2" t="s">
        <v>687</v>
      </c>
      <c r="L3132" s="8" t="s">
        <v>755</v>
      </c>
      <c r="M3132" s="8" t="s">
        <v>3189</v>
      </c>
      <c r="N3132" s="8" t="s">
        <v>17290</v>
      </c>
      <c r="O3132" s="8" t="s">
        <v>554</v>
      </c>
      <c r="P3132" s="8" t="s">
        <v>405</v>
      </c>
      <c r="Q3132" s="12" t="s">
        <v>17291</v>
      </c>
      <c r="R3132" s="8" t="s">
        <v>100</v>
      </c>
      <c r="S3132" s="7" t="s">
        <v>28</v>
      </c>
      <c r="T3132" s="6"/>
      <c r="U3132" s="8"/>
    </row>
    <row r="3133" spans="1:21" ht="13.5" customHeight="1">
      <c r="A3133" s="8" t="s">
        <v>3288</v>
      </c>
      <c r="B3133" s="16" t="s">
        <v>2437</v>
      </c>
      <c r="C3133" s="8" t="s">
        <v>20</v>
      </c>
      <c r="D3133" s="8" t="s">
        <v>30</v>
      </c>
      <c r="F3133" s="17">
        <v>41402</v>
      </c>
      <c r="G3133" s="8" t="s">
        <v>17276</v>
      </c>
      <c r="H3133" s="8" t="s">
        <v>216</v>
      </c>
      <c r="I3133" s="8" t="s">
        <v>62</v>
      </c>
      <c r="J3133" s="16" t="s">
        <v>13514</v>
      </c>
      <c r="K3133" s="2" t="s">
        <v>163</v>
      </c>
      <c r="L3133" s="8" t="s">
        <v>164</v>
      </c>
      <c r="M3133" s="8" t="s">
        <v>27</v>
      </c>
      <c r="N3133" s="8" t="s">
        <v>17277</v>
      </c>
      <c r="O3133" s="8" t="s">
        <v>1018</v>
      </c>
      <c r="P3133" s="8" t="s">
        <v>405</v>
      </c>
      <c r="Q3133" s="12" t="s">
        <v>17278</v>
      </c>
      <c r="R3133" s="8" t="s">
        <v>100</v>
      </c>
      <c r="S3133" s="7" t="s">
        <v>28</v>
      </c>
      <c r="T3133" s="6"/>
      <c r="U3133" s="8"/>
    </row>
    <row r="3134" spans="1:21" ht="13.5" customHeight="1">
      <c r="A3134" s="8" t="s">
        <v>17279</v>
      </c>
      <c r="B3134" s="16" t="s">
        <v>13621</v>
      </c>
      <c r="C3134" s="8" t="s">
        <v>20</v>
      </c>
      <c r="D3134" s="8" t="s">
        <v>37</v>
      </c>
      <c r="E3134" s="8" t="s">
        <v>17280</v>
      </c>
      <c r="F3134" s="17">
        <v>41402</v>
      </c>
      <c r="G3134" s="8" t="s">
        <v>17281</v>
      </c>
      <c r="H3134" s="8" t="s">
        <v>17282</v>
      </c>
      <c r="I3134" s="8" t="s">
        <v>862</v>
      </c>
      <c r="J3134" s="16" t="s">
        <v>17283</v>
      </c>
      <c r="K3134" s="2" t="s">
        <v>15170</v>
      </c>
      <c r="L3134" s="8" t="s">
        <v>17284</v>
      </c>
      <c r="M3134" s="8" t="s">
        <v>27</v>
      </c>
      <c r="N3134" s="8" t="s">
        <v>17285</v>
      </c>
      <c r="O3134" s="8" t="s">
        <v>554</v>
      </c>
      <c r="P3134" s="8" t="s">
        <v>405</v>
      </c>
      <c r="Q3134" s="12" t="s">
        <v>17286</v>
      </c>
      <c r="R3134" s="8" t="s">
        <v>100</v>
      </c>
      <c r="S3134" s="7" t="s">
        <v>28</v>
      </c>
      <c r="T3134" s="6"/>
      <c r="U3134" s="8"/>
    </row>
    <row r="3135" spans="1:21" ht="13.5" customHeight="1">
      <c r="A3135" s="8" t="s">
        <v>17297</v>
      </c>
      <c r="B3135" s="16" t="s">
        <v>16330</v>
      </c>
      <c r="C3135" s="8" t="s">
        <v>20</v>
      </c>
      <c r="D3135" s="8" t="s">
        <v>48</v>
      </c>
      <c r="E3135" s="8" t="s">
        <v>17298</v>
      </c>
      <c r="F3135" s="17">
        <v>41401</v>
      </c>
      <c r="G3135" s="8" t="s">
        <v>17299</v>
      </c>
      <c r="H3135" s="8" t="s">
        <v>12288</v>
      </c>
      <c r="I3135" s="8" t="s">
        <v>62</v>
      </c>
      <c r="J3135" s="16" t="s">
        <v>12289</v>
      </c>
      <c r="K3135" s="2" t="s">
        <v>1269</v>
      </c>
      <c r="L3135" s="8" t="s">
        <v>13756</v>
      </c>
      <c r="M3135" s="8" t="s">
        <v>27</v>
      </c>
      <c r="N3135" s="8" t="s">
        <v>17300</v>
      </c>
      <c r="O3135" s="8" t="s">
        <v>554</v>
      </c>
      <c r="P3135" s="8" t="s">
        <v>405</v>
      </c>
      <c r="Q3135" s="12" t="s">
        <v>17301</v>
      </c>
      <c r="R3135" s="8" t="s">
        <v>100</v>
      </c>
      <c r="S3135" s="7" t="s">
        <v>28</v>
      </c>
      <c r="T3135" s="6"/>
      <c r="U3135" s="8"/>
    </row>
    <row r="3136" spans="1:21" ht="13.5" customHeight="1">
      <c r="A3136" s="8" t="s">
        <v>17302</v>
      </c>
      <c r="B3136" s="16" t="s">
        <v>10999</v>
      </c>
      <c r="C3136" s="8" t="s">
        <v>20</v>
      </c>
      <c r="D3136" s="8" t="s">
        <v>48</v>
      </c>
      <c r="F3136" s="17">
        <v>41401</v>
      </c>
      <c r="G3136" s="8" t="s">
        <v>17303</v>
      </c>
      <c r="H3136" s="8" t="s">
        <v>216</v>
      </c>
      <c r="I3136" s="8" t="s">
        <v>62</v>
      </c>
      <c r="J3136" s="16" t="s">
        <v>13514</v>
      </c>
      <c r="K3136" s="2" t="s">
        <v>163</v>
      </c>
      <c r="L3136" s="8" t="s">
        <v>164</v>
      </c>
      <c r="M3136" s="8" t="s">
        <v>27</v>
      </c>
      <c r="N3136" s="8" t="s">
        <v>17304</v>
      </c>
      <c r="O3136" s="8" t="s">
        <v>29</v>
      </c>
      <c r="P3136" s="8" t="s">
        <v>405</v>
      </c>
      <c r="Q3136" s="12" t="s">
        <v>17305</v>
      </c>
      <c r="R3136" s="8" t="s">
        <v>100</v>
      </c>
      <c r="S3136" s="7" t="s">
        <v>28</v>
      </c>
      <c r="T3136" s="6"/>
      <c r="U3136" s="8"/>
    </row>
    <row r="3137" spans="1:39" ht="13.5" customHeight="1">
      <c r="A3137" s="8" t="s">
        <v>17292</v>
      </c>
      <c r="B3137" s="16" t="s">
        <v>8822</v>
      </c>
      <c r="C3137" s="8" t="s">
        <v>115</v>
      </c>
      <c r="D3137" s="8" t="s">
        <v>85</v>
      </c>
      <c r="E3137" s="8" t="s">
        <v>17293</v>
      </c>
      <c r="F3137" s="17">
        <v>41401</v>
      </c>
      <c r="G3137" s="8" t="s">
        <v>17294</v>
      </c>
      <c r="H3137" s="8" t="s">
        <v>1608</v>
      </c>
      <c r="I3137" s="8" t="s">
        <v>52</v>
      </c>
      <c r="J3137" s="16" t="s">
        <v>2798</v>
      </c>
      <c r="K3137" s="2" t="s">
        <v>4755</v>
      </c>
      <c r="L3137" s="8" t="s">
        <v>2799</v>
      </c>
      <c r="M3137" s="8" t="s">
        <v>27</v>
      </c>
      <c r="N3137" s="8" t="s">
        <v>17295</v>
      </c>
      <c r="O3137" s="8" t="s">
        <v>619</v>
      </c>
      <c r="P3137" s="8" t="s">
        <v>405</v>
      </c>
      <c r="Q3137" s="12" t="s">
        <v>17296</v>
      </c>
      <c r="R3137" s="8" t="s">
        <v>100</v>
      </c>
      <c r="S3137" s="7" t="s">
        <v>28</v>
      </c>
      <c r="T3137" s="6"/>
      <c r="U3137" s="8"/>
    </row>
    <row r="3138" spans="1:39" ht="13.5" customHeight="1">
      <c r="A3138" s="8" t="s">
        <v>17306</v>
      </c>
      <c r="B3138" s="16">
        <v>32</v>
      </c>
      <c r="C3138" s="8" t="s">
        <v>20</v>
      </c>
      <c r="D3138" s="8" t="s">
        <v>21</v>
      </c>
      <c r="E3138" s="8" t="s">
        <v>17307</v>
      </c>
      <c r="F3138" s="17">
        <v>41400</v>
      </c>
      <c r="G3138" s="8" t="s">
        <v>17308</v>
      </c>
      <c r="H3138" s="8" t="s">
        <v>6466</v>
      </c>
      <c r="I3138" s="8" t="s">
        <v>45</v>
      </c>
      <c r="J3138" s="16" t="s">
        <v>6467</v>
      </c>
      <c r="K3138" s="2" t="s">
        <v>3463</v>
      </c>
      <c r="L3138" s="8" t="s">
        <v>6468</v>
      </c>
      <c r="M3138" s="8" t="s">
        <v>27</v>
      </c>
      <c r="N3138" s="8" t="s">
        <v>17309</v>
      </c>
      <c r="O3138" s="8" t="s">
        <v>29</v>
      </c>
      <c r="P3138" s="8" t="s">
        <v>405</v>
      </c>
      <c r="Q3138" s="12" t="s">
        <v>17310</v>
      </c>
      <c r="R3138" s="8" t="s">
        <v>559</v>
      </c>
      <c r="S3138" s="7" t="s">
        <v>28</v>
      </c>
      <c r="T3138" s="6"/>
      <c r="U3138" s="8"/>
      <c r="AI3138" s="8"/>
      <c r="AJ3138" s="8"/>
      <c r="AK3138" s="8"/>
      <c r="AL3138" s="8"/>
      <c r="AM3138" s="8"/>
    </row>
    <row r="3139" spans="1:39" ht="13.5" customHeight="1">
      <c r="A3139" s="8" t="s">
        <v>17316</v>
      </c>
      <c r="B3139" s="16">
        <v>17</v>
      </c>
      <c r="C3139" s="8" t="s">
        <v>20</v>
      </c>
      <c r="D3139" s="8" t="s">
        <v>85</v>
      </c>
      <c r="E3139" s="8" t="s">
        <v>17317</v>
      </c>
      <c r="F3139" s="17">
        <v>41399</v>
      </c>
      <c r="G3139" s="8" t="s">
        <v>17318</v>
      </c>
      <c r="H3139" s="8" t="s">
        <v>762</v>
      </c>
      <c r="I3139" s="8" t="s">
        <v>427</v>
      </c>
      <c r="J3139" s="16" t="s">
        <v>17319</v>
      </c>
      <c r="K3139" s="2" t="s">
        <v>1729</v>
      </c>
      <c r="L3139" s="8" t="s">
        <v>586</v>
      </c>
      <c r="M3139" s="8" t="s">
        <v>3189</v>
      </c>
      <c r="N3139" s="8" t="s">
        <v>17320</v>
      </c>
      <c r="O3139" s="8" t="s">
        <v>1018</v>
      </c>
      <c r="P3139" s="8" t="s">
        <v>405</v>
      </c>
      <c r="Q3139" s="12" t="s">
        <v>17321</v>
      </c>
      <c r="R3139" s="8" t="s">
        <v>100</v>
      </c>
      <c r="S3139" s="7" t="s">
        <v>28</v>
      </c>
      <c r="T3139" s="6"/>
      <c r="U3139" s="8"/>
    </row>
    <row r="3140" spans="1:39" ht="13.5" customHeight="1">
      <c r="A3140" s="8" t="s">
        <v>17311</v>
      </c>
      <c r="B3140" s="16" t="s">
        <v>16678</v>
      </c>
      <c r="C3140" s="8" t="s">
        <v>20</v>
      </c>
      <c r="D3140" s="8" t="s">
        <v>85</v>
      </c>
      <c r="E3140" s="8" t="s">
        <v>17312</v>
      </c>
      <c r="F3140" s="17">
        <v>41399</v>
      </c>
      <c r="G3140" s="8" t="s">
        <v>17313</v>
      </c>
      <c r="H3140" s="8" t="s">
        <v>87</v>
      </c>
      <c r="I3140" s="8" t="s">
        <v>44</v>
      </c>
      <c r="J3140" s="16" t="s">
        <v>16305</v>
      </c>
      <c r="K3140" s="2" t="s">
        <v>88</v>
      </c>
      <c r="L3140" s="8" t="s">
        <v>89</v>
      </c>
      <c r="M3140" s="8" t="s">
        <v>27</v>
      </c>
      <c r="N3140" s="8" t="s">
        <v>17314</v>
      </c>
      <c r="O3140" s="8" t="s">
        <v>29</v>
      </c>
      <c r="P3140" s="8" t="s">
        <v>405</v>
      </c>
      <c r="Q3140" s="12" t="s">
        <v>17315</v>
      </c>
      <c r="R3140" s="8" t="s">
        <v>559</v>
      </c>
      <c r="S3140" s="7" t="s">
        <v>28</v>
      </c>
      <c r="T3140" s="6"/>
      <c r="U3140" s="8"/>
    </row>
    <row r="3141" spans="1:39" ht="13.5" customHeight="1">
      <c r="A3141" s="8" t="s">
        <v>17338</v>
      </c>
      <c r="B3141" s="16">
        <v>46</v>
      </c>
      <c r="C3141" s="8" t="s">
        <v>20</v>
      </c>
      <c r="D3141" s="8" t="s">
        <v>30</v>
      </c>
      <c r="F3141" s="17">
        <v>41398</v>
      </c>
      <c r="G3141" s="8" t="s">
        <v>17339</v>
      </c>
      <c r="H3141" s="8" t="s">
        <v>17340</v>
      </c>
      <c r="I3141" s="8" t="s">
        <v>247</v>
      </c>
      <c r="J3141" s="16" t="s">
        <v>17341</v>
      </c>
      <c r="K3141" s="2" t="s">
        <v>2430</v>
      </c>
      <c r="L3141" s="8" t="s">
        <v>17342</v>
      </c>
      <c r="M3141" s="8" t="s">
        <v>2437</v>
      </c>
      <c r="N3141" s="8" t="s">
        <v>17343</v>
      </c>
      <c r="O3141" s="8" t="s">
        <v>404</v>
      </c>
      <c r="P3141" s="8" t="s">
        <v>405</v>
      </c>
      <c r="Q3141" s="12" t="s">
        <v>17344</v>
      </c>
      <c r="R3141" s="8" t="s">
        <v>559</v>
      </c>
      <c r="S3141" s="7" t="s">
        <v>28</v>
      </c>
      <c r="T3141" s="6"/>
      <c r="U3141" s="8"/>
    </row>
    <row r="3142" spans="1:39" ht="13.5" customHeight="1">
      <c r="A3142" s="8" t="s">
        <v>17322</v>
      </c>
      <c r="B3142" s="16" t="s">
        <v>16209</v>
      </c>
      <c r="C3142" s="8" t="s">
        <v>20</v>
      </c>
      <c r="D3142" s="8" t="s">
        <v>85</v>
      </c>
      <c r="E3142" s="8" t="s">
        <v>17323</v>
      </c>
      <c r="F3142" s="17">
        <v>41398</v>
      </c>
      <c r="G3142" s="8" t="s">
        <v>17324</v>
      </c>
      <c r="H3142" s="8" t="s">
        <v>1069</v>
      </c>
      <c r="I3142" s="8" t="s">
        <v>62</v>
      </c>
      <c r="J3142" s="16" t="s">
        <v>17325</v>
      </c>
      <c r="K3142" s="2" t="s">
        <v>1070</v>
      </c>
      <c r="L3142" s="8" t="s">
        <v>1071</v>
      </c>
      <c r="M3142" s="8" t="s">
        <v>27</v>
      </c>
      <c r="N3142" s="8" t="s">
        <v>17326</v>
      </c>
      <c r="O3142" s="8" t="s">
        <v>29</v>
      </c>
      <c r="P3142" s="8" t="s">
        <v>405</v>
      </c>
      <c r="Q3142" s="12" t="s">
        <v>17327</v>
      </c>
      <c r="R3142" s="8" t="s">
        <v>100</v>
      </c>
      <c r="S3142" s="7" t="s">
        <v>28</v>
      </c>
      <c r="T3142" s="6"/>
      <c r="U3142" s="8"/>
    </row>
    <row r="3143" spans="1:39" ht="13.5" customHeight="1">
      <c r="A3143" s="8" t="s">
        <v>3288</v>
      </c>
      <c r="B3143" s="16" t="s">
        <v>29</v>
      </c>
      <c r="C3143" s="8" t="s">
        <v>20</v>
      </c>
      <c r="D3143" s="8" t="s">
        <v>30</v>
      </c>
      <c r="F3143" s="17">
        <v>41398</v>
      </c>
      <c r="G3143" s="8" t="s">
        <v>17334</v>
      </c>
      <c r="H3143" s="8" t="s">
        <v>216</v>
      </c>
      <c r="I3143" s="8" t="s">
        <v>62</v>
      </c>
      <c r="J3143" s="16" t="s">
        <v>17335</v>
      </c>
      <c r="K3143" s="2" t="s">
        <v>163</v>
      </c>
      <c r="L3143" s="8" t="s">
        <v>164</v>
      </c>
      <c r="M3143" s="8" t="s">
        <v>27</v>
      </c>
      <c r="N3143" s="8" t="s">
        <v>17336</v>
      </c>
      <c r="O3143" s="8" t="s">
        <v>2437</v>
      </c>
      <c r="P3143" s="8" t="s">
        <v>405</v>
      </c>
      <c r="Q3143" s="12" t="s">
        <v>17337</v>
      </c>
      <c r="R3143" s="8" t="s">
        <v>29</v>
      </c>
      <c r="S3143" s="7" t="s">
        <v>28</v>
      </c>
      <c r="T3143" s="6"/>
      <c r="U3143" s="8"/>
    </row>
    <row r="3144" spans="1:39" ht="13.5" customHeight="1">
      <c r="A3144" s="8" t="s">
        <v>17328</v>
      </c>
      <c r="B3144" s="16" t="s">
        <v>13621</v>
      </c>
      <c r="C3144" s="8" t="s">
        <v>20</v>
      </c>
      <c r="D3144" s="8" t="s">
        <v>48</v>
      </c>
      <c r="F3144" s="17">
        <v>41398</v>
      </c>
      <c r="G3144" s="8" t="s">
        <v>17329</v>
      </c>
      <c r="H3144" s="8" t="s">
        <v>12040</v>
      </c>
      <c r="I3144" s="8" t="s">
        <v>45</v>
      </c>
      <c r="J3144" s="16" t="s">
        <v>17330</v>
      </c>
      <c r="K3144" s="2" t="s">
        <v>158</v>
      </c>
      <c r="L3144" s="8" t="s">
        <v>17331</v>
      </c>
      <c r="M3144" s="8" t="s">
        <v>27</v>
      </c>
      <c r="N3144" s="8" t="s">
        <v>17332</v>
      </c>
      <c r="O3144" s="8" t="s">
        <v>29</v>
      </c>
      <c r="P3144" s="8" t="s">
        <v>405</v>
      </c>
      <c r="Q3144" s="12" t="s">
        <v>17333</v>
      </c>
      <c r="R3144" s="8" t="s">
        <v>559</v>
      </c>
      <c r="S3144" s="7" t="s">
        <v>28</v>
      </c>
      <c r="T3144" s="6"/>
      <c r="U3144" s="8"/>
    </row>
    <row r="3145" spans="1:39" ht="13.5" customHeight="1">
      <c r="A3145" s="8" t="s">
        <v>17345</v>
      </c>
      <c r="B3145" s="16" t="s">
        <v>13716</v>
      </c>
      <c r="C3145" s="8" t="s">
        <v>20</v>
      </c>
      <c r="D3145" s="8" t="s">
        <v>37</v>
      </c>
      <c r="F3145" s="17">
        <v>41397</v>
      </c>
      <c r="G3145" s="8" t="s">
        <v>17346</v>
      </c>
      <c r="H3145" s="8" t="s">
        <v>6039</v>
      </c>
      <c r="I3145" s="8" t="s">
        <v>118</v>
      </c>
      <c r="J3145" s="16" t="s">
        <v>17347</v>
      </c>
      <c r="K3145" s="2" t="s">
        <v>51</v>
      </c>
      <c r="L3145" s="8" t="s">
        <v>2069</v>
      </c>
      <c r="M3145" s="8" t="s">
        <v>27</v>
      </c>
      <c r="N3145" s="8" t="s">
        <v>17348</v>
      </c>
      <c r="O3145" s="8" t="s">
        <v>29</v>
      </c>
      <c r="P3145" s="8" t="s">
        <v>405</v>
      </c>
      <c r="Q3145" s="12" t="s">
        <v>17349</v>
      </c>
      <c r="R3145" s="8" t="s">
        <v>100</v>
      </c>
      <c r="S3145" s="7" t="s">
        <v>28</v>
      </c>
      <c r="T3145" s="6"/>
      <c r="U3145" s="8"/>
    </row>
    <row r="3146" spans="1:39" ht="13.5" customHeight="1">
      <c r="A3146" s="8" t="s">
        <v>17350</v>
      </c>
      <c r="B3146" s="16" t="s">
        <v>13621</v>
      </c>
      <c r="C3146" s="8" t="s">
        <v>20</v>
      </c>
      <c r="D3146" s="8" t="s">
        <v>85</v>
      </c>
      <c r="E3146" s="8" t="s">
        <v>17351</v>
      </c>
      <c r="F3146" s="17">
        <v>41396</v>
      </c>
      <c r="G3146" s="8" t="s">
        <v>17352</v>
      </c>
      <c r="H3146" s="8" t="s">
        <v>731</v>
      </c>
      <c r="I3146" s="8" t="s">
        <v>73</v>
      </c>
      <c r="J3146" s="16" t="s">
        <v>17353</v>
      </c>
      <c r="K3146" s="2" t="s">
        <v>562</v>
      </c>
      <c r="L3146" s="8" t="s">
        <v>17354</v>
      </c>
      <c r="M3146" s="8" t="s">
        <v>27</v>
      </c>
      <c r="N3146" s="8" t="s">
        <v>17355</v>
      </c>
      <c r="O3146" s="8" t="s">
        <v>619</v>
      </c>
      <c r="P3146" s="8" t="s">
        <v>405</v>
      </c>
      <c r="Q3146" s="12" t="s">
        <v>17356</v>
      </c>
      <c r="R3146" s="8" t="s">
        <v>559</v>
      </c>
      <c r="S3146" s="7" t="s">
        <v>28</v>
      </c>
      <c r="T3146" s="6"/>
      <c r="U3146" s="8"/>
    </row>
    <row r="3147" spans="1:39" ht="13.5" customHeight="1">
      <c r="A3147" s="8" t="s">
        <v>17363</v>
      </c>
      <c r="B3147" s="16">
        <v>38</v>
      </c>
      <c r="C3147" s="8" t="s">
        <v>20</v>
      </c>
      <c r="D3147" s="8" t="s">
        <v>85</v>
      </c>
      <c r="E3147" s="8" t="s">
        <v>17364</v>
      </c>
      <c r="F3147" s="17">
        <v>41396</v>
      </c>
      <c r="G3147" s="8" t="s">
        <v>17365</v>
      </c>
      <c r="H3147" s="8" t="s">
        <v>1104</v>
      </c>
      <c r="I3147" s="8" t="s">
        <v>399</v>
      </c>
      <c r="J3147" s="16" t="s">
        <v>12359</v>
      </c>
      <c r="K3147" s="2" t="s">
        <v>1105</v>
      </c>
      <c r="L3147" s="8" t="s">
        <v>1106</v>
      </c>
      <c r="M3147" s="8" t="s">
        <v>8585</v>
      </c>
      <c r="N3147" s="8" t="s">
        <v>17366</v>
      </c>
      <c r="O3147" s="8" t="s">
        <v>404</v>
      </c>
      <c r="P3147" s="8" t="s">
        <v>405</v>
      </c>
      <c r="Q3147" s="12" t="s">
        <v>17367</v>
      </c>
      <c r="R3147" s="8" t="s">
        <v>559</v>
      </c>
      <c r="S3147" s="7" t="s">
        <v>28</v>
      </c>
      <c r="T3147" s="6"/>
      <c r="U3147" s="8"/>
    </row>
    <row r="3148" spans="1:39" ht="13.5" customHeight="1">
      <c r="A3148" s="8" t="s">
        <v>17375</v>
      </c>
      <c r="B3148" s="16" t="s">
        <v>13608</v>
      </c>
      <c r="C3148" s="8" t="s">
        <v>20</v>
      </c>
      <c r="D3148" s="8" t="s">
        <v>37</v>
      </c>
      <c r="E3148" s="8" t="s">
        <v>17376</v>
      </c>
      <c r="F3148" s="17">
        <v>41396</v>
      </c>
      <c r="G3148" s="8" t="s">
        <v>17377</v>
      </c>
      <c r="H3148" s="8" t="s">
        <v>17378</v>
      </c>
      <c r="I3148" s="8" t="s">
        <v>476</v>
      </c>
      <c r="J3148" s="16" t="s">
        <v>17379</v>
      </c>
      <c r="K3148" s="2" t="s">
        <v>475</v>
      </c>
      <c r="L3148" s="8" t="s">
        <v>17380</v>
      </c>
      <c r="M3148" s="8" t="s">
        <v>27</v>
      </c>
      <c r="N3148" s="8" t="s">
        <v>17381</v>
      </c>
      <c r="O3148" s="8" t="s">
        <v>29</v>
      </c>
      <c r="P3148" s="8" t="s">
        <v>405</v>
      </c>
      <c r="Q3148" s="12" t="s">
        <v>17382</v>
      </c>
      <c r="R3148" s="8" t="s">
        <v>554</v>
      </c>
      <c r="S3148" s="7" t="s">
        <v>28</v>
      </c>
      <c r="T3148" s="6"/>
      <c r="U3148" s="8"/>
    </row>
    <row r="3149" spans="1:39" ht="13.5" customHeight="1">
      <c r="A3149" s="8" t="s">
        <v>17368</v>
      </c>
      <c r="B3149" s="16" t="s">
        <v>9284</v>
      </c>
      <c r="C3149" s="8" t="s">
        <v>20</v>
      </c>
      <c r="D3149" s="8" t="s">
        <v>48</v>
      </c>
      <c r="F3149" s="17">
        <v>41396</v>
      </c>
      <c r="G3149" s="8" t="s">
        <v>17369</v>
      </c>
      <c r="H3149" s="8" t="s">
        <v>17370</v>
      </c>
      <c r="I3149" s="8" t="s">
        <v>427</v>
      </c>
      <c r="J3149" s="16" t="s">
        <v>17371</v>
      </c>
      <c r="K3149" s="2" t="s">
        <v>17370</v>
      </c>
      <c r="L3149" s="8" t="s">
        <v>17372</v>
      </c>
      <c r="M3149" s="8" t="s">
        <v>27</v>
      </c>
      <c r="N3149" s="8" t="s">
        <v>17373</v>
      </c>
      <c r="O3149" s="8" t="s">
        <v>29</v>
      </c>
      <c r="P3149" s="8" t="s">
        <v>405</v>
      </c>
      <c r="Q3149" s="12" t="s">
        <v>17374</v>
      </c>
      <c r="R3149" s="8" t="s">
        <v>29</v>
      </c>
      <c r="S3149" s="7" t="s">
        <v>28</v>
      </c>
      <c r="T3149" s="6"/>
      <c r="U3149" s="8"/>
    </row>
    <row r="3150" spans="1:39" ht="13.5" customHeight="1">
      <c r="A3150" s="8" t="s">
        <v>17357</v>
      </c>
      <c r="B3150" s="16" t="s">
        <v>16077</v>
      </c>
      <c r="C3150" s="8" t="s">
        <v>20</v>
      </c>
      <c r="D3150" s="8" t="s">
        <v>85</v>
      </c>
      <c r="E3150" s="8" t="s">
        <v>17358</v>
      </c>
      <c r="F3150" s="17">
        <v>41396</v>
      </c>
      <c r="G3150" s="8" t="s">
        <v>17359</v>
      </c>
      <c r="H3150" s="8" t="s">
        <v>1818</v>
      </c>
      <c r="I3150" s="8" t="s">
        <v>220</v>
      </c>
      <c r="J3150" s="16" t="s">
        <v>17360</v>
      </c>
      <c r="K3150" s="2" t="s">
        <v>1820</v>
      </c>
      <c r="L3150" s="8" t="s">
        <v>1821</v>
      </c>
      <c r="M3150" s="8" t="s">
        <v>27</v>
      </c>
      <c r="N3150" s="8" t="s">
        <v>17361</v>
      </c>
      <c r="O3150" s="8" t="s">
        <v>29</v>
      </c>
      <c r="P3150" s="8" t="s">
        <v>405</v>
      </c>
      <c r="Q3150" s="12" t="s">
        <v>17362</v>
      </c>
      <c r="R3150" s="8" t="s">
        <v>972</v>
      </c>
      <c r="S3150" s="7" t="s">
        <v>28</v>
      </c>
      <c r="T3150" s="6"/>
      <c r="U3150" s="8"/>
    </row>
    <row r="3151" spans="1:39" ht="13.5" customHeight="1">
      <c r="A3151" s="8" t="s">
        <v>17383</v>
      </c>
      <c r="B3151" s="16" t="s">
        <v>8868</v>
      </c>
      <c r="C3151" s="8" t="s">
        <v>20</v>
      </c>
      <c r="D3151" s="8" t="s">
        <v>85</v>
      </c>
      <c r="E3151" s="8" t="s">
        <v>17384</v>
      </c>
      <c r="F3151" s="17">
        <v>41395</v>
      </c>
      <c r="G3151" s="8" t="s">
        <v>17385</v>
      </c>
      <c r="H3151" s="8" t="s">
        <v>448</v>
      </c>
      <c r="I3151" s="8" t="s">
        <v>57</v>
      </c>
      <c r="J3151" s="16" t="s">
        <v>17386</v>
      </c>
      <c r="K3151" s="2" t="s">
        <v>1139</v>
      </c>
      <c r="L3151" s="8" t="s">
        <v>17387</v>
      </c>
      <c r="M3151" s="8" t="s">
        <v>27</v>
      </c>
      <c r="N3151" s="8" t="s">
        <v>17388</v>
      </c>
      <c r="O3151" s="8" t="s">
        <v>1170</v>
      </c>
      <c r="P3151" s="8" t="s">
        <v>1171</v>
      </c>
      <c r="Q3151" s="12" t="s">
        <v>17389</v>
      </c>
      <c r="R3151" s="8" t="s">
        <v>100</v>
      </c>
      <c r="S3151" s="7" t="s">
        <v>28</v>
      </c>
      <c r="T3151" s="6"/>
      <c r="U3151" s="8"/>
    </row>
    <row r="3152" spans="1:39" ht="13.5" customHeight="1">
      <c r="A3152" s="8" t="s">
        <v>17404</v>
      </c>
      <c r="B3152" s="16" t="s">
        <v>16282</v>
      </c>
      <c r="C3152" s="8" t="s">
        <v>20</v>
      </c>
      <c r="D3152" s="8" t="s">
        <v>30</v>
      </c>
      <c r="F3152" s="17">
        <v>41395</v>
      </c>
      <c r="G3152" s="8" t="s">
        <v>17405</v>
      </c>
      <c r="H3152" s="8" t="s">
        <v>283</v>
      </c>
      <c r="I3152" s="8" t="s">
        <v>73</v>
      </c>
      <c r="J3152" s="16" t="s">
        <v>17406</v>
      </c>
      <c r="K3152" s="2" t="s">
        <v>7091</v>
      </c>
      <c r="L3152" s="8" t="s">
        <v>17407</v>
      </c>
      <c r="M3152" s="8" t="s">
        <v>27</v>
      </c>
      <c r="N3152" s="8" t="s">
        <v>17408</v>
      </c>
      <c r="O3152" s="8" t="s">
        <v>29</v>
      </c>
      <c r="P3152" s="8" t="s">
        <v>405</v>
      </c>
      <c r="Q3152" s="12" t="s">
        <v>17409</v>
      </c>
      <c r="R3152" s="8" t="s">
        <v>29</v>
      </c>
      <c r="S3152" s="7" t="s">
        <v>28</v>
      </c>
      <c r="T3152" s="6"/>
      <c r="U3152" s="8"/>
    </row>
    <row r="3153" spans="1:21" ht="13.5" customHeight="1">
      <c r="A3153" s="8" t="s">
        <v>17400</v>
      </c>
      <c r="B3153" s="16" t="s">
        <v>29</v>
      </c>
      <c r="C3153" s="8" t="s">
        <v>20</v>
      </c>
      <c r="D3153" s="8" t="s">
        <v>30</v>
      </c>
      <c r="F3153" s="17">
        <v>41395</v>
      </c>
      <c r="G3153" s="8" t="s">
        <v>17401</v>
      </c>
      <c r="H3153" s="8" t="s">
        <v>98</v>
      </c>
      <c r="I3153" s="8" t="s">
        <v>45</v>
      </c>
      <c r="J3153" s="16" t="s">
        <v>3971</v>
      </c>
      <c r="K3153" s="2" t="s">
        <v>98</v>
      </c>
      <c r="L3153" s="8" t="s">
        <v>99</v>
      </c>
      <c r="M3153" s="8" t="s">
        <v>27</v>
      </c>
      <c r="N3153" s="8" t="s">
        <v>17402</v>
      </c>
      <c r="O3153" s="8" t="s">
        <v>1018</v>
      </c>
      <c r="P3153" s="8" t="s">
        <v>405</v>
      </c>
      <c r="Q3153" s="12" t="s">
        <v>17403</v>
      </c>
      <c r="R3153" s="8" t="s">
        <v>29</v>
      </c>
      <c r="S3153" s="7" t="s">
        <v>28</v>
      </c>
      <c r="T3153" s="6"/>
      <c r="U3153" s="8"/>
    </row>
    <row r="3154" spans="1:21" ht="13.5" customHeight="1">
      <c r="A3154" s="8" t="s">
        <v>17396</v>
      </c>
      <c r="B3154" s="16">
        <v>55</v>
      </c>
      <c r="C3154" s="8" t="s">
        <v>20</v>
      </c>
      <c r="D3154" s="8" t="s">
        <v>85</v>
      </c>
      <c r="F3154" s="17">
        <v>41395</v>
      </c>
      <c r="G3154" s="8" t="s">
        <v>17397</v>
      </c>
      <c r="H3154" s="8" t="s">
        <v>98</v>
      </c>
      <c r="I3154" s="8" t="s">
        <v>45</v>
      </c>
      <c r="J3154" s="16" t="s">
        <v>3971</v>
      </c>
      <c r="K3154" s="2" t="s">
        <v>98</v>
      </c>
      <c r="L3154" s="8" t="s">
        <v>14360</v>
      </c>
      <c r="M3154" s="8" t="s">
        <v>27</v>
      </c>
      <c r="N3154" s="8" t="s">
        <v>17398</v>
      </c>
      <c r="O3154" s="8" t="s">
        <v>1018</v>
      </c>
      <c r="P3154" s="8" t="s">
        <v>405</v>
      </c>
      <c r="Q3154" s="12" t="s">
        <v>17399</v>
      </c>
      <c r="R3154" s="8" t="s">
        <v>29</v>
      </c>
      <c r="S3154" s="7" t="s">
        <v>28</v>
      </c>
      <c r="T3154" s="6"/>
      <c r="U3154" s="8"/>
    </row>
    <row r="3155" spans="1:21" ht="13.5" customHeight="1">
      <c r="A3155" s="8" t="s">
        <v>17390</v>
      </c>
      <c r="B3155" s="16">
        <v>20</v>
      </c>
      <c r="C3155" s="8" t="s">
        <v>20</v>
      </c>
      <c r="D3155" s="8" t="s">
        <v>85</v>
      </c>
      <c r="E3155" s="8" t="s">
        <v>17391</v>
      </c>
      <c r="F3155" s="17">
        <v>41395</v>
      </c>
      <c r="G3155" s="8" t="s">
        <v>17392</v>
      </c>
      <c r="H3155" s="8" t="s">
        <v>6022</v>
      </c>
      <c r="I3155" s="8" t="s">
        <v>370</v>
      </c>
      <c r="J3155" s="16" t="s">
        <v>17393</v>
      </c>
      <c r="K3155" s="2" t="s">
        <v>3187</v>
      </c>
      <c r="L3155" s="8" t="s">
        <v>6024</v>
      </c>
      <c r="M3155" s="8" t="s">
        <v>27</v>
      </c>
      <c r="N3155" s="8" t="s">
        <v>17394</v>
      </c>
      <c r="O3155" s="8" t="s">
        <v>554</v>
      </c>
      <c r="P3155" s="8" t="s">
        <v>405</v>
      </c>
      <c r="Q3155" s="12" t="s">
        <v>17395</v>
      </c>
      <c r="R3155" s="8" t="s">
        <v>100</v>
      </c>
      <c r="S3155" s="7" t="s">
        <v>28</v>
      </c>
      <c r="T3155" s="6"/>
      <c r="U3155" s="8"/>
    </row>
    <row r="3156" spans="1:21" ht="13.5" customHeight="1">
      <c r="A3156" s="8" t="s">
        <v>17410</v>
      </c>
      <c r="B3156" s="16" t="s">
        <v>8868</v>
      </c>
      <c r="C3156" s="8" t="s">
        <v>20</v>
      </c>
      <c r="D3156" s="8" t="s">
        <v>85</v>
      </c>
      <c r="E3156" s="8" t="s">
        <v>17411</v>
      </c>
      <c r="F3156" s="17">
        <v>41394</v>
      </c>
      <c r="G3156" s="8" t="s">
        <v>17412</v>
      </c>
      <c r="H3156" s="8" t="s">
        <v>4951</v>
      </c>
      <c r="I3156" s="8" t="s">
        <v>220</v>
      </c>
      <c r="J3156" s="16" t="s">
        <v>17413</v>
      </c>
      <c r="K3156" s="2" t="s">
        <v>1115</v>
      </c>
      <c r="L3156" s="8" t="s">
        <v>17414</v>
      </c>
      <c r="M3156" s="8" t="s">
        <v>27</v>
      </c>
      <c r="N3156" s="8" t="s">
        <v>17415</v>
      </c>
      <c r="O3156" s="8" t="s">
        <v>619</v>
      </c>
      <c r="P3156" s="8" t="s">
        <v>405</v>
      </c>
      <c r="Q3156" s="12" t="s">
        <v>17416</v>
      </c>
      <c r="R3156" s="8" t="s">
        <v>29</v>
      </c>
      <c r="S3156" s="7" t="s">
        <v>28</v>
      </c>
      <c r="T3156" s="6"/>
      <c r="U3156" s="8"/>
    </row>
    <row r="3157" spans="1:21" ht="13.5" customHeight="1">
      <c r="A3157" s="8" t="s">
        <v>17417</v>
      </c>
      <c r="B3157" s="16" t="s">
        <v>13608</v>
      </c>
      <c r="C3157" s="8" t="s">
        <v>20</v>
      </c>
      <c r="D3157" s="8" t="s">
        <v>48</v>
      </c>
      <c r="F3157" s="17">
        <v>41394</v>
      </c>
      <c r="G3157" s="8" t="s">
        <v>17418</v>
      </c>
      <c r="H3157" s="8" t="s">
        <v>98</v>
      </c>
      <c r="I3157" s="8" t="s">
        <v>45</v>
      </c>
      <c r="J3157" s="16" t="s">
        <v>3036</v>
      </c>
      <c r="K3157" s="2" t="s">
        <v>98</v>
      </c>
      <c r="L3157" s="8" t="s">
        <v>99</v>
      </c>
      <c r="M3157" s="8" t="s">
        <v>27</v>
      </c>
      <c r="N3157" s="8" t="s">
        <v>17419</v>
      </c>
      <c r="O3157" s="8" t="s">
        <v>29</v>
      </c>
      <c r="P3157" s="8" t="s">
        <v>405</v>
      </c>
      <c r="Q3157" s="12" t="s">
        <v>17420</v>
      </c>
      <c r="R3157" s="8" t="s">
        <v>100</v>
      </c>
      <c r="S3157" s="7" t="s">
        <v>28</v>
      </c>
      <c r="T3157" s="6"/>
      <c r="U3157" s="8"/>
    </row>
    <row r="3158" spans="1:21" ht="13.5" customHeight="1">
      <c r="A3158" s="8" t="s">
        <v>17421</v>
      </c>
      <c r="B3158" s="16" t="s">
        <v>16342</v>
      </c>
      <c r="C3158" s="8" t="s">
        <v>20</v>
      </c>
      <c r="D3158" s="8" t="s">
        <v>30</v>
      </c>
      <c r="F3158" s="17">
        <v>41394</v>
      </c>
      <c r="G3158" s="8" t="s">
        <v>17422</v>
      </c>
      <c r="H3158" s="8" t="s">
        <v>17423</v>
      </c>
      <c r="I3158" s="8" t="s">
        <v>247</v>
      </c>
      <c r="J3158" s="16" t="s">
        <v>17424</v>
      </c>
      <c r="K3158" s="2" t="s">
        <v>17425</v>
      </c>
      <c r="L3158" s="8" t="s">
        <v>17426</v>
      </c>
      <c r="M3158" s="8" t="s">
        <v>27</v>
      </c>
      <c r="N3158" s="8" t="s">
        <v>17427</v>
      </c>
      <c r="O3158" s="8" t="s">
        <v>29</v>
      </c>
      <c r="P3158" s="8" t="s">
        <v>405</v>
      </c>
      <c r="Q3158" s="12" t="s">
        <v>17428</v>
      </c>
      <c r="R3158" s="8" t="s">
        <v>29</v>
      </c>
      <c r="S3158" s="7" t="s">
        <v>28</v>
      </c>
      <c r="T3158" s="6"/>
      <c r="U3158" s="8"/>
    </row>
    <row r="3159" spans="1:21" ht="13.5" customHeight="1">
      <c r="A3159" s="8" t="s">
        <v>17435</v>
      </c>
      <c r="B3159" s="16">
        <v>28</v>
      </c>
      <c r="C3159" s="8" t="s">
        <v>20</v>
      </c>
      <c r="D3159" s="8" t="s">
        <v>37</v>
      </c>
      <c r="E3159" s="8" t="s">
        <v>17436</v>
      </c>
      <c r="F3159" s="17">
        <v>41394</v>
      </c>
      <c r="G3159" s="8" t="s">
        <v>17437</v>
      </c>
      <c r="H3159" s="8" t="s">
        <v>17438</v>
      </c>
      <c r="I3159" s="8" t="s">
        <v>243</v>
      </c>
      <c r="J3159" s="16" t="s">
        <v>17439</v>
      </c>
      <c r="K3159" s="2" t="s">
        <v>17440</v>
      </c>
      <c r="L3159" s="8" t="s">
        <v>17441</v>
      </c>
      <c r="M3159" s="8" t="s">
        <v>1706</v>
      </c>
      <c r="N3159" s="8" t="s">
        <v>17442</v>
      </c>
      <c r="O3159" s="8" t="s">
        <v>29</v>
      </c>
      <c r="P3159" s="8" t="s">
        <v>405</v>
      </c>
      <c r="Q3159" s="12" t="s">
        <v>17443</v>
      </c>
      <c r="R3159" s="8" t="s">
        <v>559</v>
      </c>
      <c r="S3159" s="7" t="s">
        <v>28</v>
      </c>
      <c r="T3159" s="6"/>
      <c r="U3159" s="8"/>
    </row>
    <row r="3160" spans="1:21" ht="13.5" customHeight="1">
      <c r="A3160" s="8" t="s">
        <v>8368</v>
      </c>
      <c r="B3160" s="16" t="s">
        <v>10445</v>
      </c>
      <c r="C3160" s="8" t="s">
        <v>20</v>
      </c>
      <c r="D3160" s="8" t="s">
        <v>30</v>
      </c>
      <c r="F3160" s="17">
        <v>41394</v>
      </c>
      <c r="G3160" s="8" t="s">
        <v>17429</v>
      </c>
      <c r="H3160" s="8" t="s">
        <v>17430</v>
      </c>
      <c r="I3160" s="8" t="s">
        <v>198</v>
      </c>
      <c r="J3160" s="16" t="s">
        <v>17431</v>
      </c>
      <c r="K3160" s="2" t="s">
        <v>6796</v>
      </c>
      <c r="L3160" s="8" t="s">
        <v>17432</v>
      </c>
      <c r="M3160" s="8" t="s">
        <v>27</v>
      </c>
      <c r="N3160" s="8" t="s">
        <v>17433</v>
      </c>
      <c r="O3160" s="8" t="s">
        <v>554</v>
      </c>
      <c r="P3160" s="8" t="s">
        <v>405</v>
      </c>
      <c r="Q3160" s="12" t="s">
        <v>17434</v>
      </c>
      <c r="R3160" s="8" t="s">
        <v>29</v>
      </c>
      <c r="S3160" s="7" t="s">
        <v>28</v>
      </c>
      <c r="T3160" s="6"/>
      <c r="U3160" s="8"/>
    </row>
    <row r="3161" spans="1:21" ht="13.5" customHeight="1">
      <c r="A3161" s="8" t="s">
        <v>17444</v>
      </c>
      <c r="B3161" s="16">
        <v>34</v>
      </c>
      <c r="C3161" s="8" t="s">
        <v>20</v>
      </c>
      <c r="D3161" s="8" t="s">
        <v>48</v>
      </c>
      <c r="F3161" s="17">
        <v>41393</v>
      </c>
      <c r="G3161" s="8" t="s">
        <v>17445</v>
      </c>
      <c r="H3161" s="8" t="s">
        <v>1069</v>
      </c>
      <c r="I3161" s="8" t="s">
        <v>62</v>
      </c>
      <c r="J3161" s="16" t="s">
        <v>17446</v>
      </c>
      <c r="K3161" s="2" t="s">
        <v>1070</v>
      </c>
      <c r="L3161" s="8" t="s">
        <v>4480</v>
      </c>
      <c r="M3161" s="8" t="s">
        <v>27</v>
      </c>
      <c r="N3161" s="8" t="s">
        <v>17447</v>
      </c>
      <c r="O3161" s="8" t="s">
        <v>1018</v>
      </c>
      <c r="P3161" s="8" t="s">
        <v>405</v>
      </c>
      <c r="Q3161" s="12" t="s">
        <v>17448</v>
      </c>
      <c r="R3161" s="8" t="s">
        <v>100</v>
      </c>
      <c r="S3161" s="7" t="s">
        <v>28</v>
      </c>
      <c r="T3161" s="6"/>
      <c r="U3161" s="8"/>
    </row>
    <row r="3162" spans="1:21" ht="13.5" customHeight="1">
      <c r="A3162" s="8" t="s">
        <v>3288</v>
      </c>
      <c r="B3162" s="16" t="s">
        <v>16015</v>
      </c>
      <c r="C3162" s="8" t="s">
        <v>20</v>
      </c>
      <c r="D3162" s="8" t="s">
        <v>30</v>
      </c>
      <c r="F3162" s="17">
        <v>41393</v>
      </c>
      <c r="G3162" s="8" t="s">
        <v>17461</v>
      </c>
      <c r="H3162" s="8" t="s">
        <v>1110</v>
      </c>
      <c r="I3162" s="8" t="s">
        <v>408</v>
      </c>
      <c r="J3162" s="16" t="s">
        <v>17462</v>
      </c>
      <c r="K3162" s="2" t="s">
        <v>1110</v>
      </c>
      <c r="L3162" s="8" t="s">
        <v>1111</v>
      </c>
      <c r="M3162" s="8" t="s">
        <v>27</v>
      </c>
      <c r="N3162" s="8" t="s">
        <v>17463</v>
      </c>
      <c r="O3162" s="8" t="s">
        <v>554</v>
      </c>
      <c r="P3162" s="8" t="s">
        <v>405</v>
      </c>
      <c r="Q3162" s="12" t="s">
        <v>17464</v>
      </c>
      <c r="R3162" s="8" t="s">
        <v>29</v>
      </c>
      <c r="S3162" s="7" t="s">
        <v>28</v>
      </c>
      <c r="T3162" s="6"/>
      <c r="U3162" s="8"/>
    </row>
    <row r="3163" spans="1:21" ht="13.5" customHeight="1">
      <c r="A3163" s="8" t="s">
        <v>17454</v>
      </c>
      <c r="B3163" s="16" t="s">
        <v>17455</v>
      </c>
      <c r="C3163" s="8" t="s">
        <v>20</v>
      </c>
      <c r="D3163" s="8" t="s">
        <v>30</v>
      </c>
      <c r="F3163" s="17">
        <v>41393</v>
      </c>
      <c r="G3163" s="8" t="s">
        <v>17456</v>
      </c>
      <c r="H3163" s="8" t="s">
        <v>17457</v>
      </c>
      <c r="I3163" s="8" t="s">
        <v>220</v>
      </c>
      <c r="J3163" s="16" t="s">
        <v>17458</v>
      </c>
      <c r="K3163" s="2" t="s">
        <v>2708</v>
      </c>
      <c r="L3163" s="8" t="s">
        <v>19505</v>
      </c>
      <c r="M3163" s="8" t="s">
        <v>27</v>
      </c>
      <c r="N3163" s="8" t="s">
        <v>17459</v>
      </c>
      <c r="O3163" s="8" t="s">
        <v>29</v>
      </c>
      <c r="P3163" s="8" t="s">
        <v>405</v>
      </c>
      <c r="Q3163" s="12" t="s">
        <v>17460</v>
      </c>
      <c r="R3163" s="8" t="s">
        <v>100</v>
      </c>
      <c r="S3163" s="7" t="s">
        <v>28</v>
      </c>
      <c r="T3163" s="6"/>
      <c r="U3163" s="8"/>
    </row>
    <row r="3164" spans="1:21" ht="13.5" customHeight="1">
      <c r="A3164" s="8" t="s">
        <v>17449</v>
      </c>
      <c r="B3164" s="16" t="s">
        <v>16396</v>
      </c>
      <c r="C3164" s="8" t="s">
        <v>20</v>
      </c>
      <c r="D3164" s="8" t="s">
        <v>30</v>
      </c>
      <c r="F3164" s="17">
        <v>41393</v>
      </c>
      <c r="G3164" s="8" t="s">
        <v>17450</v>
      </c>
      <c r="H3164" s="8" t="s">
        <v>657</v>
      </c>
      <c r="I3164" s="8" t="s">
        <v>62</v>
      </c>
      <c r="J3164" s="16" t="s">
        <v>17451</v>
      </c>
      <c r="K3164" s="2" t="s">
        <v>658</v>
      </c>
      <c r="L3164" s="8" t="s">
        <v>659</v>
      </c>
      <c r="M3164" s="8" t="s">
        <v>27</v>
      </c>
      <c r="N3164" s="8" t="s">
        <v>17452</v>
      </c>
      <c r="O3164" s="8" t="s">
        <v>29</v>
      </c>
      <c r="P3164" s="8" t="s">
        <v>405</v>
      </c>
      <c r="Q3164" s="12" t="s">
        <v>17453</v>
      </c>
      <c r="R3164" s="8" t="s">
        <v>100</v>
      </c>
      <c r="S3164" s="7" t="s">
        <v>28</v>
      </c>
      <c r="T3164" s="6"/>
      <c r="U3164" s="8"/>
    </row>
    <row r="3165" spans="1:21" ht="13.5" customHeight="1">
      <c r="A3165" s="8" t="s">
        <v>17465</v>
      </c>
      <c r="B3165" s="16" t="s">
        <v>16209</v>
      </c>
      <c r="C3165" s="8" t="s">
        <v>20</v>
      </c>
      <c r="D3165" s="8" t="s">
        <v>48</v>
      </c>
      <c r="F3165" s="17">
        <v>41392</v>
      </c>
      <c r="G3165" s="8" t="s">
        <v>17466</v>
      </c>
      <c r="H3165" s="8" t="s">
        <v>493</v>
      </c>
      <c r="I3165" s="8" t="s">
        <v>45</v>
      </c>
      <c r="J3165" s="16" t="s">
        <v>16903</v>
      </c>
      <c r="K3165" s="2" t="s">
        <v>98</v>
      </c>
      <c r="L3165" s="8" t="s">
        <v>494</v>
      </c>
      <c r="M3165" s="8" t="s">
        <v>27</v>
      </c>
      <c r="N3165" s="8" t="s">
        <v>17467</v>
      </c>
      <c r="O3165" s="8" t="s">
        <v>29</v>
      </c>
      <c r="P3165" s="8" t="s">
        <v>405</v>
      </c>
      <c r="Q3165" s="12" t="s">
        <v>17468</v>
      </c>
      <c r="R3165" s="8" t="s">
        <v>29</v>
      </c>
      <c r="S3165" s="7" t="s">
        <v>28</v>
      </c>
      <c r="T3165" s="6"/>
      <c r="U3165" s="8"/>
    </row>
    <row r="3166" spans="1:21" ht="13.5" customHeight="1">
      <c r="A3166" s="8" t="s">
        <v>17469</v>
      </c>
      <c r="B3166" s="16" t="s">
        <v>17470</v>
      </c>
      <c r="C3166" s="8" t="s">
        <v>115</v>
      </c>
      <c r="D3166" s="8" t="s">
        <v>37</v>
      </c>
      <c r="E3166" s="8" t="s">
        <v>17471</v>
      </c>
      <c r="F3166" s="17">
        <v>41392</v>
      </c>
      <c r="G3166" s="8" t="s">
        <v>17472</v>
      </c>
      <c r="H3166" s="8" t="s">
        <v>13659</v>
      </c>
      <c r="I3166" s="8" t="s">
        <v>62</v>
      </c>
      <c r="J3166" s="16" t="s">
        <v>14535</v>
      </c>
      <c r="K3166" s="2" t="s">
        <v>2331</v>
      </c>
      <c r="L3166" s="8" t="s">
        <v>14296</v>
      </c>
      <c r="M3166" s="8" t="s">
        <v>27</v>
      </c>
      <c r="N3166" s="8" t="s">
        <v>17473</v>
      </c>
      <c r="O3166" s="8" t="s">
        <v>29</v>
      </c>
      <c r="P3166" s="8" t="s">
        <v>405</v>
      </c>
      <c r="Q3166" s="12" t="s">
        <v>17474</v>
      </c>
      <c r="R3166" s="8" t="s">
        <v>559</v>
      </c>
      <c r="S3166" s="7" t="s">
        <v>28</v>
      </c>
      <c r="T3166" s="6"/>
      <c r="U3166" s="8"/>
    </row>
    <row r="3167" spans="1:21" ht="13.5" customHeight="1">
      <c r="A3167" s="8" t="s">
        <v>1529</v>
      </c>
      <c r="B3167" s="16" t="s">
        <v>11195</v>
      </c>
      <c r="C3167" s="8" t="s">
        <v>20</v>
      </c>
      <c r="D3167" s="8" t="s">
        <v>37</v>
      </c>
      <c r="E3167" s="8" t="s">
        <v>17500</v>
      </c>
      <c r="F3167" s="17">
        <v>41391</v>
      </c>
      <c r="G3167" s="8" t="s">
        <v>17501</v>
      </c>
      <c r="H3167" s="8" t="s">
        <v>17502</v>
      </c>
      <c r="I3167" s="8" t="s">
        <v>52</v>
      </c>
      <c r="J3167" s="16" t="s">
        <v>17503</v>
      </c>
      <c r="K3167" s="2" t="s">
        <v>3217</v>
      </c>
      <c r="L3167" s="8" t="s">
        <v>17504</v>
      </c>
      <c r="M3167" s="8" t="s">
        <v>27</v>
      </c>
      <c r="N3167" s="8" t="s">
        <v>17505</v>
      </c>
      <c r="O3167" s="8" t="s">
        <v>619</v>
      </c>
      <c r="P3167" s="8" t="s">
        <v>405</v>
      </c>
      <c r="Q3167" s="12" t="s">
        <v>17506</v>
      </c>
      <c r="R3167" s="8" t="s">
        <v>559</v>
      </c>
      <c r="S3167" s="7" t="s">
        <v>28</v>
      </c>
      <c r="T3167" s="6"/>
      <c r="U3167" s="8"/>
    </row>
    <row r="3168" spans="1:21" ht="13.5" customHeight="1">
      <c r="A3168" s="8" t="s">
        <v>17515</v>
      </c>
      <c r="B3168" s="16" t="s">
        <v>13702</v>
      </c>
      <c r="C3168" s="8" t="s">
        <v>20</v>
      </c>
      <c r="D3168" s="8" t="s">
        <v>37</v>
      </c>
      <c r="E3168" s="8" t="s">
        <v>17516</v>
      </c>
      <c r="F3168" s="17">
        <v>41391</v>
      </c>
      <c r="G3168" s="8" t="s">
        <v>17517</v>
      </c>
      <c r="H3168" s="8" t="s">
        <v>895</v>
      </c>
      <c r="I3168" s="8" t="s">
        <v>442</v>
      </c>
      <c r="J3168" s="16" t="s">
        <v>17518</v>
      </c>
      <c r="K3168" s="2" t="s">
        <v>895</v>
      </c>
      <c r="L3168" s="8" t="s">
        <v>3913</v>
      </c>
      <c r="M3168" s="8" t="s">
        <v>27</v>
      </c>
      <c r="N3168" s="8" t="s">
        <v>17519</v>
      </c>
      <c r="O3168" s="8" t="s">
        <v>29</v>
      </c>
      <c r="P3168" s="8" t="s">
        <v>405</v>
      </c>
      <c r="Q3168" s="12" t="s">
        <v>17520</v>
      </c>
      <c r="R3168" s="8" t="s">
        <v>29</v>
      </c>
      <c r="S3168" s="7" t="s">
        <v>28</v>
      </c>
      <c r="T3168" s="6"/>
      <c r="U3168" s="8"/>
    </row>
    <row r="3169" spans="1:34" ht="13.5" customHeight="1">
      <c r="A3169" s="8" t="s">
        <v>17507</v>
      </c>
      <c r="B3169" s="16" t="s">
        <v>13766</v>
      </c>
      <c r="C3169" s="8" t="s">
        <v>20</v>
      </c>
      <c r="D3169" s="8" t="s">
        <v>37</v>
      </c>
      <c r="E3169" s="8" t="s">
        <v>17508</v>
      </c>
      <c r="F3169" s="17">
        <v>41391</v>
      </c>
      <c r="G3169" s="8" t="s">
        <v>17509</v>
      </c>
      <c r="H3169" s="8" t="s">
        <v>1891</v>
      </c>
      <c r="I3169" s="8" t="s">
        <v>986</v>
      </c>
      <c r="J3169" s="16" t="s">
        <v>17510</v>
      </c>
      <c r="K3169" s="2" t="s">
        <v>17511</v>
      </c>
      <c r="L3169" s="8" t="s">
        <v>17512</v>
      </c>
      <c r="M3169" s="8" t="s">
        <v>27</v>
      </c>
      <c r="N3169" s="8" t="s">
        <v>17513</v>
      </c>
      <c r="O3169" s="8" t="s">
        <v>29</v>
      </c>
      <c r="P3169" s="8" t="s">
        <v>405</v>
      </c>
      <c r="Q3169" s="12" t="s">
        <v>17514</v>
      </c>
      <c r="R3169" s="8" t="s">
        <v>100</v>
      </c>
      <c r="S3169" s="7" t="s">
        <v>28</v>
      </c>
      <c r="T3169" s="6"/>
      <c r="U3169" s="8"/>
    </row>
    <row r="3170" spans="1:34" ht="13.5" customHeight="1">
      <c r="A3170" s="8" t="s">
        <v>17481</v>
      </c>
      <c r="B3170" s="16" t="s">
        <v>16371</v>
      </c>
      <c r="C3170" s="8" t="s">
        <v>20</v>
      </c>
      <c r="D3170" s="8" t="s">
        <v>85</v>
      </c>
      <c r="E3170" s="8" t="s">
        <v>17482</v>
      </c>
      <c r="F3170" s="17">
        <v>41391</v>
      </c>
      <c r="G3170" s="8" t="s">
        <v>17483</v>
      </c>
      <c r="H3170" s="8" t="s">
        <v>17484</v>
      </c>
      <c r="I3170" s="8" t="s">
        <v>73</v>
      </c>
      <c r="J3170" s="16" t="s">
        <v>17485</v>
      </c>
      <c r="K3170" s="2" t="s">
        <v>17486</v>
      </c>
      <c r="L3170" s="8" t="s">
        <v>17487</v>
      </c>
      <c r="M3170" s="8" t="s">
        <v>27</v>
      </c>
      <c r="N3170" s="8" t="s">
        <v>17488</v>
      </c>
      <c r="O3170" s="8" t="s">
        <v>29</v>
      </c>
      <c r="P3170" s="8" t="s">
        <v>405</v>
      </c>
      <c r="Q3170" s="12" t="s">
        <v>17489</v>
      </c>
      <c r="R3170" s="8" t="s">
        <v>29</v>
      </c>
      <c r="S3170" s="7" t="s">
        <v>28</v>
      </c>
      <c r="T3170" s="6"/>
      <c r="U3170" s="8"/>
    </row>
    <row r="3171" spans="1:34" ht="13.5" customHeight="1">
      <c r="A3171" s="8" t="s">
        <v>17490</v>
      </c>
      <c r="B3171" s="16" t="s">
        <v>9471</v>
      </c>
      <c r="C3171" s="8" t="s">
        <v>20</v>
      </c>
      <c r="D3171" s="8" t="s">
        <v>30</v>
      </c>
      <c r="F3171" s="17">
        <v>41391</v>
      </c>
      <c r="G3171" s="8" t="s">
        <v>17491</v>
      </c>
      <c r="H3171" s="8" t="s">
        <v>17492</v>
      </c>
      <c r="I3171" s="8" t="s">
        <v>62</v>
      </c>
      <c r="J3171" s="16" t="s">
        <v>15612</v>
      </c>
      <c r="K3171" s="2" t="s">
        <v>1134</v>
      </c>
      <c r="L3171" s="8" t="s">
        <v>5249</v>
      </c>
      <c r="M3171" s="8" t="s">
        <v>27</v>
      </c>
      <c r="N3171" s="8" t="s">
        <v>17493</v>
      </c>
      <c r="O3171" s="8" t="s">
        <v>29</v>
      </c>
      <c r="P3171" s="8" t="s">
        <v>405</v>
      </c>
      <c r="Q3171" s="12" t="s">
        <v>17494</v>
      </c>
      <c r="R3171" s="8" t="s">
        <v>100</v>
      </c>
      <c r="S3171" s="7" t="s">
        <v>28</v>
      </c>
      <c r="T3171" s="6"/>
      <c r="U3171" s="8"/>
    </row>
    <row r="3172" spans="1:34" ht="13.5" customHeight="1">
      <c r="A3172" s="8" t="s">
        <v>17495</v>
      </c>
      <c r="B3172" s="16" t="s">
        <v>16015</v>
      </c>
      <c r="C3172" s="8" t="s">
        <v>115</v>
      </c>
      <c r="D3172" s="8" t="s">
        <v>30</v>
      </c>
      <c r="F3172" s="17">
        <v>41391</v>
      </c>
      <c r="G3172" s="8" t="s">
        <v>17496</v>
      </c>
      <c r="H3172" s="8" t="s">
        <v>158</v>
      </c>
      <c r="I3172" s="8" t="s">
        <v>45</v>
      </c>
      <c r="J3172" s="16" t="s">
        <v>17497</v>
      </c>
      <c r="K3172" s="2" t="s">
        <v>158</v>
      </c>
      <c r="L3172" s="8" t="s">
        <v>159</v>
      </c>
      <c r="M3172" s="8" t="s">
        <v>27</v>
      </c>
      <c r="N3172" s="8" t="s">
        <v>17498</v>
      </c>
      <c r="O3172" s="8" t="s">
        <v>29</v>
      </c>
      <c r="P3172" s="8" t="s">
        <v>405</v>
      </c>
      <c r="Q3172" s="12" t="s">
        <v>17499</v>
      </c>
      <c r="R3172" s="8" t="s">
        <v>559</v>
      </c>
      <c r="S3172" s="7" t="s">
        <v>28</v>
      </c>
      <c r="T3172" s="6"/>
      <c r="U3172" s="8"/>
    </row>
    <row r="3173" spans="1:34" ht="13.5" customHeight="1">
      <c r="A3173" s="8" t="s">
        <v>17475</v>
      </c>
      <c r="B3173" s="16" t="s">
        <v>10445</v>
      </c>
      <c r="C3173" s="8" t="s">
        <v>20</v>
      </c>
      <c r="D3173" s="8" t="s">
        <v>85</v>
      </c>
      <c r="E3173" s="8" t="s">
        <v>17476</v>
      </c>
      <c r="F3173" s="17">
        <v>41391</v>
      </c>
      <c r="G3173" s="8" t="s">
        <v>17477</v>
      </c>
      <c r="H3173" s="8" t="s">
        <v>1818</v>
      </c>
      <c r="I3173" s="8" t="s">
        <v>220</v>
      </c>
      <c r="J3173" s="16" t="s">
        <v>17478</v>
      </c>
      <c r="K3173" s="2" t="s">
        <v>1820</v>
      </c>
      <c r="L3173" s="8" t="s">
        <v>1821</v>
      </c>
      <c r="M3173" s="8" t="s">
        <v>27</v>
      </c>
      <c r="N3173" s="8" t="s">
        <v>17479</v>
      </c>
      <c r="O3173" s="8" t="s">
        <v>29</v>
      </c>
      <c r="P3173" s="8" t="s">
        <v>405</v>
      </c>
      <c r="Q3173" s="12" t="s">
        <v>17480</v>
      </c>
      <c r="R3173" s="8" t="s">
        <v>100</v>
      </c>
      <c r="S3173" s="7" t="s">
        <v>18</v>
      </c>
      <c r="T3173" s="6"/>
      <c r="U3173" s="8"/>
    </row>
    <row r="3174" spans="1:34" ht="13.5" customHeight="1">
      <c r="A3174" s="8" t="s">
        <v>17528</v>
      </c>
      <c r="B3174" s="16">
        <v>24</v>
      </c>
      <c r="C3174" s="8" t="s">
        <v>20</v>
      </c>
      <c r="D3174" s="8" t="s">
        <v>85</v>
      </c>
      <c r="F3174" s="17">
        <v>41390</v>
      </c>
      <c r="G3174" s="8" t="s">
        <v>17529</v>
      </c>
      <c r="H3174" s="8" t="s">
        <v>7003</v>
      </c>
      <c r="I3174" s="8" t="s">
        <v>45</v>
      </c>
      <c r="J3174" s="16" t="s">
        <v>3338</v>
      </c>
      <c r="K3174" s="2" t="s">
        <v>98</v>
      </c>
      <c r="L3174" s="8" t="s">
        <v>5043</v>
      </c>
      <c r="M3174" s="8" t="s">
        <v>27</v>
      </c>
      <c r="N3174" s="8" t="s">
        <v>17530</v>
      </c>
      <c r="O3174" s="8" t="s">
        <v>1018</v>
      </c>
      <c r="P3174" s="8" t="s">
        <v>405</v>
      </c>
      <c r="Q3174" s="12" t="s">
        <v>17531</v>
      </c>
      <c r="R3174" s="8" t="s">
        <v>29</v>
      </c>
      <c r="S3174" s="7" t="s">
        <v>383</v>
      </c>
      <c r="T3174" s="6"/>
      <c r="U3174" s="8"/>
    </row>
    <row r="3175" spans="1:34" ht="13.5" customHeight="1">
      <c r="A3175" s="8" t="s">
        <v>17521</v>
      </c>
      <c r="B3175" s="16" t="s">
        <v>9524</v>
      </c>
      <c r="C3175" s="8" t="s">
        <v>20</v>
      </c>
      <c r="D3175" s="8" t="s">
        <v>85</v>
      </c>
      <c r="E3175" s="8" t="s">
        <v>17522</v>
      </c>
      <c r="F3175" s="17">
        <v>41390</v>
      </c>
      <c r="G3175" s="8" t="s">
        <v>17523</v>
      </c>
      <c r="H3175" s="8" t="s">
        <v>17524</v>
      </c>
      <c r="I3175" s="8" t="s">
        <v>73</v>
      </c>
      <c r="J3175" s="16" t="s">
        <v>17525</v>
      </c>
      <c r="K3175" s="2" t="s">
        <v>562</v>
      </c>
      <c r="L3175" s="8" t="s">
        <v>732</v>
      </c>
      <c r="M3175" s="8" t="s">
        <v>27</v>
      </c>
      <c r="N3175" s="8" t="s">
        <v>17526</v>
      </c>
      <c r="O3175" s="8" t="s">
        <v>29</v>
      </c>
      <c r="P3175" s="8" t="s">
        <v>405</v>
      </c>
      <c r="Q3175" s="12" t="s">
        <v>17527</v>
      </c>
      <c r="R3175" s="8" t="s">
        <v>100</v>
      </c>
      <c r="S3175" s="7" t="s">
        <v>28</v>
      </c>
      <c r="T3175" s="6"/>
      <c r="U3175" s="8"/>
    </row>
    <row r="3176" spans="1:34" ht="13.5" customHeight="1">
      <c r="A3176" s="8" t="s">
        <v>17537</v>
      </c>
      <c r="B3176" s="16" t="s">
        <v>13974</v>
      </c>
      <c r="C3176" s="8" t="s">
        <v>20</v>
      </c>
      <c r="D3176" s="8" t="s">
        <v>48</v>
      </c>
      <c r="F3176" s="17">
        <v>41389</v>
      </c>
      <c r="G3176" s="8" t="s">
        <v>17538</v>
      </c>
      <c r="H3176" s="8" t="s">
        <v>8002</v>
      </c>
      <c r="I3176" s="8" t="s">
        <v>45</v>
      </c>
      <c r="J3176" s="16" t="s">
        <v>8003</v>
      </c>
      <c r="K3176" s="2" t="s">
        <v>98</v>
      </c>
      <c r="L3176" s="8" t="s">
        <v>17539</v>
      </c>
      <c r="M3176" s="8" t="s">
        <v>27</v>
      </c>
      <c r="N3176" s="8" t="s">
        <v>17540</v>
      </c>
      <c r="O3176" s="8" t="s">
        <v>29</v>
      </c>
      <c r="P3176" s="8" t="s">
        <v>405</v>
      </c>
      <c r="Q3176" s="12" t="s">
        <v>17541</v>
      </c>
      <c r="R3176" s="8" t="s">
        <v>559</v>
      </c>
      <c r="S3176" s="7" t="s">
        <v>28</v>
      </c>
      <c r="T3176" s="6"/>
      <c r="U3176" s="8"/>
    </row>
    <row r="3177" spans="1:34" ht="13.5" customHeight="1">
      <c r="A3177" s="8" t="s">
        <v>17532</v>
      </c>
      <c r="B3177" s="16" t="s">
        <v>9524</v>
      </c>
      <c r="C3177" s="8" t="s">
        <v>20</v>
      </c>
      <c r="D3177" s="8" t="s">
        <v>85</v>
      </c>
      <c r="E3177" s="8" t="s">
        <v>17533</v>
      </c>
      <c r="F3177" s="17">
        <v>41389</v>
      </c>
      <c r="G3177" s="8" t="s">
        <v>17534</v>
      </c>
      <c r="H3177" s="8" t="s">
        <v>9858</v>
      </c>
      <c r="I3177" s="8" t="s">
        <v>986</v>
      </c>
      <c r="J3177" s="16" t="s">
        <v>11398</v>
      </c>
      <c r="K3177" s="2" t="s">
        <v>2521</v>
      </c>
      <c r="L3177" s="8" t="s">
        <v>9860</v>
      </c>
      <c r="M3177" s="8" t="s">
        <v>27</v>
      </c>
      <c r="N3177" s="8" t="s">
        <v>17535</v>
      </c>
      <c r="O3177" s="8" t="s">
        <v>29</v>
      </c>
      <c r="P3177" s="8" t="s">
        <v>405</v>
      </c>
      <c r="Q3177" s="12" t="s">
        <v>17536</v>
      </c>
      <c r="R3177" s="8" t="s">
        <v>100</v>
      </c>
      <c r="S3177" s="7" t="s">
        <v>28</v>
      </c>
      <c r="T3177" s="6"/>
      <c r="U3177" s="8"/>
    </row>
    <row r="3178" spans="1:34" ht="13.5" customHeight="1">
      <c r="A3178" s="8" t="s">
        <v>17553</v>
      </c>
      <c r="B3178" s="16" t="s">
        <v>13621</v>
      </c>
      <c r="C3178" s="8" t="s">
        <v>20</v>
      </c>
      <c r="D3178" s="8" t="s">
        <v>30</v>
      </c>
      <c r="F3178" s="17">
        <v>41388</v>
      </c>
      <c r="G3178" s="8" t="s">
        <v>17554</v>
      </c>
      <c r="H3178" s="8" t="s">
        <v>934</v>
      </c>
      <c r="I3178" s="8" t="s">
        <v>73</v>
      </c>
      <c r="J3178" s="16" t="s">
        <v>6831</v>
      </c>
      <c r="K3178" s="2" t="s">
        <v>74</v>
      </c>
      <c r="L3178" s="8" t="s">
        <v>935</v>
      </c>
      <c r="M3178" s="8" t="s">
        <v>27</v>
      </c>
      <c r="N3178" s="8" t="s">
        <v>17555</v>
      </c>
      <c r="O3178" s="8" t="s">
        <v>554</v>
      </c>
      <c r="P3178" s="8" t="s">
        <v>405</v>
      </c>
      <c r="Q3178" s="12" t="s">
        <v>17556</v>
      </c>
      <c r="R3178" s="8" t="s">
        <v>100</v>
      </c>
      <c r="S3178" s="7" t="s">
        <v>28</v>
      </c>
      <c r="T3178" s="6"/>
      <c r="U3178" s="8"/>
    </row>
    <row r="3179" spans="1:34" ht="13.5" customHeight="1">
      <c r="A3179" s="8" t="s">
        <v>17547</v>
      </c>
      <c r="B3179" s="16" t="s">
        <v>16371</v>
      </c>
      <c r="C3179" s="8" t="s">
        <v>20</v>
      </c>
      <c r="D3179" s="8" t="s">
        <v>85</v>
      </c>
      <c r="E3179" s="8" t="s">
        <v>17548</v>
      </c>
      <c r="F3179" s="17">
        <v>41388</v>
      </c>
      <c r="G3179" s="8" t="s">
        <v>17549</v>
      </c>
      <c r="H3179" s="8" t="s">
        <v>717</v>
      </c>
      <c r="I3179" s="8" t="s">
        <v>435</v>
      </c>
      <c r="J3179" s="16" t="s">
        <v>17550</v>
      </c>
      <c r="K3179" s="2" t="s">
        <v>717</v>
      </c>
      <c r="L3179" s="8" t="s">
        <v>4572</v>
      </c>
      <c r="M3179" s="8" t="s">
        <v>27</v>
      </c>
      <c r="N3179" s="8" t="s">
        <v>17551</v>
      </c>
      <c r="O3179" s="8" t="s">
        <v>29</v>
      </c>
      <c r="P3179" s="8" t="s">
        <v>405</v>
      </c>
      <c r="Q3179" s="12" t="s">
        <v>17552</v>
      </c>
      <c r="R3179" s="8" t="s">
        <v>100</v>
      </c>
      <c r="S3179" s="7" t="s">
        <v>28</v>
      </c>
      <c r="T3179" s="6"/>
      <c r="U3179" s="8"/>
    </row>
    <row r="3180" spans="1:34" ht="13.5" customHeight="1">
      <c r="A3180" s="8" t="s">
        <v>17542</v>
      </c>
      <c r="B3180" s="16" t="s">
        <v>10119</v>
      </c>
      <c r="C3180" s="8" t="s">
        <v>20</v>
      </c>
      <c r="D3180" s="8" t="s">
        <v>85</v>
      </c>
      <c r="E3180" s="8" t="s">
        <v>17543</v>
      </c>
      <c r="F3180" s="17">
        <v>41388</v>
      </c>
      <c r="G3180" s="8" t="s">
        <v>17544</v>
      </c>
      <c r="H3180" s="8" t="s">
        <v>895</v>
      </c>
      <c r="I3180" s="8" t="s">
        <v>442</v>
      </c>
      <c r="J3180" s="16" t="s">
        <v>11967</v>
      </c>
      <c r="K3180" s="2" t="s">
        <v>895</v>
      </c>
      <c r="L3180" s="8" t="s">
        <v>3913</v>
      </c>
      <c r="M3180" s="8" t="s">
        <v>27</v>
      </c>
      <c r="N3180" s="8" t="s">
        <v>17545</v>
      </c>
      <c r="O3180" s="8" t="s">
        <v>29</v>
      </c>
      <c r="P3180" s="8" t="s">
        <v>405</v>
      </c>
      <c r="Q3180" s="12" t="s">
        <v>17546</v>
      </c>
      <c r="R3180" s="8" t="s">
        <v>559</v>
      </c>
      <c r="S3180" s="7" t="s">
        <v>28</v>
      </c>
      <c r="T3180" s="6"/>
      <c r="U3180" s="8"/>
    </row>
    <row r="3181" spans="1:34" ht="13.5" customHeight="1">
      <c r="A3181" s="8" t="s">
        <v>17557</v>
      </c>
      <c r="B3181" s="16" t="s">
        <v>9471</v>
      </c>
      <c r="C3181" s="8" t="s">
        <v>20</v>
      </c>
      <c r="D3181" s="8" t="s">
        <v>85</v>
      </c>
      <c r="F3181" s="17">
        <v>41387</v>
      </c>
      <c r="G3181" s="8" t="s">
        <v>17558</v>
      </c>
      <c r="H3181" s="8" t="s">
        <v>1204</v>
      </c>
      <c r="I3181" s="8" t="s">
        <v>323</v>
      </c>
      <c r="J3181" s="16" t="s">
        <v>3760</v>
      </c>
      <c r="K3181" s="2" t="s">
        <v>1205</v>
      </c>
      <c r="L3181" s="8" t="s">
        <v>1206</v>
      </c>
      <c r="M3181" s="8" t="s">
        <v>27</v>
      </c>
      <c r="N3181" s="8" t="s">
        <v>17559</v>
      </c>
      <c r="O3181" s="8" t="s">
        <v>29</v>
      </c>
      <c r="P3181" s="8" t="s">
        <v>405</v>
      </c>
      <c r="Q3181" s="12" t="s">
        <v>17560</v>
      </c>
      <c r="R3181" s="8" t="s">
        <v>100</v>
      </c>
      <c r="S3181" s="7" t="s">
        <v>18</v>
      </c>
      <c r="T3181" s="6"/>
      <c r="U3181" s="8"/>
    </row>
    <row r="3182" spans="1:34" ht="13.5" customHeight="1">
      <c r="A3182" s="8" t="s">
        <v>17566</v>
      </c>
      <c r="B3182" s="16" t="s">
        <v>17567</v>
      </c>
      <c r="C3182" s="8" t="s">
        <v>20</v>
      </c>
      <c r="D3182" s="8" t="s">
        <v>37</v>
      </c>
      <c r="E3182" s="8" t="s">
        <v>17568</v>
      </c>
      <c r="F3182" s="17">
        <v>41387</v>
      </c>
      <c r="G3182" s="8" t="s">
        <v>17569</v>
      </c>
      <c r="H3182" s="8" t="s">
        <v>1326</v>
      </c>
      <c r="I3182" s="8" t="s">
        <v>73</v>
      </c>
      <c r="J3182" s="16" t="s">
        <v>8470</v>
      </c>
      <c r="K3182" s="2" t="s">
        <v>1327</v>
      </c>
      <c r="L3182" s="8" t="s">
        <v>1328</v>
      </c>
      <c r="M3182" s="8" t="s">
        <v>27</v>
      </c>
      <c r="N3182" s="8" t="s">
        <v>17570</v>
      </c>
      <c r="O3182" s="8" t="s">
        <v>29</v>
      </c>
      <c r="P3182" s="8" t="s">
        <v>405</v>
      </c>
      <c r="Q3182" s="12" t="s">
        <v>17571</v>
      </c>
      <c r="R3182" s="8" t="s">
        <v>559</v>
      </c>
      <c r="S3182" s="7" t="s">
        <v>28</v>
      </c>
      <c r="T3182" s="6"/>
      <c r="U3182" s="8"/>
      <c r="Y3182" s="8"/>
      <c r="Z3182" s="8"/>
      <c r="AA3182" s="8"/>
      <c r="AB3182" s="8"/>
      <c r="AC3182" s="8"/>
      <c r="AD3182" s="8"/>
      <c r="AE3182" s="8"/>
      <c r="AF3182" s="8"/>
      <c r="AG3182" s="8"/>
      <c r="AH3182" s="8"/>
    </row>
    <row r="3183" spans="1:34" ht="13.5" customHeight="1">
      <c r="A3183" s="8" t="s">
        <v>17572</v>
      </c>
      <c r="B3183" s="16" t="s">
        <v>8581</v>
      </c>
      <c r="C3183" s="8" t="s">
        <v>20</v>
      </c>
      <c r="D3183" s="8" t="s">
        <v>37</v>
      </c>
      <c r="E3183" s="8" t="s">
        <v>17573</v>
      </c>
      <c r="F3183" s="17">
        <v>41387</v>
      </c>
      <c r="G3183" s="8" t="s">
        <v>17574</v>
      </c>
      <c r="H3183" s="8" t="s">
        <v>6255</v>
      </c>
      <c r="I3183" s="8" t="s">
        <v>44</v>
      </c>
      <c r="J3183" s="16" t="s">
        <v>17575</v>
      </c>
      <c r="K3183" s="2" t="s">
        <v>7138</v>
      </c>
      <c r="L3183" s="8" t="s">
        <v>17576</v>
      </c>
      <c r="M3183" s="8" t="s">
        <v>27</v>
      </c>
      <c r="N3183" s="8" t="s">
        <v>17577</v>
      </c>
      <c r="O3183" s="8" t="s">
        <v>29</v>
      </c>
      <c r="P3183" s="8" t="s">
        <v>405</v>
      </c>
      <c r="Q3183" s="12" t="s">
        <v>17578</v>
      </c>
      <c r="R3183" s="8" t="s">
        <v>29</v>
      </c>
      <c r="S3183" s="7" t="s">
        <v>28</v>
      </c>
      <c r="T3183" s="6"/>
      <c r="U3183" s="8"/>
    </row>
    <row r="3184" spans="1:34" ht="13.5" customHeight="1">
      <c r="A3184" s="8" t="s">
        <v>17561</v>
      </c>
      <c r="B3184" s="16" t="s">
        <v>16015</v>
      </c>
      <c r="C3184" s="8" t="s">
        <v>20</v>
      </c>
      <c r="D3184" s="8" t="s">
        <v>48</v>
      </c>
      <c r="E3184" s="8" t="s">
        <v>17562</v>
      </c>
      <c r="F3184" s="17">
        <v>41387</v>
      </c>
      <c r="G3184" s="8" t="s">
        <v>17563</v>
      </c>
      <c r="H3184" s="8" t="s">
        <v>565</v>
      </c>
      <c r="I3184" s="8" t="s">
        <v>124</v>
      </c>
      <c r="J3184" s="16" t="s">
        <v>11618</v>
      </c>
      <c r="K3184" s="2" t="s">
        <v>566</v>
      </c>
      <c r="L3184" s="8" t="s">
        <v>567</v>
      </c>
      <c r="M3184" s="8" t="s">
        <v>27</v>
      </c>
      <c r="N3184" s="8" t="s">
        <v>17564</v>
      </c>
      <c r="O3184" s="8" t="s">
        <v>29</v>
      </c>
      <c r="P3184" s="8" t="s">
        <v>405</v>
      </c>
      <c r="Q3184" s="12" t="s">
        <v>17565</v>
      </c>
      <c r="R3184" s="8" t="s">
        <v>100</v>
      </c>
      <c r="S3184" s="7" t="s">
        <v>28</v>
      </c>
      <c r="T3184" s="6"/>
      <c r="U3184" s="8"/>
    </row>
    <row r="3185" spans="1:21" ht="13.5" customHeight="1">
      <c r="A3185" s="8" t="s">
        <v>17610</v>
      </c>
      <c r="B3185" s="16" t="s">
        <v>10445</v>
      </c>
      <c r="C3185" s="8" t="s">
        <v>20</v>
      </c>
      <c r="D3185" s="8" t="s">
        <v>37</v>
      </c>
      <c r="E3185" s="8" t="s">
        <v>17611</v>
      </c>
      <c r="F3185" s="17">
        <v>41386</v>
      </c>
      <c r="G3185" s="8" t="s">
        <v>17612</v>
      </c>
      <c r="H3185" s="8" t="s">
        <v>17613</v>
      </c>
      <c r="I3185" s="8" t="s">
        <v>81</v>
      </c>
      <c r="J3185" s="16" t="s">
        <v>17614</v>
      </c>
      <c r="K3185" s="2" t="s">
        <v>1414</v>
      </c>
      <c r="L3185" s="8" t="s">
        <v>17615</v>
      </c>
      <c r="M3185" s="8" t="s">
        <v>27</v>
      </c>
      <c r="N3185" s="8" t="s">
        <v>17616</v>
      </c>
      <c r="O3185" s="8" t="s">
        <v>554</v>
      </c>
      <c r="P3185" s="8" t="s">
        <v>405</v>
      </c>
      <c r="Q3185" s="12" t="s">
        <v>17617</v>
      </c>
      <c r="R3185" s="8" t="s">
        <v>29</v>
      </c>
      <c r="S3185" s="7" t="s">
        <v>28</v>
      </c>
      <c r="T3185" s="6"/>
      <c r="U3185" s="8"/>
    </row>
    <row r="3186" spans="1:21" ht="13.5" customHeight="1">
      <c r="A3186" s="8" t="s">
        <v>17597</v>
      </c>
      <c r="B3186" s="16" t="s">
        <v>10119</v>
      </c>
      <c r="C3186" s="8" t="s">
        <v>20</v>
      </c>
      <c r="D3186" s="8" t="s">
        <v>30</v>
      </c>
      <c r="F3186" s="17">
        <v>41386</v>
      </c>
      <c r="G3186" s="8" t="s">
        <v>17598</v>
      </c>
      <c r="H3186" s="8" t="s">
        <v>17599</v>
      </c>
      <c r="I3186" s="8" t="s">
        <v>175</v>
      </c>
      <c r="J3186" s="16" t="s">
        <v>17600</v>
      </c>
      <c r="K3186" s="2" t="s">
        <v>1338</v>
      </c>
      <c r="L3186" s="8" t="s">
        <v>9222</v>
      </c>
      <c r="M3186" s="8" t="s">
        <v>27</v>
      </c>
      <c r="N3186" s="8" t="s">
        <v>17601</v>
      </c>
      <c r="O3186" s="8" t="s">
        <v>29</v>
      </c>
      <c r="P3186" s="8" t="s">
        <v>405</v>
      </c>
      <c r="Q3186" s="12" t="s">
        <v>17602</v>
      </c>
      <c r="R3186" s="8" t="s">
        <v>100</v>
      </c>
      <c r="S3186" s="7" t="s">
        <v>28</v>
      </c>
      <c r="T3186" s="6"/>
      <c r="U3186" s="8"/>
    </row>
    <row r="3187" spans="1:21" ht="13.5" customHeight="1">
      <c r="A3187" s="8" t="s">
        <v>17579</v>
      </c>
      <c r="B3187" s="16" t="s">
        <v>16330</v>
      </c>
      <c r="C3187" s="8" t="s">
        <v>20</v>
      </c>
      <c r="D3187" s="8" t="s">
        <v>85</v>
      </c>
      <c r="F3187" s="17">
        <v>41386</v>
      </c>
      <c r="G3187" s="8" t="s">
        <v>17580</v>
      </c>
      <c r="H3187" s="8" t="s">
        <v>1608</v>
      </c>
      <c r="I3187" s="8" t="s">
        <v>52</v>
      </c>
      <c r="J3187" s="16" t="s">
        <v>4754</v>
      </c>
      <c r="K3187" s="2" t="s">
        <v>4755</v>
      </c>
      <c r="L3187" s="8" t="s">
        <v>2799</v>
      </c>
      <c r="M3187" s="8" t="s">
        <v>27</v>
      </c>
      <c r="N3187" s="8" t="s">
        <v>17581</v>
      </c>
      <c r="O3187" s="8" t="s">
        <v>29</v>
      </c>
      <c r="P3187" s="8" t="s">
        <v>405</v>
      </c>
      <c r="Q3187" s="12" t="s">
        <v>17582</v>
      </c>
      <c r="R3187" s="8" t="s">
        <v>100</v>
      </c>
      <c r="S3187" s="7" t="s">
        <v>28</v>
      </c>
      <c r="T3187" s="6"/>
      <c r="U3187" s="8"/>
    </row>
    <row r="3188" spans="1:21" ht="13.5" customHeight="1">
      <c r="A3188" s="8" t="s">
        <v>17583</v>
      </c>
      <c r="C3188" s="8" t="s">
        <v>20</v>
      </c>
      <c r="D3188" s="8" t="s">
        <v>30</v>
      </c>
      <c r="F3188" s="17">
        <v>41386</v>
      </c>
      <c r="G3188" s="8" t="s">
        <v>17584</v>
      </c>
      <c r="H3188" s="8" t="s">
        <v>17585</v>
      </c>
      <c r="I3188" s="8" t="s">
        <v>62</v>
      </c>
      <c r="J3188" s="16" t="s">
        <v>17586</v>
      </c>
      <c r="K3188" s="2" t="s">
        <v>9247</v>
      </c>
      <c r="L3188" s="8" t="s">
        <v>17587</v>
      </c>
      <c r="M3188" s="8" t="s">
        <v>27</v>
      </c>
      <c r="N3188" s="8" t="s">
        <v>17588</v>
      </c>
      <c r="O3188" s="8" t="s">
        <v>29</v>
      </c>
      <c r="P3188" s="8" t="s">
        <v>405</v>
      </c>
      <c r="Q3188" s="12" t="s">
        <v>17589</v>
      </c>
      <c r="R3188" s="8" t="s">
        <v>559</v>
      </c>
      <c r="S3188" s="7" t="s">
        <v>28</v>
      </c>
      <c r="T3188" s="6"/>
      <c r="U3188" s="8"/>
    </row>
    <row r="3189" spans="1:21" ht="13.5" customHeight="1">
      <c r="A3189" s="8" t="s">
        <v>17590</v>
      </c>
      <c r="B3189" s="16" t="s">
        <v>16077</v>
      </c>
      <c r="C3189" s="8" t="s">
        <v>20</v>
      </c>
      <c r="D3189" s="8" t="s">
        <v>30</v>
      </c>
      <c r="F3189" s="17">
        <v>41386</v>
      </c>
      <c r="G3189" s="8" t="s">
        <v>17591</v>
      </c>
      <c r="H3189" s="8" t="s">
        <v>17592</v>
      </c>
      <c r="I3189" s="8" t="s">
        <v>44</v>
      </c>
      <c r="J3189" s="16" t="s">
        <v>17593</v>
      </c>
      <c r="K3189" s="2" t="s">
        <v>88</v>
      </c>
      <c r="L3189" s="8" t="s">
        <v>17594</v>
      </c>
      <c r="M3189" s="8" t="s">
        <v>27</v>
      </c>
      <c r="N3189" s="8" t="s">
        <v>17595</v>
      </c>
      <c r="O3189" s="8" t="s">
        <v>29</v>
      </c>
      <c r="P3189" s="8" t="s">
        <v>405</v>
      </c>
      <c r="Q3189" s="12" t="s">
        <v>17596</v>
      </c>
      <c r="R3189" s="8" t="s">
        <v>100</v>
      </c>
      <c r="S3189" s="7" t="s">
        <v>28</v>
      </c>
      <c r="T3189" s="6"/>
      <c r="U3189" s="8"/>
    </row>
    <row r="3190" spans="1:21" ht="13.5" customHeight="1">
      <c r="A3190" s="8" t="s">
        <v>17603</v>
      </c>
      <c r="B3190" s="16">
        <v>57</v>
      </c>
      <c r="C3190" s="8" t="s">
        <v>20</v>
      </c>
      <c r="D3190" s="8" t="s">
        <v>37</v>
      </c>
      <c r="E3190" s="8" t="s">
        <v>17604</v>
      </c>
      <c r="F3190" s="17">
        <v>41386</v>
      </c>
      <c r="G3190" s="8" t="s">
        <v>17605</v>
      </c>
      <c r="H3190" s="8" t="s">
        <v>17606</v>
      </c>
      <c r="I3190" s="8" t="s">
        <v>62</v>
      </c>
      <c r="J3190" s="16" t="s">
        <v>17607</v>
      </c>
      <c r="K3190" s="2" t="s">
        <v>1786</v>
      </c>
      <c r="L3190" s="8" t="s">
        <v>3813</v>
      </c>
      <c r="M3190" s="8" t="s">
        <v>27</v>
      </c>
      <c r="N3190" s="8" t="s">
        <v>17608</v>
      </c>
      <c r="O3190" s="8" t="s">
        <v>1018</v>
      </c>
      <c r="P3190" s="8" t="s">
        <v>405</v>
      </c>
      <c r="Q3190" s="12" t="s">
        <v>17609</v>
      </c>
      <c r="R3190" s="8" t="s">
        <v>100</v>
      </c>
      <c r="S3190" s="7" t="s">
        <v>28</v>
      </c>
      <c r="T3190" s="6"/>
      <c r="U3190" s="8"/>
    </row>
    <row r="3191" spans="1:21" ht="13.5" customHeight="1">
      <c r="A3191" s="8" t="s">
        <v>17618</v>
      </c>
      <c r="B3191" s="16">
        <v>51</v>
      </c>
      <c r="C3191" s="8" t="s">
        <v>20</v>
      </c>
      <c r="D3191" s="8" t="s">
        <v>85</v>
      </c>
      <c r="E3191" s="8" t="s">
        <v>17619</v>
      </c>
      <c r="F3191" s="17">
        <v>41385</v>
      </c>
      <c r="G3191" s="8" t="s">
        <v>17620</v>
      </c>
      <c r="H3191" s="8" t="s">
        <v>288</v>
      </c>
      <c r="I3191" s="8" t="s">
        <v>73</v>
      </c>
      <c r="J3191" s="16" t="s">
        <v>10816</v>
      </c>
      <c r="K3191" s="2" t="s">
        <v>288</v>
      </c>
      <c r="L3191" s="8" t="s">
        <v>289</v>
      </c>
      <c r="M3191" s="8" t="s">
        <v>383</v>
      </c>
      <c r="N3191" s="8" t="s">
        <v>17621</v>
      </c>
      <c r="O3191" s="8" t="s">
        <v>1804</v>
      </c>
      <c r="P3191" s="8" t="s">
        <v>1171</v>
      </c>
      <c r="Q3191" s="12" t="s">
        <v>17622</v>
      </c>
      <c r="R3191" s="8" t="s">
        <v>100</v>
      </c>
      <c r="S3191" s="7" t="s">
        <v>18</v>
      </c>
      <c r="T3191" s="6"/>
      <c r="U3191" s="8"/>
    </row>
    <row r="3192" spans="1:21" ht="13.5" customHeight="1">
      <c r="A3192" s="8" t="s">
        <v>17623</v>
      </c>
      <c r="B3192" s="16" t="s">
        <v>9471</v>
      </c>
      <c r="C3192" s="8" t="s">
        <v>20</v>
      </c>
      <c r="D3192" s="8" t="s">
        <v>85</v>
      </c>
      <c r="E3192" s="8" t="s">
        <v>17624</v>
      </c>
      <c r="F3192" s="17">
        <v>41385</v>
      </c>
      <c r="G3192" s="8" t="s">
        <v>17625</v>
      </c>
      <c r="H3192" s="8" t="s">
        <v>17626</v>
      </c>
      <c r="I3192" s="8" t="s">
        <v>306</v>
      </c>
      <c r="J3192" s="16" t="s">
        <v>17627</v>
      </c>
      <c r="K3192" s="2" t="s">
        <v>1221</v>
      </c>
      <c r="L3192" s="8" t="s">
        <v>17628</v>
      </c>
      <c r="M3192" s="8" t="s">
        <v>27</v>
      </c>
      <c r="N3192" s="8" t="s">
        <v>17629</v>
      </c>
      <c r="O3192" s="8" t="s">
        <v>29</v>
      </c>
      <c r="P3192" s="8" t="s">
        <v>405</v>
      </c>
      <c r="Q3192" s="12" t="s">
        <v>17630</v>
      </c>
      <c r="R3192" s="8" t="s">
        <v>100</v>
      </c>
      <c r="S3192" s="7" t="s">
        <v>28</v>
      </c>
      <c r="T3192" s="6"/>
      <c r="U3192" s="8"/>
    </row>
    <row r="3193" spans="1:21" ht="13.5" customHeight="1">
      <c r="A3193" s="8" t="s">
        <v>17631</v>
      </c>
      <c r="B3193" s="16">
        <v>22</v>
      </c>
      <c r="C3193" s="8" t="s">
        <v>20</v>
      </c>
      <c r="D3193" s="8" t="s">
        <v>85</v>
      </c>
      <c r="E3193" s="8" t="s">
        <v>17632</v>
      </c>
      <c r="F3193" s="17">
        <v>41384</v>
      </c>
      <c r="G3193" s="8" t="s">
        <v>17633</v>
      </c>
      <c r="H3193" s="8" t="s">
        <v>61</v>
      </c>
      <c r="I3193" s="8" t="s">
        <v>62</v>
      </c>
      <c r="J3193" s="16" t="s">
        <v>13592</v>
      </c>
      <c r="K3193" s="2" t="s">
        <v>5387</v>
      </c>
      <c r="L3193" s="8" t="s">
        <v>63</v>
      </c>
      <c r="M3193" s="8" t="s">
        <v>27</v>
      </c>
      <c r="N3193" s="8" t="s">
        <v>17634</v>
      </c>
      <c r="O3193" s="8" t="s">
        <v>1018</v>
      </c>
      <c r="P3193" s="8" t="s">
        <v>405</v>
      </c>
      <c r="Q3193" s="12" t="str">
        <f>HYPERLINK("http://www.palmbeachpost.com/news/news/man-shot-and-killed-by-deputies-near-marriott-in-w/nXR2K/","http://www.palmbeachpost.com/news/news/man-shot-and-killed-by-deputies-near-marriott-in-w/nXR2K/")</f>
        <v>http://www.palmbeachpost.com/news/news/man-shot-and-killed-by-deputies-near-marriott-in-w/nXR2K/</v>
      </c>
      <c r="R3193" s="8" t="s">
        <v>100</v>
      </c>
      <c r="S3193" s="7" t="s">
        <v>18</v>
      </c>
      <c r="T3193" s="6"/>
      <c r="U3193" s="8"/>
    </row>
    <row r="3194" spans="1:21" ht="13.5" customHeight="1">
      <c r="A3194" s="8" t="s">
        <v>17635</v>
      </c>
      <c r="B3194" s="16" t="s">
        <v>10309</v>
      </c>
      <c r="C3194" s="8" t="s">
        <v>20</v>
      </c>
      <c r="D3194" s="8" t="s">
        <v>48</v>
      </c>
      <c r="E3194" s="8" t="s">
        <v>17636</v>
      </c>
      <c r="F3194" s="17">
        <v>41384</v>
      </c>
      <c r="G3194" s="8" t="s">
        <v>17637</v>
      </c>
      <c r="H3194" s="8" t="s">
        <v>638</v>
      </c>
      <c r="I3194" s="8" t="s">
        <v>124</v>
      </c>
      <c r="J3194" s="16" t="s">
        <v>16751</v>
      </c>
      <c r="K3194" s="2" t="s">
        <v>639</v>
      </c>
      <c r="L3194" s="8" t="s">
        <v>640</v>
      </c>
      <c r="M3194" s="8" t="s">
        <v>27</v>
      </c>
      <c r="N3194" s="8" t="s">
        <v>17638</v>
      </c>
      <c r="O3194" s="8" t="s">
        <v>29</v>
      </c>
      <c r="P3194" s="8" t="s">
        <v>405</v>
      </c>
      <c r="Q3194" s="12" t="s">
        <v>17639</v>
      </c>
      <c r="R3194" s="8" t="s">
        <v>100</v>
      </c>
      <c r="S3194" s="7" t="s">
        <v>28</v>
      </c>
      <c r="T3194" s="6"/>
      <c r="U3194" s="8"/>
    </row>
    <row r="3195" spans="1:21" ht="13.5" customHeight="1">
      <c r="A3195" s="8" t="s">
        <v>17652</v>
      </c>
      <c r="B3195" s="16" t="s">
        <v>16371</v>
      </c>
      <c r="C3195" s="8" t="s">
        <v>20</v>
      </c>
      <c r="D3195" s="8" t="s">
        <v>37</v>
      </c>
      <c r="E3195" s="8" t="s">
        <v>17653</v>
      </c>
      <c r="F3195" s="17">
        <v>41384</v>
      </c>
      <c r="G3195" s="8" t="s">
        <v>17654</v>
      </c>
      <c r="H3195" s="8" t="s">
        <v>17655</v>
      </c>
      <c r="I3195" s="8" t="s">
        <v>675</v>
      </c>
      <c r="J3195" s="16" t="s">
        <v>17656</v>
      </c>
      <c r="K3195" s="2" t="s">
        <v>17657</v>
      </c>
      <c r="L3195" s="8" t="s">
        <v>17658</v>
      </c>
      <c r="M3195" s="8" t="s">
        <v>27</v>
      </c>
      <c r="N3195" s="8" t="s">
        <v>17659</v>
      </c>
      <c r="O3195" s="8" t="s">
        <v>29</v>
      </c>
      <c r="P3195" s="8" t="s">
        <v>405</v>
      </c>
      <c r="Q3195" s="12" t="s">
        <v>17660</v>
      </c>
      <c r="R3195" s="8" t="s">
        <v>29</v>
      </c>
      <c r="S3195" s="7" t="s">
        <v>28</v>
      </c>
      <c r="T3195" s="6"/>
      <c r="U3195" s="8"/>
    </row>
    <row r="3196" spans="1:21" ht="13.5" customHeight="1">
      <c r="A3196" s="8" t="s">
        <v>17645</v>
      </c>
      <c r="B3196" s="16" t="s">
        <v>16015</v>
      </c>
      <c r="C3196" s="8" t="s">
        <v>20</v>
      </c>
      <c r="D3196" s="8" t="s">
        <v>37</v>
      </c>
      <c r="E3196" s="8" t="s">
        <v>17646</v>
      </c>
      <c r="F3196" s="17">
        <v>41384</v>
      </c>
      <c r="G3196" s="8" t="s">
        <v>17647</v>
      </c>
      <c r="H3196" s="8" t="s">
        <v>17648</v>
      </c>
      <c r="I3196" s="8" t="s">
        <v>124</v>
      </c>
      <c r="J3196" s="16" t="s">
        <v>17649</v>
      </c>
      <c r="K3196" s="2" t="s">
        <v>639</v>
      </c>
      <c r="L3196" s="8" t="s">
        <v>1443</v>
      </c>
      <c r="M3196" s="8" t="s">
        <v>27</v>
      </c>
      <c r="N3196" s="8" t="s">
        <v>17650</v>
      </c>
      <c r="O3196" s="8" t="s">
        <v>29</v>
      </c>
      <c r="P3196" s="8" t="s">
        <v>405</v>
      </c>
      <c r="Q3196" s="12" t="s">
        <v>17651</v>
      </c>
      <c r="R3196" s="8" t="s">
        <v>100</v>
      </c>
      <c r="S3196" s="7" t="s">
        <v>28</v>
      </c>
      <c r="T3196" s="6"/>
      <c r="U3196" s="8"/>
    </row>
    <row r="3197" spans="1:21" ht="13.5" customHeight="1">
      <c r="A3197" s="8" t="s">
        <v>17640</v>
      </c>
      <c r="B3197" s="16" t="s">
        <v>16371</v>
      </c>
      <c r="C3197" s="8" t="s">
        <v>20</v>
      </c>
      <c r="D3197" s="8" t="s">
        <v>48</v>
      </c>
      <c r="E3197" s="8" t="s">
        <v>17641</v>
      </c>
      <c r="F3197" s="17">
        <v>41384</v>
      </c>
      <c r="G3197" s="8" t="s">
        <v>17642</v>
      </c>
      <c r="H3197" s="8" t="s">
        <v>1764</v>
      </c>
      <c r="I3197" s="8" t="s">
        <v>45</v>
      </c>
      <c r="J3197" s="16" t="s">
        <v>1765</v>
      </c>
      <c r="K3197" s="2" t="s">
        <v>1175</v>
      </c>
      <c r="L3197" s="8" t="s">
        <v>1766</v>
      </c>
      <c r="M3197" s="8" t="s">
        <v>27</v>
      </c>
      <c r="N3197" s="8" t="s">
        <v>17643</v>
      </c>
      <c r="O3197" s="8" t="s">
        <v>29</v>
      </c>
      <c r="P3197" s="8" t="s">
        <v>405</v>
      </c>
      <c r="Q3197" s="12" t="s">
        <v>17644</v>
      </c>
      <c r="R3197" s="8" t="s">
        <v>29</v>
      </c>
      <c r="S3197" s="7" t="s">
        <v>28</v>
      </c>
      <c r="T3197" s="6"/>
      <c r="U3197" s="8"/>
    </row>
    <row r="3198" spans="1:21" ht="13.5" customHeight="1">
      <c r="A3198" s="8" t="s">
        <v>17661</v>
      </c>
      <c r="B3198" s="16" t="s">
        <v>16077</v>
      </c>
      <c r="C3198" s="8" t="s">
        <v>20</v>
      </c>
      <c r="D3198" s="8" t="s">
        <v>37</v>
      </c>
      <c r="E3198" s="8" t="s">
        <v>17662</v>
      </c>
      <c r="F3198" s="17">
        <v>41384</v>
      </c>
      <c r="G3198" s="8" t="s">
        <v>17663</v>
      </c>
      <c r="H3198" s="8" t="s">
        <v>638</v>
      </c>
      <c r="I3198" s="8" t="s">
        <v>124</v>
      </c>
      <c r="J3198" s="16" t="s">
        <v>17664</v>
      </c>
      <c r="K3198" s="2" t="s">
        <v>639</v>
      </c>
      <c r="L3198" s="8" t="s">
        <v>640</v>
      </c>
      <c r="M3198" s="8" t="s">
        <v>27</v>
      </c>
      <c r="N3198" s="8" t="s">
        <v>17665</v>
      </c>
      <c r="O3198" s="8" t="s">
        <v>29</v>
      </c>
      <c r="P3198" s="8" t="s">
        <v>405</v>
      </c>
      <c r="Q3198" s="12" t="s">
        <v>17666</v>
      </c>
      <c r="R3198" s="8" t="s">
        <v>29</v>
      </c>
      <c r="S3198" s="7" t="s">
        <v>28</v>
      </c>
      <c r="T3198" s="6"/>
      <c r="U3198" s="8"/>
    </row>
    <row r="3199" spans="1:21" ht="13.5" customHeight="1">
      <c r="A3199" s="8" t="s">
        <v>17667</v>
      </c>
      <c r="B3199" s="16" t="s">
        <v>17455</v>
      </c>
      <c r="C3199" s="8" t="s">
        <v>115</v>
      </c>
      <c r="D3199" s="8" t="s">
        <v>48</v>
      </c>
      <c r="E3199" s="8" t="s">
        <v>17668</v>
      </c>
      <c r="F3199" s="17">
        <v>41383</v>
      </c>
      <c r="G3199" s="8" t="s">
        <v>17669</v>
      </c>
      <c r="H3199" s="8" t="s">
        <v>17670</v>
      </c>
      <c r="I3199" s="8" t="s">
        <v>247</v>
      </c>
      <c r="J3199" s="16" t="s">
        <v>17671</v>
      </c>
      <c r="K3199" s="2" t="s">
        <v>17670</v>
      </c>
      <c r="L3199" s="8" t="s">
        <v>409</v>
      </c>
      <c r="M3199" s="8" t="s">
        <v>27</v>
      </c>
      <c r="N3199" s="8" t="s">
        <v>17672</v>
      </c>
      <c r="O3199" s="8" t="s">
        <v>16854</v>
      </c>
      <c r="P3199" s="8" t="s">
        <v>1171</v>
      </c>
      <c r="Q3199" s="12" t="s">
        <v>17673</v>
      </c>
      <c r="R3199" s="8" t="s">
        <v>100</v>
      </c>
      <c r="S3199" s="7" t="s">
        <v>28</v>
      </c>
      <c r="T3199" s="6"/>
      <c r="U3199" s="8"/>
    </row>
    <row r="3200" spans="1:21" ht="13.5" customHeight="1">
      <c r="A3200" s="8" t="s">
        <v>17674</v>
      </c>
      <c r="B3200" s="16">
        <v>51</v>
      </c>
      <c r="C3200" s="8" t="s">
        <v>20</v>
      </c>
      <c r="D3200" s="8" t="s">
        <v>30</v>
      </c>
      <c r="F3200" s="17">
        <v>41383</v>
      </c>
      <c r="G3200" s="8" t="s">
        <v>17675</v>
      </c>
      <c r="H3200" s="8" t="s">
        <v>11960</v>
      </c>
      <c r="I3200" s="8" t="s">
        <v>52</v>
      </c>
      <c r="J3200" s="16" t="s">
        <v>11961</v>
      </c>
      <c r="K3200" s="2" t="s">
        <v>1065</v>
      </c>
      <c r="L3200" s="8" t="s">
        <v>2383</v>
      </c>
      <c r="M3200" s="8" t="s">
        <v>1706</v>
      </c>
      <c r="N3200" s="8" t="s">
        <v>17676</v>
      </c>
      <c r="O3200" s="8" t="s">
        <v>1018</v>
      </c>
      <c r="P3200" s="8" t="s">
        <v>405</v>
      </c>
      <c r="Q3200" s="12" t="s">
        <v>17677</v>
      </c>
      <c r="R3200" s="8" t="s">
        <v>100</v>
      </c>
      <c r="S3200" s="7" t="s">
        <v>28</v>
      </c>
      <c r="T3200" s="6"/>
      <c r="U3200" s="8"/>
    </row>
    <row r="3201" spans="1:34" ht="13.5" customHeight="1">
      <c r="A3201" s="8" t="s">
        <v>17682</v>
      </c>
      <c r="B3201" s="16" t="s">
        <v>17683</v>
      </c>
      <c r="C3201" s="8" t="s">
        <v>20</v>
      </c>
      <c r="D3201" s="8" t="s">
        <v>30</v>
      </c>
      <c r="F3201" s="17">
        <v>41383</v>
      </c>
      <c r="G3201" s="8" t="s">
        <v>17684</v>
      </c>
      <c r="H3201" s="8" t="s">
        <v>17685</v>
      </c>
      <c r="I3201" s="8" t="s">
        <v>408</v>
      </c>
      <c r="J3201" s="16" t="s">
        <v>17686</v>
      </c>
      <c r="K3201" s="2" t="s">
        <v>17687</v>
      </c>
      <c r="L3201" s="8" t="s">
        <v>17688</v>
      </c>
      <c r="M3201" s="8" t="s">
        <v>27</v>
      </c>
      <c r="N3201" s="8" t="s">
        <v>17689</v>
      </c>
      <c r="O3201" s="8" t="s">
        <v>29</v>
      </c>
      <c r="P3201" s="8" t="s">
        <v>405</v>
      </c>
      <c r="Q3201" s="12" t="s">
        <v>17690</v>
      </c>
      <c r="R3201" s="8" t="s">
        <v>29</v>
      </c>
      <c r="S3201" s="7" t="s">
        <v>28</v>
      </c>
      <c r="T3201" s="6"/>
      <c r="U3201" s="8"/>
    </row>
    <row r="3202" spans="1:34" ht="13.5" customHeight="1">
      <c r="A3202" s="8" t="s">
        <v>17678</v>
      </c>
      <c r="B3202" s="16" t="s">
        <v>15578</v>
      </c>
      <c r="C3202" s="8" t="s">
        <v>20</v>
      </c>
      <c r="D3202" s="8" t="s">
        <v>30</v>
      </c>
      <c r="F3202" s="17">
        <v>41383</v>
      </c>
      <c r="G3202" s="8" t="s">
        <v>17679</v>
      </c>
      <c r="H3202" s="8" t="s">
        <v>3360</v>
      </c>
      <c r="I3202" s="8" t="s">
        <v>124</v>
      </c>
      <c r="J3202" s="16" t="s">
        <v>3361</v>
      </c>
      <c r="K3202" s="2" t="s">
        <v>639</v>
      </c>
      <c r="L3202" s="8" t="s">
        <v>640</v>
      </c>
      <c r="M3202" s="8" t="s">
        <v>27</v>
      </c>
      <c r="N3202" s="8" t="s">
        <v>17680</v>
      </c>
      <c r="O3202" s="8" t="s">
        <v>29</v>
      </c>
      <c r="P3202" s="8" t="s">
        <v>405</v>
      </c>
      <c r="Q3202" s="12" t="s">
        <v>17681</v>
      </c>
      <c r="R3202" s="8" t="s">
        <v>100</v>
      </c>
      <c r="S3202" s="7" t="s">
        <v>28</v>
      </c>
      <c r="T3202" s="6"/>
      <c r="U3202" s="8"/>
    </row>
    <row r="3203" spans="1:34" ht="13.5" customHeight="1">
      <c r="A3203" s="8" t="s">
        <v>17691</v>
      </c>
      <c r="B3203" s="16">
        <v>66</v>
      </c>
      <c r="C3203" s="8" t="s">
        <v>20</v>
      </c>
      <c r="D3203" s="8" t="s">
        <v>37</v>
      </c>
      <c r="F3203" s="17">
        <v>41383</v>
      </c>
      <c r="G3203" s="8" t="s">
        <v>17692</v>
      </c>
      <c r="H3203" s="8" t="s">
        <v>17693</v>
      </c>
      <c r="I3203" s="8" t="s">
        <v>442</v>
      </c>
      <c r="J3203" s="16" t="s">
        <v>17694</v>
      </c>
      <c r="K3203" s="2" t="s">
        <v>2359</v>
      </c>
      <c r="L3203" s="8" t="s">
        <v>17695</v>
      </c>
      <c r="M3203" s="8" t="s">
        <v>27</v>
      </c>
      <c r="N3203" s="8" t="s">
        <v>17696</v>
      </c>
      <c r="O3203" s="8" t="s">
        <v>554</v>
      </c>
      <c r="P3203" s="8" t="s">
        <v>405</v>
      </c>
      <c r="Q3203" s="12" t="s">
        <v>17697</v>
      </c>
      <c r="R3203" s="8" t="s">
        <v>559</v>
      </c>
      <c r="S3203" s="7" t="s">
        <v>28</v>
      </c>
      <c r="T3203" s="6"/>
      <c r="U3203" s="8"/>
    </row>
    <row r="3204" spans="1:34" ht="13.5" customHeight="1">
      <c r="A3204" s="8" t="s">
        <v>17698</v>
      </c>
      <c r="B3204" s="16" t="s">
        <v>17455</v>
      </c>
      <c r="C3204" s="8" t="s">
        <v>20</v>
      </c>
      <c r="D3204" s="8" t="s">
        <v>30</v>
      </c>
      <c r="F3204" s="17">
        <v>41382</v>
      </c>
      <c r="G3204" s="8" t="s">
        <v>17699</v>
      </c>
      <c r="H3204" s="8" t="s">
        <v>1608</v>
      </c>
      <c r="I3204" s="8" t="s">
        <v>52</v>
      </c>
      <c r="J3204" s="16" t="s">
        <v>17700</v>
      </c>
      <c r="K3204" s="2" t="s">
        <v>4755</v>
      </c>
      <c r="L3204" s="8" t="s">
        <v>2799</v>
      </c>
      <c r="M3204" s="8" t="s">
        <v>27</v>
      </c>
      <c r="N3204" s="8" t="s">
        <v>17701</v>
      </c>
      <c r="O3204" s="8" t="s">
        <v>29</v>
      </c>
      <c r="P3204" s="8" t="s">
        <v>405</v>
      </c>
      <c r="Q3204" s="12" t="s">
        <v>17702</v>
      </c>
      <c r="R3204" s="8" t="s">
        <v>29</v>
      </c>
      <c r="S3204" s="7" t="s">
        <v>28</v>
      </c>
      <c r="T3204" s="6"/>
      <c r="U3204" s="8"/>
    </row>
    <row r="3205" spans="1:34" ht="13.5" customHeight="1">
      <c r="A3205" s="8" t="s">
        <v>17703</v>
      </c>
      <c r="B3205" s="16" t="s">
        <v>10218</v>
      </c>
      <c r="C3205" s="8" t="s">
        <v>20</v>
      </c>
      <c r="D3205" s="8" t="s">
        <v>37</v>
      </c>
      <c r="E3205" s="8" t="s">
        <v>17704</v>
      </c>
      <c r="F3205" s="17">
        <v>41382</v>
      </c>
      <c r="G3205" s="8" t="s">
        <v>17705</v>
      </c>
      <c r="H3205" s="8" t="s">
        <v>17706</v>
      </c>
      <c r="I3205" s="8" t="s">
        <v>408</v>
      </c>
      <c r="J3205" s="16" t="s">
        <v>17707</v>
      </c>
      <c r="K3205" s="2" t="s">
        <v>17708</v>
      </c>
      <c r="L3205" s="8" t="s">
        <v>17709</v>
      </c>
      <c r="M3205" s="8" t="s">
        <v>27</v>
      </c>
      <c r="N3205" s="8" t="s">
        <v>17710</v>
      </c>
      <c r="O3205" s="8" t="s">
        <v>554</v>
      </c>
      <c r="P3205" s="8" t="s">
        <v>405</v>
      </c>
      <c r="Q3205" s="12" t="s">
        <v>17711</v>
      </c>
      <c r="R3205" s="8" t="s">
        <v>100</v>
      </c>
      <c r="S3205" s="7" t="s">
        <v>28</v>
      </c>
      <c r="T3205" s="6"/>
      <c r="U3205" s="8"/>
    </row>
    <row r="3206" spans="1:34" ht="13.5" customHeight="1">
      <c r="A3206" s="8" t="s">
        <v>17720</v>
      </c>
      <c r="B3206" s="16">
        <v>47</v>
      </c>
      <c r="C3206" s="8" t="s">
        <v>115</v>
      </c>
      <c r="D3206" s="8" t="s">
        <v>37</v>
      </c>
      <c r="F3206" s="17">
        <v>41382</v>
      </c>
      <c r="G3206" s="8" t="s">
        <v>17721</v>
      </c>
      <c r="H3206" s="8" t="s">
        <v>16190</v>
      </c>
      <c r="I3206" s="8" t="s">
        <v>152</v>
      </c>
      <c r="J3206" s="16" t="s">
        <v>16191</v>
      </c>
      <c r="K3206" s="2" t="s">
        <v>153</v>
      </c>
      <c r="L3206" s="8" t="s">
        <v>17722</v>
      </c>
      <c r="M3206" s="8" t="s">
        <v>27</v>
      </c>
      <c r="N3206" s="8" t="s">
        <v>17723</v>
      </c>
      <c r="O3206" s="8" t="s">
        <v>29</v>
      </c>
      <c r="P3206" s="8" t="s">
        <v>405</v>
      </c>
      <c r="Q3206" s="12" t="s">
        <v>17724</v>
      </c>
      <c r="R3206" s="8" t="s">
        <v>559</v>
      </c>
      <c r="S3206" s="7" t="s">
        <v>28</v>
      </c>
      <c r="T3206" s="6"/>
      <c r="U3206" s="8"/>
    </row>
    <row r="3207" spans="1:34" ht="13.5" customHeight="1">
      <c r="A3207" s="8" t="s">
        <v>17712</v>
      </c>
      <c r="B3207" s="16">
        <v>26</v>
      </c>
      <c r="C3207" s="8" t="s">
        <v>20</v>
      </c>
      <c r="D3207" s="8" t="s">
        <v>37</v>
      </c>
      <c r="E3207" s="8" t="s">
        <v>17713</v>
      </c>
      <c r="F3207" s="17">
        <v>41382</v>
      </c>
      <c r="G3207" s="8" t="s">
        <v>17714</v>
      </c>
      <c r="H3207" s="8" t="s">
        <v>17715</v>
      </c>
      <c r="I3207" s="8" t="s">
        <v>46</v>
      </c>
      <c r="J3207" s="16" t="s">
        <v>17716</v>
      </c>
      <c r="K3207" s="2" t="s">
        <v>42</v>
      </c>
      <c r="L3207" s="8" t="s">
        <v>17717</v>
      </c>
      <c r="M3207" s="8" t="s">
        <v>27</v>
      </c>
      <c r="N3207" s="8" t="s">
        <v>17718</v>
      </c>
      <c r="O3207" s="8" t="s">
        <v>29</v>
      </c>
      <c r="P3207" s="8" t="s">
        <v>405</v>
      </c>
      <c r="Q3207" s="12" t="s">
        <v>17719</v>
      </c>
      <c r="R3207" s="8" t="s">
        <v>100</v>
      </c>
      <c r="S3207" s="7" t="s">
        <v>28</v>
      </c>
      <c r="T3207" s="6"/>
      <c r="U3207" s="8"/>
    </row>
    <row r="3208" spans="1:34" ht="13.5" customHeight="1">
      <c r="A3208" s="8" t="s">
        <v>17739</v>
      </c>
      <c r="B3208" s="16">
        <v>60</v>
      </c>
      <c r="C3208" s="8" t="s">
        <v>20</v>
      </c>
      <c r="D3208" s="8" t="s">
        <v>37</v>
      </c>
      <c r="F3208" s="17">
        <v>41381</v>
      </c>
      <c r="G3208" s="8" t="s">
        <v>17740</v>
      </c>
      <c r="H3208" s="8" t="s">
        <v>953</v>
      </c>
      <c r="I3208" s="8" t="s">
        <v>45</v>
      </c>
      <c r="J3208" s="16" t="s">
        <v>6908</v>
      </c>
      <c r="K3208" s="2" t="s">
        <v>953</v>
      </c>
      <c r="L3208" s="8" t="s">
        <v>954</v>
      </c>
      <c r="M3208" s="8" t="s">
        <v>27</v>
      </c>
      <c r="N3208" s="8" t="s">
        <v>17741</v>
      </c>
      <c r="O3208" s="8" t="s">
        <v>29</v>
      </c>
      <c r="P3208" s="8" t="s">
        <v>405</v>
      </c>
      <c r="Q3208" s="12" t="s">
        <v>17742</v>
      </c>
      <c r="R3208" s="8" t="s">
        <v>29</v>
      </c>
      <c r="S3208" s="7" t="s">
        <v>28</v>
      </c>
      <c r="T3208" s="6"/>
      <c r="U3208" s="8"/>
    </row>
    <row r="3209" spans="1:34" ht="13.5" customHeight="1">
      <c r="A3209" s="8" t="s">
        <v>17732</v>
      </c>
      <c r="B3209" s="16" t="s">
        <v>16371</v>
      </c>
      <c r="C3209" s="8" t="s">
        <v>20</v>
      </c>
      <c r="D3209" s="8" t="s">
        <v>48</v>
      </c>
      <c r="F3209" s="17">
        <v>41381</v>
      </c>
      <c r="G3209" s="8" t="s">
        <v>17733</v>
      </c>
      <c r="H3209" s="8" t="s">
        <v>17734</v>
      </c>
      <c r="I3209" s="8" t="s">
        <v>73</v>
      </c>
      <c r="J3209" s="16" t="s">
        <v>17735</v>
      </c>
      <c r="K3209" s="2" t="s">
        <v>7661</v>
      </c>
      <c r="L3209" s="8" t="s">
        <v>17736</v>
      </c>
      <c r="M3209" s="8" t="s">
        <v>27</v>
      </c>
      <c r="N3209" s="8" t="s">
        <v>17737</v>
      </c>
      <c r="O3209" s="8" t="s">
        <v>29</v>
      </c>
      <c r="P3209" s="8" t="s">
        <v>405</v>
      </c>
      <c r="Q3209" s="12" t="s">
        <v>17738</v>
      </c>
      <c r="R3209" s="8" t="s">
        <v>100</v>
      </c>
      <c r="S3209" s="7" t="s">
        <v>28</v>
      </c>
      <c r="T3209" s="6"/>
      <c r="U3209" s="8"/>
    </row>
    <row r="3210" spans="1:34" ht="13.5" customHeight="1">
      <c r="A3210" s="8" t="s">
        <v>17725</v>
      </c>
      <c r="B3210" s="16" t="s">
        <v>16077</v>
      </c>
      <c r="C3210" s="8" t="s">
        <v>20</v>
      </c>
      <c r="D3210" s="8" t="s">
        <v>85</v>
      </c>
      <c r="E3210" s="8" t="s">
        <v>17726</v>
      </c>
      <c r="F3210" s="17">
        <v>41381</v>
      </c>
      <c r="G3210" s="8" t="s">
        <v>17727</v>
      </c>
      <c r="H3210" s="8" t="s">
        <v>17728</v>
      </c>
      <c r="I3210" s="8" t="s">
        <v>57</v>
      </c>
      <c r="J3210" s="16" t="s">
        <v>8901</v>
      </c>
      <c r="K3210" s="2" t="s">
        <v>8606</v>
      </c>
      <c r="L3210" s="8" t="s">
        <v>17729</v>
      </c>
      <c r="M3210" s="8" t="s">
        <v>27</v>
      </c>
      <c r="N3210" s="8" t="s">
        <v>17730</v>
      </c>
      <c r="O3210" s="8" t="s">
        <v>554</v>
      </c>
      <c r="P3210" s="8" t="s">
        <v>405</v>
      </c>
      <c r="Q3210" s="12" t="s">
        <v>17731</v>
      </c>
      <c r="R3210" s="8" t="s">
        <v>100</v>
      </c>
      <c r="S3210" s="7" t="s">
        <v>28</v>
      </c>
      <c r="T3210" s="6"/>
      <c r="U3210" s="8"/>
    </row>
    <row r="3211" spans="1:34" ht="13.5" customHeight="1">
      <c r="A3211" s="8" t="s">
        <v>17747</v>
      </c>
      <c r="B3211" s="16">
        <v>33</v>
      </c>
      <c r="C3211" s="8" t="s">
        <v>20</v>
      </c>
      <c r="D3211" s="8" t="s">
        <v>85</v>
      </c>
      <c r="F3211" s="17">
        <v>41379</v>
      </c>
      <c r="G3211" s="8" t="s">
        <v>17744</v>
      </c>
      <c r="H3211" s="8" t="s">
        <v>1727</v>
      </c>
      <c r="I3211" s="8" t="s">
        <v>427</v>
      </c>
      <c r="J3211" s="16" t="s">
        <v>9822</v>
      </c>
      <c r="K3211" s="2" t="s">
        <v>1729</v>
      </c>
      <c r="L3211" s="8" t="s">
        <v>586</v>
      </c>
      <c r="M3211" s="8" t="s">
        <v>27</v>
      </c>
      <c r="N3211" s="8" t="s">
        <v>17745</v>
      </c>
      <c r="O3211" s="8" t="s">
        <v>1170</v>
      </c>
      <c r="P3211" s="8" t="s">
        <v>1171</v>
      </c>
      <c r="Q3211" s="12" t="s">
        <v>17746</v>
      </c>
      <c r="R3211" s="8" t="s">
        <v>559</v>
      </c>
      <c r="S3211" s="7" t="s">
        <v>18</v>
      </c>
      <c r="T3211" s="6"/>
      <c r="U3211" s="8"/>
    </row>
    <row r="3212" spans="1:34" ht="13.5" customHeight="1">
      <c r="A3212" s="8" t="s">
        <v>17743</v>
      </c>
      <c r="B3212" s="16">
        <v>1</v>
      </c>
      <c r="C3212" s="8" t="s">
        <v>20</v>
      </c>
      <c r="D3212" s="8" t="s">
        <v>85</v>
      </c>
      <c r="F3212" s="17">
        <v>41379</v>
      </c>
      <c r="G3212" s="8" t="s">
        <v>17744</v>
      </c>
      <c r="H3212" s="8" t="s">
        <v>1727</v>
      </c>
      <c r="I3212" s="8" t="s">
        <v>427</v>
      </c>
      <c r="J3212" s="16" t="s">
        <v>9822</v>
      </c>
      <c r="K3212" s="2" t="s">
        <v>1729</v>
      </c>
      <c r="L3212" s="8" t="s">
        <v>586</v>
      </c>
      <c r="M3212" s="8" t="s">
        <v>27</v>
      </c>
      <c r="N3212" s="8" t="s">
        <v>17745</v>
      </c>
      <c r="O3212" s="8" t="s">
        <v>1170</v>
      </c>
      <c r="P3212" s="8" t="s">
        <v>1171</v>
      </c>
      <c r="Q3212" s="12" t="s">
        <v>17746</v>
      </c>
      <c r="R3212" s="8" t="s">
        <v>559</v>
      </c>
      <c r="S3212" s="7" t="s">
        <v>18</v>
      </c>
      <c r="T3212" s="6"/>
      <c r="U3212" s="8"/>
    </row>
    <row r="3213" spans="1:34" ht="13.5" customHeight="1">
      <c r="A3213" s="8" t="s">
        <v>17748</v>
      </c>
      <c r="B3213" s="16">
        <v>29</v>
      </c>
      <c r="C3213" s="8" t="s">
        <v>20</v>
      </c>
      <c r="D3213" s="8" t="s">
        <v>48</v>
      </c>
      <c r="F3213" s="17">
        <v>41377</v>
      </c>
      <c r="G3213" s="8" t="s">
        <v>17749</v>
      </c>
      <c r="H3213" s="8" t="s">
        <v>638</v>
      </c>
      <c r="I3213" s="8" t="s">
        <v>124</v>
      </c>
      <c r="J3213" s="16" t="s">
        <v>17750</v>
      </c>
      <c r="K3213" s="2" t="s">
        <v>639</v>
      </c>
      <c r="L3213" s="8" t="s">
        <v>640</v>
      </c>
      <c r="M3213" s="8" t="s">
        <v>27</v>
      </c>
      <c r="N3213" s="8" t="s">
        <v>17751</v>
      </c>
      <c r="O3213" s="8" t="s">
        <v>29</v>
      </c>
      <c r="P3213" s="8" t="s">
        <v>405</v>
      </c>
      <c r="Q3213" s="12" t="s">
        <v>17752</v>
      </c>
      <c r="R3213" s="8" t="s">
        <v>100</v>
      </c>
      <c r="S3213" s="7" t="s">
        <v>28</v>
      </c>
      <c r="T3213" s="6"/>
      <c r="U3213" s="8"/>
    </row>
    <row r="3214" spans="1:34" ht="13.5" customHeight="1">
      <c r="A3214" s="8" t="s">
        <v>17760</v>
      </c>
      <c r="B3214" s="16" t="s">
        <v>17761</v>
      </c>
      <c r="C3214" s="8" t="s">
        <v>20</v>
      </c>
      <c r="D3214" s="8" t="s">
        <v>37</v>
      </c>
      <c r="E3214" s="8" t="s">
        <v>17762</v>
      </c>
      <c r="F3214" s="17">
        <v>41376</v>
      </c>
      <c r="G3214" s="8" t="s">
        <v>17763</v>
      </c>
      <c r="H3214" s="8" t="s">
        <v>17764</v>
      </c>
      <c r="I3214" s="8" t="s">
        <v>175</v>
      </c>
      <c r="J3214" s="16" t="s">
        <v>17765</v>
      </c>
      <c r="K3214" s="2" t="s">
        <v>1572</v>
      </c>
      <c r="L3214" s="8" t="s">
        <v>17766</v>
      </c>
      <c r="M3214" s="8" t="s">
        <v>27</v>
      </c>
      <c r="N3214" s="8" t="s">
        <v>17767</v>
      </c>
      <c r="O3214" s="8" t="s">
        <v>29</v>
      </c>
      <c r="P3214" s="8" t="s">
        <v>405</v>
      </c>
      <c r="Q3214" s="12" t="s">
        <v>17768</v>
      </c>
      <c r="R3214" s="8" t="s">
        <v>559</v>
      </c>
      <c r="S3214" s="7" t="s">
        <v>28</v>
      </c>
      <c r="T3214" s="6"/>
      <c r="U3214" s="8"/>
    </row>
    <row r="3215" spans="1:34" ht="13.5" customHeight="1">
      <c r="A3215" s="8" t="s">
        <v>17753</v>
      </c>
      <c r="B3215" s="16" t="s">
        <v>13974</v>
      </c>
      <c r="C3215" s="8" t="s">
        <v>20</v>
      </c>
      <c r="D3215" s="8" t="s">
        <v>30</v>
      </c>
      <c r="F3215" s="17">
        <v>41376</v>
      </c>
      <c r="G3215" s="8" t="s">
        <v>17754</v>
      </c>
      <c r="H3215" s="8" t="s">
        <v>17755</v>
      </c>
      <c r="I3215" s="8" t="s">
        <v>435</v>
      </c>
      <c r="J3215" s="16" t="s">
        <v>17756</v>
      </c>
      <c r="K3215" s="2" t="s">
        <v>5008</v>
      </c>
      <c r="L3215" s="8" t="s">
        <v>17757</v>
      </c>
      <c r="M3215" s="8" t="s">
        <v>27</v>
      </c>
      <c r="N3215" s="8" t="s">
        <v>17758</v>
      </c>
      <c r="O3215" s="8" t="s">
        <v>554</v>
      </c>
      <c r="P3215" s="8" t="s">
        <v>405</v>
      </c>
      <c r="Q3215" s="12" t="s">
        <v>17759</v>
      </c>
      <c r="R3215" s="8" t="s">
        <v>29</v>
      </c>
      <c r="S3215" s="7" t="s">
        <v>28</v>
      </c>
      <c r="T3215" s="6"/>
      <c r="U3215" s="8"/>
      <c r="Y3215" s="8"/>
      <c r="Z3215" s="8"/>
      <c r="AA3215" s="8"/>
      <c r="AB3215" s="8"/>
      <c r="AC3215" s="8"/>
      <c r="AD3215" s="8"/>
      <c r="AE3215" s="8"/>
      <c r="AF3215" s="8"/>
      <c r="AG3215" s="8"/>
      <c r="AH3215" s="8"/>
    </row>
    <row r="3216" spans="1:34" ht="13.5" customHeight="1">
      <c r="A3216" s="8" t="s">
        <v>17776</v>
      </c>
      <c r="B3216" s="16">
        <v>25</v>
      </c>
      <c r="C3216" s="8" t="s">
        <v>20</v>
      </c>
      <c r="D3216" s="8" t="s">
        <v>37</v>
      </c>
      <c r="E3216" s="8" t="s">
        <v>17777</v>
      </c>
      <c r="F3216" s="17">
        <v>41375</v>
      </c>
      <c r="G3216" s="8" t="s">
        <v>17778</v>
      </c>
      <c r="H3216" s="8" t="s">
        <v>17779</v>
      </c>
      <c r="I3216" s="8" t="s">
        <v>45</v>
      </c>
      <c r="J3216" s="16" t="s">
        <v>17780</v>
      </c>
      <c r="K3216" s="2" t="s">
        <v>2989</v>
      </c>
      <c r="L3216" s="8" t="s">
        <v>17781</v>
      </c>
      <c r="M3216" s="8" t="s">
        <v>27</v>
      </c>
      <c r="N3216" s="8" t="s">
        <v>17782</v>
      </c>
      <c r="O3216" s="8" t="s">
        <v>13842</v>
      </c>
      <c r="P3216" s="8" t="s">
        <v>405</v>
      </c>
      <c r="Q3216" s="12" t="s">
        <v>17783</v>
      </c>
      <c r="R3216" s="8" t="s">
        <v>29</v>
      </c>
      <c r="S3216" s="7" t="s">
        <v>28</v>
      </c>
      <c r="T3216" s="6"/>
      <c r="U3216" s="8"/>
    </row>
    <row r="3217" spans="1:39" ht="13.5" customHeight="1">
      <c r="A3217" s="8" t="s">
        <v>17769</v>
      </c>
      <c r="B3217" s="16">
        <v>26</v>
      </c>
      <c r="C3217" s="8" t="s">
        <v>20</v>
      </c>
      <c r="D3217" s="8" t="s">
        <v>30</v>
      </c>
      <c r="F3217" s="17">
        <v>41375</v>
      </c>
      <c r="G3217" s="8" t="s">
        <v>17770</v>
      </c>
      <c r="H3217" s="8" t="s">
        <v>17771</v>
      </c>
      <c r="I3217" s="8" t="s">
        <v>306</v>
      </c>
      <c r="J3217" s="16" t="s">
        <v>17772</v>
      </c>
      <c r="K3217" s="2" t="s">
        <v>2169</v>
      </c>
      <c r="L3217" s="8" t="s">
        <v>17773</v>
      </c>
      <c r="M3217" s="8" t="s">
        <v>383</v>
      </c>
      <c r="N3217" s="8" t="s">
        <v>17774</v>
      </c>
      <c r="O3217" s="8" t="s">
        <v>1018</v>
      </c>
      <c r="P3217" s="8" t="s">
        <v>405</v>
      </c>
      <c r="Q3217" s="12" t="s">
        <v>17775</v>
      </c>
      <c r="R3217" s="8" t="s">
        <v>972</v>
      </c>
      <c r="S3217" s="7" t="s">
        <v>28</v>
      </c>
      <c r="T3217" s="6"/>
      <c r="U3217" s="8"/>
    </row>
    <row r="3218" spans="1:39" ht="13.5" customHeight="1">
      <c r="A3218" s="8" t="s">
        <v>17792</v>
      </c>
      <c r="B3218" s="16" t="s">
        <v>13766</v>
      </c>
      <c r="C3218" s="8" t="s">
        <v>20</v>
      </c>
      <c r="D3218" s="8" t="s">
        <v>37</v>
      </c>
      <c r="E3218" s="8" t="s">
        <v>17793</v>
      </c>
      <c r="F3218" s="17">
        <v>41374</v>
      </c>
      <c r="G3218" s="8" t="s">
        <v>17794</v>
      </c>
      <c r="H3218" s="8" t="s">
        <v>1204</v>
      </c>
      <c r="I3218" s="8" t="s">
        <v>323</v>
      </c>
      <c r="J3218" s="16">
        <v>38134</v>
      </c>
      <c r="K3218" s="2" t="s">
        <v>1205</v>
      </c>
      <c r="L3218" s="8" t="s">
        <v>1206</v>
      </c>
      <c r="M3218" s="8" t="s">
        <v>27</v>
      </c>
      <c r="N3218" s="8" t="s">
        <v>17795</v>
      </c>
      <c r="O3218" s="8" t="s">
        <v>29</v>
      </c>
      <c r="P3218" s="8" t="s">
        <v>405</v>
      </c>
      <c r="Q3218" s="12" t="s">
        <v>17796</v>
      </c>
      <c r="R3218" s="8" t="s">
        <v>29</v>
      </c>
      <c r="S3218" s="7" t="s">
        <v>28</v>
      </c>
      <c r="T3218" s="6"/>
      <c r="U3218" s="8"/>
    </row>
    <row r="3219" spans="1:39" ht="13.5" customHeight="1">
      <c r="A3219" s="8" t="s">
        <v>17784</v>
      </c>
      <c r="B3219" s="16">
        <v>55</v>
      </c>
      <c r="C3219" s="8" t="s">
        <v>20</v>
      </c>
      <c r="D3219" s="8" t="s">
        <v>37</v>
      </c>
      <c r="E3219" s="8" t="s">
        <v>17785</v>
      </c>
      <c r="F3219" s="17">
        <v>41374</v>
      </c>
      <c r="G3219" s="8" t="s">
        <v>17786</v>
      </c>
      <c r="H3219" s="8" t="s">
        <v>17787</v>
      </c>
      <c r="I3219" s="8" t="s">
        <v>175</v>
      </c>
      <c r="J3219" s="16" t="s">
        <v>17788</v>
      </c>
      <c r="K3219" s="2" t="s">
        <v>1338</v>
      </c>
      <c r="L3219" s="8" t="s">
        <v>17789</v>
      </c>
      <c r="M3219" s="8" t="s">
        <v>27</v>
      </c>
      <c r="N3219" s="8" t="s">
        <v>17790</v>
      </c>
      <c r="O3219" s="8" t="s">
        <v>29</v>
      </c>
      <c r="P3219" s="8" t="s">
        <v>405</v>
      </c>
      <c r="Q3219" s="12" t="s">
        <v>17791</v>
      </c>
      <c r="R3219" s="8" t="s">
        <v>29</v>
      </c>
      <c r="S3219" s="7" t="s">
        <v>28</v>
      </c>
      <c r="T3219" s="6"/>
      <c r="U3219" s="8"/>
    </row>
    <row r="3220" spans="1:39" ht="13.5" customHeight="1">
      <c r="A3220" s="8" t="s">
        <v>17797</v>
      </c>
      <c r="B3220" s="16">
        <v>45</v>
      </c>
      <c r="C3220" s="8" t="s">
        <v>20</v>
      </c>
      <c r="D3220" s="8" t="s">
        <v>37</v>
      </c>
      <c r="E3220" s="8" t="s">
        <v>17798</v>
      </c>
      <c r="F3220" s="17">
        <v>41374</v>
      </c>
      <c r="G3220" s="8" t="s">
        <v>17799</v>
      </c>
      <c r="H3220" s="8" t="s">
        <v>153</v>
      </c>
      <c r="I3220" s="8" t="s">
        <v>370</v>
      </c>
      <c r="J3220" s="16" t="s">
        <v>17800</v>
      </c>
      <c r="K3220" s="2" t="s">
        <v>698</v>
      </c>
      <c r="L3220" s="8" t="s">
        <v>17801</v>
      </c>
      <c r="M3220" s="8" t="s">
        <v>1706</v>
      </c>
      <c r="N3220" s="8" t="s">
        <v>17802</v>
      </c>
      <c r="O3220" s="8" t="s">
        <v>1018</v>
      </c>
      <c r="P3220" s="8" t="s">
        <v>405</v>
      </c>
      <c r="Q3220" s="12" t="s">
        <v>17803</v>
      </c>
      <c r="R3220" s="8" t="s">
        <v>100</v>
      </c>
      <c r="S3220" s="7" t="s">
        <v>28</v>
      </c>
      <c r="T3220" s="6"/>
      <c r="U3220" s="8"/>
    </row>
    <row r="3221" spans="1:39" ht="13.5" customHeight="1">
      <c r="A3221" s="8" t="s">
        <v>17814</v>
      </c>
      <c r="B3221" s="16">
        <v>23</v>
      </c>
      <c r="C3221" s="8" t="s">
        <v>20</v>
      </c>
      <c r="D3221" s="8" t="s">
        <v>37</v>
      </c>
      <c r="E3221" s="8" t="s">
        <v>17815</v>
      </c>
      <c r="F3221" s="17">
        <v>41373</v>
      </c>
      <c r="G3221" s="8" t="s">
        <v>17816</v>
      </c>
      <c r="H3221" s="8" t="s">
        <v>1104</v>
      </c>
      <c r="I3221" s="8" t="s">
        <v>399</v>
      </c>
      <c r="J3221" s="16" t="s">
        <v>17811</v>
      </c>
      <c r="K3221" s="2" t="s">
        <v>1105</v>
      </c>
      <c r="L3221" s="8" t="s">
        <v>1106</v>
      </c>
      <c r="M3221" s="8" t="s">
        <v>27</v>
      </c>
      <c r="N3221" s="8" t="s">
        <v>17812</v>
      </c>
      <c r="O3221" s="8" t="s">
        <v>554</v>
      </c>
      <c r="P3221" s="8" t="s">
        <v>405</v>
      </c>
      <c r="Q3221" s="12" t="s">
        <v>17813</v>
      </c>
      <c r="R3221" s="8" t="s">
        <v>100</v>
      </c>
      <c r="S3221" s="7" t="s">
        <v>28</v>
      </c>
      <c r="T3221" s="6"/>
      <c r="U3221" s="8"/>
    </row>
    <row r="3222" spans="1:39" ht="13.5" customHeight="1">
      <c r="A3222" s="8" t="s">
        <v>17804</v>
      </c>
      <c r="B3222" s="16">
        <v>25</v>
      </c>
      <c r="C3222" s="8" t="s">
        <v>20</v>
      </c>
      <c r="D3222" s="8" t="s">
        <v>48</v>
      </c>
      <c r="F3222" s="17">
        <v>41373</v>
      </c>
      <c r="G3222" s="8" t="s">
        <v>17805</v>
      </c>
      <c r="H3222" s="8" t="s">
        <v>7641</v>
      </c>
      <c r="I3222" s="8" t="s">
        <v>45</v>
      </c>
      <c r="J3222" s="16" t="s">
        <v>7642</v>
      </c>
      <c r="K3222" s="2" t="s">
        <v>98</v>
      </c>
      <c r="L3222" s="8" t="s">
        <v>14360</v>
      </c>
      <c r="M3222" s="8" t="s">
        <v>27</v>
      </c>
      <c r="N3222" s="8" t="s">
        <v>17806</v>
      </c>
      <c r="O3222" s="8" t="s">
        <v>1018</v>
      </c>
      <c r="P3222" s="8" t="s">
        <v>405</v>
      </c>
      <c r="Q3222" s="12" t="s">
        <v>17807</v>
      </c>
      <c r="R3222" s="8" t="s">
        <v>29</v>
      </c>
      <c r="S3222" s="7" t="s">
        <v>28</v>
      </c>
      <c r="T3222" s="6"/>
      <c r="U3222" s="8"/>
    </row>
    <row r="3223" spans="1:39" ht="13.5" customHeight="1">
      <c r="A3223" s="8" t="s">
        <v>17808</v>
      </c>
      <c r="B3223" s="16">
        <v>20</v>
      </c>
      <c r="C3223" s="8" t="s">
        <v>20</v>
      </c>
      <c r="D3223" s="8" t="s">
        <v>37</v>
      </c>
      <c r="E3223" s="8" t="s">
        <v>17809</v>
      </c>
      <c r="F3223" s="17">
        <v>41373</v>
      </c>
      <c r="G3223" s="8" t="s">
        <v>17810</v>
      </c>
      <c r="H3223" s="8" t="s">
        <v>1104</v>
      </c>
      <c r="I3223" s="8" t="s">
        <v>399</v>
      </c>
      <c r="J3223" s="16" t="s">
        <v>17811</v>
      </c>
      <c r="K3223" s="2" t="s">
        <v>1105</v>
      </c>
      <c r="L3223" s="8" t="s">
        <v>1106</v>
      </c>
      <c r="M3223" s="8" t="s">
        <v>27</v>
      </c>
      <c r="N3223" s="8" t="s">
        <v>17812</v>
      </c>
      <c r="O3223" s="8" t="s">
        <v>554</v>
      </c>
      <c r="P3223" s="8" t="s">
        <v>405</v>
      </c>
      <c r="Q3223" s="12" t="s">
        <v>17813</v>
      </c>
      <c r="R3223" s="8" t="s">
        <v>100</v>
      </c>
      <c r="S3223" s="7" t="s">
        <v>28</v>
      </c>
      <c r="T3223" s="6"/>
      <c r="U3223" s="8"/>
    </row>
    <row r="3224" spans="1:39" ht="13.5" customHeight="1">
      <c r="A3224" s="8" t="s">
        <v>17817</v>
      </c>
      <c r="B3224" s="16" t="s">
        <v>16678</v>
      </c>
      <c r="C3224" s="8" t="s">
        <v>20</v>
      </c>
      <c r="D3224" s="8" t="s">
        <v>85</v>
      </c>
      <c r="E3224" s="8" t="s">
        <v>17818</v>
      </c>
      <c r="F3224" s="17">
        <v>41371</v>
      </c>
      <c r="G3224" s="8" t="s">
        <v>7775</v>
      </c>
      <c r="H3224" s="8" t="s">
        <v>638</v>
      </c>
      <c r="I3224" s="8" t="s">
        <v>124</v>
      </c>
      <c r="J3224" s="16" t="s">
        <v>4672</v>
      </c>
      <c r="K3224" s="2" t="s">
        <v>639</v>
      </c>
      <c r="L3224" s="8" t="s">
        <v>11267</v>
      </c>
      <c r="M3224" s="8" t="s">
        <v>27</v>
      </c>
      <c r="N3224" s="8" t="s">
        <v>17819</v>
      </c>
      <c r="O3224" s="8" t="s">
        <v>554</v>
      </c>
      <c r="P3224" s="8" t="s">
        <v>405</v>
      </c>
      <c r="Q3224" s="12" t="s">
        <v>17820</v>
      </c>
      <c r="R3224" s="8" t="s">
        <v>100</v>
      </c>
      <c r="S3224" s="7" t="s">
        <v>383</v>
      </c>
      <c r="T3224" s="6"/>
      <c r="U3224" s="8"/>
      <c r="Y3224" s="8"/>
      <c r="Z3224" s="8"/>
      <c r="AA3224" s="8"/>
      <c r="AB3224" s="8"/>
      <c r="AC3224" s="8"/>
      <c r="AD3224" s="8"/>
      <c r="AE3224" s="8"/>
      <c r="AF3224" s="8"/>
      <c r="AG3224" s="8"/>
      <c r="AH3224" s="8"/>
    </row>
    <row r="3225" spans="1:39" ht="13.5" customHeight="1">
      <c r="A3225" s="8" t="s">
        <v>17821</v>
      </c>
      <c r="B3225" s="16" t="s">
        <v>9471</v>
      </c>
      <c r="C3225" s="8" t="s">
        <v>20</v>
      </c>
      <c r="D3225" s="8" t="s">
        <v>30</v>
      </c>
      <c r="F3225" s="17">
        <v>41371</v>
      </c>
      <c r="G3225" s="8" t="s">
        <v>17822</v>
      </c>
      <c r="H3225" s="8" t="s">
        <v>17823</v>
      </c>
      <c r="I3225" s="8" t="s">
        <v>46</v>
      </c>
      <c r="J3225" s="16" t="s">
        <v>17824</v>
      </c>
      <c r="K3225" s="2" t="s">
        <v>9034</v>
      </c>
      <c r="L3225" s="8" t="s">
        <v>17688</v>
      </c>
      <c r="M3225" s="8" t="s">
        <v>27</v>
      </c>
      <c r="N3225" s="8" t="s">
        <v>17825</v>
      </c>
      <c r="O3225" s="8" t="s">
        <v>554</v>
      </c>
      <c r="P3225" s="8" t="s">
        <v>405</v>
      </c>
      <c r="Q3225" s="12" t="s">
        <v>17826</v>
      </c>
      <c r="R3225" s="8" t="s">
        <v>100</v>
      </c>
      <c r="S3225" s="7" t="s">
        <v>28</v>
      </c>
      <c r="T3225" s="6"/>
      <c r="U3225" s="8"/>
    </row>
    <row r="3226" spans="1:39" ht="13.5" customHeight="1">
      <c r="A3226" s="8" t="s">
        <v>17827</v>
      </c>
      <c r="B3226" s="16">
        <v>18</v>
      </c>
      <c r="C3226" s="8" t="s">
        <v>115</v>
      </c>
      <c r="D3226" s="8" t="s">
        <v>85</v>
      </c>
      <c r="F3226" s="17">
        <v>41370</v>
      </c>
      <c r="G3226" s="8" t="s">
        <v>17828</v>
      </c>
      <c r="H3226" s="8" t="s">
        <v>5606</v>
      </c>
      <c r="I3226" s="8" t="s">
        <v>62</v>
      </c>
      <c r="J3226" s="16" t="s">
        <v>17829</v>
      </c>
      <c r="K3226" s="2" t="s">
        <v>9247</v>
      </c>
      <c r="L3226" s="8" t="s">
        <v>9296</v>
      </c>
      <c r="M3226" s="8" t="s">
        <v>383</v>
      </c>
      <c r="N3226" s="8" t="s">
        <v>17830</v>
      </c>
      <c r="O3226" s="8" t="s">
        <v>1018</v>
      </c>
      <c r="P3226" s="8" t="s">
        <v>405</v>
      </c>
      <c r="Q3226" s="12" t="s">
        <v>17831</v>
      </c>
      <c r="R3226" s="8" t="s">
        <v>100</v>
      </c>
      <c r="S3226" s="7" t="s">
        <v>383</v>
      </c>
      <c r="T3226" s="6"/>
      <c r="U3226" s="8"/>
    </row>
    <row r="3227" spans="1:39" ht="13.5" customHeight="1">
      <c r="A3227" s="8" t="s">
        <v>17832</v>
      </c>
      <c r="B3227" s="16">
        <v>20</v>
      </c>
      <c r="C3227" s="8" t="s">
        <v>20</v>
      </c>
      <c r="D3227" s="8" t="s">
        <v>85</v>
      </c>
      <c r="E3227" s="8" t="s">
        <v>17833</v>
      </c>
      <c r="F3227" s="17">
        <v>41370</v>
      </c>
      <c r="G3227" s="8" t="s">
        <v>17828</v>
      </c>
      <c r="H3227" s="8" t="s">
        <v>5606</v>
      </c>
      <c r="I3227" s="8" t="s">
        <v>62</v>
      </c>
      <c r="J3227" s="16" t="s">
        <v>17829</v>
      </c>
      <c r="K3227" s="2" t="s">
        <v>9247</v>
      </c>
      <c r="L3227" s="8" t="s">
        <v>9296</v>
      </c>
      <c r="M3227" s="8" t="s">
        <v>383</v>
      </c>
      <c r="N3227" s="8" t="s">
        <v>17830</v>
      </c>
      <c r="O3227" s="8" t="s">
        <v>1018</v>
      </c>
      <c r="P3227" s="8" t="s">
        <v>405</v>
      </c>
      <c r="Q3227" s="12" t="s">
        <v>17831</v>
      </c>
      <c r="R3227" s="8" t="s">
        <v>100</v>
      </c>
      <c r="S3227" s="7" t="s">
        <v>383</v>
      </c>
      <c r="T3227" s="6"/>
      <c r="U3227" s="8"/>
    </row>
    <row r="3228" spans="1:39" ht="13.5" customHeight="1">
      <c r="A3228" s="8" t="s">
        <v>17834</v>
      </c>
      <c r="B3228" s="16">
        <v>27</v>
      </c>
      <c r="C3228" s="8" t="s">
        <v>20</v>
      </c>
      <c r="D3228" s="8" t="s">
        <v>30</v>
      </c>
      <c r="F3228" s="17">
        <v>41369</v>
      </c>
      <c r="G3228" s="8" t="s">
        <v>17835</v>
      </c>
      <c r="H3228" s="8" t="s">
        <v>8861</v>
      </c>
      <c r="I3228" s="8" t="s">
        <v>334</v>
      </c>
      <c r="J3228" s="16" t="s">
        <v>4474</v>
      </c>
      <c r="K3228" s="2" t="s">
        <v>7301</v>
      </c>
      <c r="L3228" s="8" t="s">
        <v>4475</v>
      </c>
      <c r="M3228" s="8" t="s">
        <v>27</v>
      </c>
      <c r="N3228" s="8" t="s">
        <v>17836</v>
      </c>
      <c r="O3228" s="8" t="s">
        <v>554</v>
      </c>
      <c r="P3228" s="8" t="s">
        <v>405</v>
      </c>
      <c r="Q3228" s="12" t="s">
        <v>17837</v>
      </c>
      <c r="R3228" s="8" t="s">
        <v>29</v>
      </c>
      <c r="S3228" s="7" t="s">
        <v>28</v>
      </c>
      <c r="T3228" s="6"/>
      <c r="U3228" s="8"/>
      <c r="Y3228" s="8"/>
      <c r="Z3228" s="8"/>
      <c r="AA3228" s="8"/>
      <c r="AB3228" s="8"/>
      <c r="AC3228" s="8"/>
      <c r="AD3228" s="8"/>
      <c r="AE3228" s="8"/>
      <c r="AF3228" s="8"/>
      <c r="AG3228" s="8"/>
      <c r="AH3228" s="8"/>
    </row>
    <row r="3229" spans="1:39" ht="13.5" customHeight="1">
      <c r="A3229" s="8" t="s">
        <v>17838</v>
      </c>
      <c r="B3229" s="16">
        <v>20</v>
      </c>
      <c r="C3229" s="8" t="s">
        <v>20</v>
      </c>
      <c r="D3229" s="8" t="s">
        <v>85</v>
      </c>
      <c r="E3229" s="8" t="s">
        <v>17839</v>
      </c>
      <c r="F3229" s="17">
        <v>41368</v>
      </c>
      <c r="G3229" s="8" t="s">
        <v>17840</v>
      </c>
      <c r="H3229" s="8" t="s">
        <v>1064</v>
      </c>
      <c r="I3229" s="8" t="s">
        <v>69</v>
      </c>
      <c r="J3229" s="16" t="s">
        <v>17841</v>
      </c>
      <c r="K3229" s="2" t="s">
        <v>1065</v>
      </c>
      <c r="L3229" s="8" t="s">
        <v>409</v>
      </c>
      <c r="M3229" s="8" t="s">
        <v>27</v>
      </c>
      <c r="N3229" s="8" t="s">
        <v>17842</v>
      </c>
      <c r="O3229" s="8" t="s">
        <v>554</v>
      </c>
      <c r="P3229" s="8" t="s">
        <v>405</v>
      </c>
      <c r="Q3229" s="12" t="str">
        <f>HYPERLINK("http://www.daytondailynews.com/news/news/crime-law/fbi-working-at-shooting-site/nXDWH/","http://www.daytondailynews.com/news/news/crime-law/fbi-working-at-shooting-site/nXDWH/")</f>
        <v>http://www.daytondailynews.com/news/news/crime-law/fbi-working-at-shooting-site/nXDWH/</v>
      </c>
      <c r="R3229" s="8" t="s">
        <v>100</v>
      </c>
      <c r="S3229" s="7" t="s">
        <v>35</v>
      </c>
      <c r="T3229" s="6"/>
      <c r="U3229" s="8"/>
    </row>
    <row r="3230" spans="1:39" ht="13.5" customHeight="1">
      <c r="A3230" s="8" t="s">
        <v>17843</v>
      </c>
      <c r="B3230" s="16">
        <v>50</v>
      </c>
      <c r="C3230" s="8" t="s">
        <v>20</v>
      </c>
      <c r="D3230" s="8" t="s">
        <v>30</v>
      </c>
      <c r="F3230" s="17">
        <v>41368</v>
      </c>
      <c r="G3230" s="8" t="s">
        <v>17844</v>
      </c>
      <c r="H3230" s="8" t="s">
        <v>98</v>
      </c>
      <c r="I3230" s="8" t="s">
        <v>45</v>
      </c>
      <c r="J3230" s="16">
        <v>90004</v>
      </c>
      <c r="K3230" s="2" t="s">
        <v>98</v>
      </c>
      <c r="L3230" s="8" t="s">
        <v>99</v>
      </c>
      <c r="M3230" s="8" t="s">
        <v>1706</v>
      </c>
      <c r="N3230" s="8" t="s">
        <v>17845</v>
      </c>
      <c r="O3230" s="8" t="s">
        <v>29</v>
      </c>
      <c r="P3230" s="8" t="s">
        <v>405</v>
      </c>
      <c r="Q3230" s="12" t="s">
        <v>17846</v>
      </c>
      <c r="R3230" s="8" t="s">
        <v>100</v>
      </c>
      <c r="S3230" s="7" t="s">
        <v>28</v>
      </c>
      <c r="T3230" s="6"/>
      <c r="U3230" s="8"/>
    </row>
    <row r="3231" spans="1:39" ht="13.5" customHeight="1">
      <c r="A3231" s="8" t="s">
        <v>17854</v>
      </c>
      <c r="B3231" s="16">
        <v>31</v>
      </c>
      <c r="C3231" s="8" t="s">
        <v>20</v>
      </c>
      <c r="D3231" s="8" t="s">
        <v>21</v>
      </c>
      <c r="F3231" s="17">
        <v>41367</v>
      </c>
      <c r="G3231" s="8" t="s">
        <v>17848</v>
      </c>
      <c r="H3231" s="8" t="s">
        <v>216</v>
      </c>
      <c r="I3231" s="8" t="s">
        <v>62</v>
      </c>
      <c r="J3231" s="16" t="s">
        <v>17849</v>
      </c>
      <c r="K3231" s="2" t="s">
        <v>163</v>
      </c>
      <c r="L3231" s="8" t="s">
        <v>17850</v>
      </c>
      <c r="M3231" s="8" t="s">
        <v>383</v>
      </c>
      <c r="N3231" s="8" t="s">
        <v>17851</v>
      </c>
      <c r="O3231" s="8" t="s">
        <v>1018</v>
      </c>
      <c r="P3231" s="8" t="s">
        <v>405</v>
      </c>
      <c r="Q3231" s="12" t="s">
        <v>17852</v>
      </c>
      <c r="R3231" s="8" t="s">
        <v>100</v>
      </c>
      <c r="S3231" s="7" t="s">
        <v>28</v>
      </c>
      <c r="T3231" s="6"/>
      <c r="U3231" s="8"/>
      <c r="AI3231" s="8"/>
      <c r="AJ3231" s="8"/>
      <c r="AK3231" s="8"/>
      <c r="AL3231" s="8"/>
      <c r="AM3231" s="8"/>
    </row>
    <row r="3232" spans="1:39" ht="13.5" customHeight="1">
      <c r="A3232" s="8" t="s">
        <v>17855</v>
      </c>
      <c r="B3232" s="16">
        <v>33</v>
      </c>
      <c r="C3232" s="8" t="s">
        <v>20</v>
      </c>
      <c r="D3232" s="8" t="s">
        <v>21</v>
      </c>
      <c r="F3232" s="17">
        <v>41367</v>
      </c>
      <c r="G3232" s="8" t="s">
        <v>17848</v>
      </c>
      <c r="H3232" s="8" t="s">
        <v>216</v>
      </c>
      <c r="I3232" s="8" t="s">
        <v>62</v>
      </c>
      <c r="J3232" s="16" t="s">
        <v>17849</v>
      </c>
      <c r="K3232" s="2" t="s">
        <v>163</v>
      </c>
      <c r="L3232" s="8" t="s">
        <v>17850</v>
      </c>
      <c r="M3232" s="8" t="s">
        <v>383</v>
      </c>
      <c r="N3232" s="8" t="s">
        <v>17851</v>
      </c>
      <c r="O3232" s="8" t="s">
        <v>1018</v>
      </c>
      <c r="P3232" s="8" t="s">
        <v>405</v>
      </c>
      <c r="Q3232" s="12" t="s">
        <v>17852</v>
      </c>
      <c r="R3232" s="8" t="s">
        <v>100</v>
      </c>
      <c r="S3232" s="7" t="s">
        <v>28</v>
      </c>
      <c r="T3232" s="6"/>
      <c r="U3232" s="8"/>
      <c r="AI3232" s="8"/>
      <c r="AJ3232" s="8"/>
      <c r="AK3232" s="8"/>
      <c r="AL3232" s="8"/>
      <c r="AM3232" s="8"/>
    </row>
    <row r="3233" spans="1:39" ht="13.5" customHeight="1">
      <c r="A3233" s="8" t="s">
        <v>17847</v>
      </c>
      <c r="B3233" s="16">
        <v>26</v>
      </c>
      <c r="C3233" s="8" t="s">
        <v>115</v>
      </c>
      <c r="D3233" s="8" t="s">
        <v>21</v>
      </c>
      <c r="F3233" s="17">
        <v>41367</v>
      </c>
      <c r="G3233" s="8" t="s">
        <v>17848</v>
      </c>
      <c r="H3233" s="8" t="s">
        <v>216</v>
      </c>
      <c r="I3233" s="8" t="s">
        <v>62</v>
      </c>
      <c r="J3233" s="16" t="s">
        <v>17849</v>
      </c>
      <c r="K3233" s="2" t="s">
        <v>163</v>
      </c>
      <c r="L3233" s="8" t="s">
        <v>17850</v>
      </c>
      <c r="M3233" s="8" t="s">
        <v>383</v>
      </c>
      <c r="N3233" s="8" t="s">
        <v>17851</v>
      </c>
      <c r="O3233" s="8" t="s">
        <v>1018</v>
      </c>
      <c r="P3233" s="8" t="s">
        <v>405</v>
      </c>
      <c r="Q3233" s="12" t="s">
        <v>17852</v>
      </c>
      <c r="R3233" s="8" t="s">
        <v>100</v>
      </c>
      <c r="S3233" s="7" t="s">
        <v>28</v>
      </c>
      <c r="T3233" s="6"/>
      <c r="U3233" s="8"/>
      <c r="AI3233" s="8"/>
      <c r="AJ3233" s="8"/>
      <c r="AK3233" s="8"/>
      <c r="AL3233" s="8"/>
      <c r="AM3233" s="8"/>
    </row>
    <row r="3234" spans="1:39" ht="13.5" customHeight="1">
      <c r="A3234" s="8" t="s">
        <v>17853</v>
      </c>
      <c r="B3234" s="16">
        <v>26</v>
      </c>
      <c r="C3234" s="8" t="s">
        <v>115</v>
      </c>
      <c r="D3234" s="8" t="s">
        <v>21</v>
      </c>
      <c r="F3234" s="17">
        <v>41367</v>
      </c>
      <c r="G3234" s="8" t="s">
        <v>17848</v>
      </c>
      <c r="H3234" s="8" t="s">
        <v>216</v>
      </c>
      <c r="I3234" s="8" t="s">
        <v>62</v>
      </c>
      <c r="J3234" s="16" t="s">
        <v>17849</v>
      </c>
      <c r="K3234" s="2" t="s">
        <v>163</v>
      </c>
      <c r="L3234" s="8" t="s">
        <v>17850</v>
      </c>
      <c r="M3234" s="8" t="s">
        <v>383</v>
      </c>
      <c r="N3234" s="8" t="s">
        <v>17851</v>
      </c>
      <c r="O3234" s="8" t="s">
        <v>1018</v>
      </c>
      <c r="P3234" s="8" t="s">
        <v>405</v>
      </c>
      <c r="Q3234" s="12" t="s">
        <v>17852</v>
      </c>
      <c r="R3234" s="8" t="s">
        <v>100</v>
      </c>
      <c r="S3234" s="7" t="s">
        <v>28</v>
      </c>
      <c r="T3234" s="6"/>
      <c r="U3234" s="8"/>
      <c r="AI3234" s="8"/>
      <c r="AJ3234" s="8"/>
      <c r="AK3234" s="8"/>
      <c r="AL3234" s="8"/>
      <c r="AM3234" s="8"/>
    </row>
    <row r="3235" spans="1:39" ht="13.5" customHeight="1">
      <c r="A3235" s="8" t="s">
        <v>17856</v>
      </c>
      <c r="B3235" s="16">
        <v>21</v>
      </c>
      <c r="C3235" s="8" t="s">
        <v>20</v>
      </c>
      <c r="D3235" s="8" t="s">
        <v>85</v>
      </c>
      <c r="E3235" s="8" t="s">
        <v>17857</v>
      </c>
      <c r="F3235" s="17">
        <v>41365</v>
      </c>
      <c r="G3235" s="8" t="s">
        <v>17858</v>
      </c>
      <c r="H3235" s="8" t="s">
        <v>13030</v>
      </c>
      <c r="I3235" s="8" t="s">
        <v>41</v>
      </c>
      <c r="J3235" s="16">
        <v>6604</v>
      </c>
      <c r="K3235" s="2" t="s">
        <v>4944</v>
      </c>
      <c r="L3235" s="8" t="s">
        <v>13032</v>
      </c>
      <c r="M3235" s="8" t="s">
        <v>27</v>
      </c>
      <c r="N3235" s="8" t="s">
        <v>17859</v>
      </c>
      <c r="O3235" s="8" t="s">
        <v>554</v>
      </c>
      <c r="P3235" s="8" t="s">
        <v>405</v>
      </c>
      <c r="Q3235" s="12" t="s">
        <v>17860</v>
      </c>
      <c r="R3235" s="8" t="s">
        <v>29</v>
      </c>
      <c r="S3235" s="7" t="s">
        <v>18</v>
      </c>
      <c r="T3235" s="6"/>
      <c r="U3235" s="8"/>
    </row>
    <row r="3236" spans="1:39" ht="13.5" customHeight="1">
      <c r="A3236" s="8" t="s">
        <v>17861</v>
      </c>
      <c r="B3236" s="16">
        <v>49</v>
      </c>
      <c r="C3236" s="8" t="s">
        <v>115</v>
      </c>
      <c r="D3236" s="8" t="s">
        <v>30</v>
      </c>
      <c r="F3236" s="17">
        <v>41365</v>
      </c>
      <c r="G3236" s="8" t="s">
        <v>17862</v>
      </c>
      <c r="H3236" s="8" t="s">
        <v>15611</v>
      </c>
      <c r="I3236" s="8" t="s">
        <v>62</v>
      </c>
      <c r="J3236" s="16" t="s">
        <v>17863</v>
      </c>
      <c r="K3236" s="2" t="s">
        <v>1134</v>
      </c>
      <c r="L3236" s="8" t="s">
        <v>17864</v>
      </c>
      <c r="M3236" s="8" t="s">
        <v>27</v>
      </c>
      <c r="N3236" s="8" t="s">
        <v>17865</v>
      </c>
      <c r="O3236" s="8" t="s">
        <v>1018</v>
      </c>
      <c r="P3236" s="8" t="s">
        <v>405</v>
      </c>
      <c r="Q3236" s="12" t="s">
        <v>17866</v>
      </c>
      <c r="R3236" s="8" t="s">
        <v>100</v>
      </c>
      <c r="S3236" s="7" t="s">
        <v>28</v>
      </c>
      <c r="T3236" s="6"/>
      <c r="U3236" s="8"/>
    </row>
    <row r="3237" spans="1:39" ht="13.5" customHeight="1">
      <c r="A3237" s="8" t="s">
        <v>17873</v>
      </c>
      <c r="B3237" s="16" t="s">
        <v>13608</v>
      </c>
      <c r="C3237" s="8" t="s">
        <v>20</v>
      </c>
      <c r="D3237" s="8" t="s">
        <v>37</v>
      </c>
      <c r="E3237" s="8" t="s">
        <v>17874</v>
      </c>
      <c r="F3237" s="17">
        <v>41364</v>
      </c>
      <c r="G3237" s="8" t="s">
        <v>17875</v>
      </c>
      <c r="H3237" s="8" t="s">
        <v>153</v>
      </c>
      <c r="I3237" s="8" t="s">
        <v>370</v>
      </c>
      <c r="J3237" s="16" t="s">
        <v>17876</v>
      </c>
      <c r="K3237" s="2" t="s">
        <v>698</v>
      </c>
      <c r="L3237" s="8" t="s">
        <v>17092</v>
      </c>
      <c r="M3237" s="8" t="s">
        <v>27</v>
      </c>
      <c r="N3237" s="8" t="s">
        <v>17877</v>
      </c>
      <c r="O3237" s="8" t="s">
        <v>554</v>
      </c>
      <c r="P3237" s="8" t="s">
        <v>405</v>
      </c>
      <c r="Q3237" s="12" t="s">
        <v>17878</v>
      </c>
      <c r="R3237" s="8" t="s">
        <v>559</v>
      </c>
      <c r="S3237" s="7" t="s">
        <v>28</v>
      </c>
      <c r="T3237" s="6"/>
      <c r="U3237" s="8"/>
    </row>
    <row r="3238" spans="1:39" ht="13.5" customHeight="1">
      <c r="A3238" s="8" t="s">
        <v>17867</v>
      </c>
      <c r="B3238" s="16">
        <v>60</v>
      </c>
      <c r="C3238" s="8" t="s">
        <v>115</v>
      </c>
      <c r="D3238" s="8" t="s">
        <v>37</v>
      </c>
      <c r="E3238" s="8" t="s">
        <v>17868</v>
      </c>
      <c r="F3238" s="17">
        <v>41364</v>
      </c>
      <c r="G3238" s="8" t="s">
        <v>17869</v>
      </c>
      <c r="H3238" s="8" t="s">
        <v>4014</v>
      </c>
      <c r="I3238" s="8" t="s">
        <v>370</v>
      </c>
      <c r="J3238" s="16" t="s">
        <v>4015</v>
      </c>
      <c r="K3238" s="2" t="s">
        <v>4016</v>
      </c>
      <c r="L3238" s="8" t="s">
        <v>17870</v>
      </c>
      <c r="M3238" s="8" t="s">
        <v>27</v>
      </c>
      <c r="N3238" s="8" t="s">
        <v>17871</v>
      </c>
      <c r="O3238" s="8" t="s">
        <v>1018</v>
      </c>
      <c r="P3238" s="8" t="s">
        <v>405</v>
      </c>
      <c r="Q3238" s="12" t="s">
        <v>17872</v>
      </c>
      <c r="R3238" s="8" t="s">
        <v>559</v>
      </c>
      <c r="S3238" s="7" t="s">
        <v>28</v>
      </c>
      <c r="T3238" s="6"/>
      <c r="U3238" s="8"/>
    </row>
    <row r="3239" spans="1:39" ht="13.5" customHeight="1">
      <c r="A3239" s="8" t="s">
        <v>17879</v>
      </c>
      <c r="B3239" s="16">
        <v>32</v>
      </c>
      <c r="C3239" s="8" t="s">
        <v>20</v>
      </c>
      <c r="D3239" s="8" t="s">
        <v>85</v>
      </c>
      <c r="F3239" s="17">
        <v>41363</v>
      </c>
      <c r="G3239" s="8" t="s">
        <v>17880</v>
      </c>
      <c r="H3239" s="8" t="s">
        <v>607</v>
      </c>
      <c r="I3239" s="8" t="s">
        <v>45</v>
      </c>
      <c r="J3239" s="16" t="s">
        <v>15797</v>
      </c>
      <c r="K3239" s="2" t="s">
        <v>608</v>
      </c>
      <c r="L3239" s="8" t="s">
        <v>252</v>
      </c>
      <c r="M3239" s="8" t="s">
        <v>27</v>
      </c>
      <c r="N3239" s="8" t="s">
        <v>17881</v>
      </c>
      <c r="O3239" s="8" t="s">
        <v>1018</v>
      </c>
      <c r="P3239" s="8" t="s">
        <v>405</v>
      </c>
      <c r="Q3239" s="12" t="s">
        <v>17882</v>
      </c>
      <c r="R3239" s="8" t="s">
        <v>100</v>
      </c>
      <c r="S3239" s="7" t="s">
        <v>383</v>
      </c>
      <c r="T3239" s="6"/>
      <c r="U3239" s="8"/>
      <c r="Y3239" s="8"/>
      <c r="Z3239" s="8"/>
      <c r="AA3239" s="8"/>
      <c r="AB3239" s="8"/>
      <c r="AC3239" s="8"/>
      <c r="AD3239" s="8"/>
      <c r="AE3239" s="8"/>
      <c r="AF3239" s="8"/>
      <c r="AG3239" s="8"/>
      <c r="AH3239" s="8"/>
    </row>
    <row r="3240" spans="1:39" ht="13.5" customHeight="1">
      <c r="A3240" s="8" t="s">
        <v>17891</v>
      </c>
      <c r="B3240" s="16" t="s">
        <v>15276</v>
      </c>
      <c r="C3240" s="8" t="s">
        <v>20</v>
      </c>
      <c r="D3240" s="8" t="s">
        <v>37</v>
      </c>
      <c r="E3240" s="8" t="s">
        <v>17892</v>
      </c>
      <c r="F3240" s="17">
        <v>41362</v>
      </c>
      <c r="G3240" s="8" t="s">
        <v>17893</v>
      </c>
      <c r="H3240" s="8" t="s">
        <v>17894</v>
      </c>
      <c r="I3240" s="8" t="s">
        <v>243</v>
      </c>
      <c r="J3240" s="16" t="s">
        <v>17895</v>
      </c>
      <c r="K3240" s="2" t="s">
        <v>17896</v>
      </c>
      <c r="L3240" s="8" t="s">
        <v>17897</v>
      </c>
      <c r="M3240" s="8" t="s">
        <v>27</v>
      </c>
      <c r="N3240" s="8" t="s">
        <v>17898</v>
      </c>
      <c r="O3240" s="8" t="s">
        <v>554</v>
      </c>
      <c r="P3240" s="8" t="s">
        <v>405</v>
      </c>
      <c r="Q3240" s="12" t="s">
        <v>17899</v>
      </c>
      <c r="R3240" s="8" t="s">
        <v>29</v>
      </c>
      <c r="S3240" s="7" t="s">
        <v>28</v>
      </c>
      <c r="T3240" s="6"/>
      <c r="U3240" s="8"/>
      <c r="V3240" s="8"/>
      <c r="W3240" s="8"/>
      <c r="X3240" s="8"/>
    </row>
    <row r="3241" spans="1:39" ht="13.5" customHeight="1">
      <c r="A3241" s="8" t="s">
        <v>17883</v>
      </c>
      <c r="B3241" s="16" t="s">
        <v>17683</v>
      </c>
      <c r="C3241" s="8" t="s">
        <v>20</v>
      </c>
      <c r="D3241" s="8" t="s">
        <v>37</v>
      </c>
      <c r="E3241" s="8" t="s">
        <v>17884</v>
      </c>
      <c r="F3241" s="17">
        <v>41362</v>
      </c>
      <c r="G3241" s="8" t="s">
        <v>17885</v>
      </c>
      <c r="H3241" s="8" t="s">
        <v>17886</v>
      </c>
      <c r="I3241" s="8" t="s">
        <v>510</v>
      </c>
      <c r="J3241" s="16" t="s">
        <v>17887</v>
      </c>
      <c r="K3241" s="2" t="s">
        <v>15114</v>
      </c>
      <c r="L3241" s="8" t="s">
        <v>17888</v>
      </c>
      <c r="M3241" s="8" t="s">
        <v>27</v>
      </c>
      <c r="N3241" s="8" t="s">
        <v>17889</v>
      </c>
      <c r="O3241" s="8" t="s">
        <v>554</v>
      </c>
      <c r="P3241" s="8" t="s">
        <v>405</v>
      </c>
      <c r="Q3241" s="12" t="s">
        <v>17890</v>
      </c>
      <c r="R3241" s="8" t="s">
        <v>100</v>
      </c>
      <c r="S3241" s="7" t="s">
        <v>28</v>
      </c>
      <c r="T3241" s="6"/>
      <c r="U3241" s="8"/>
      <c r="Y3241" s="8"/>
      <c r="Z3241" s="8"/>
      <c r="AA3241" s="8"/>
      <c r="AB3241" s="8"/>
      <c r="AC3241" s="8"/>
      <c r="AD3241" s="8"/>
      <c r="AE3241" s="8"/>
      <c r="AF3241" s="8"/>
      <c r="AG3241" s="8"/>
      <c r="AH3241" s="8"/>
    </row>
    <row r="3242" spans="1:39" ht="13.5" customHeight="1">
      <c r="A3242" s="8" t="s">
        <v>17900</v>
      </c>
      <c r="B3242" s="16" t="s">
        <v>17455</v>
      </c>
      <c r="C3242" s="8" t="s">
        <v>20</v>
      </c>
      <c r="D3242" s="8" t="s">
        <v>30</v>
      </c>
      <c r="F3242" s="17">
        <v>41360</v>
      </c>
      <c r="G3242" s="8" t="s">
        <v>17901</v>
      </c>
      <c r="H3242" s="8" t="s">
        <v>1204</v>
      </c>
      <c r="I3242" s="8" t="s">
        <v>323</v>
      </c>
      <c r="J3242" s="16" t="s">
        <v>17902</v>
      </c>
      <c r="K3242" s="2" t="s">
        <v>1205</v>
      </c>
      <c r="L3242" s="8" t="s">
        <v>1206</v>
      </c>
      <c r="M3242" s="8" t="s">
        <v>27</v>
      </c>
      <c r="N3242" s="8" t="s">
        <v>17903</v>
      </c>
      <c r="O3242" s="8" t="s">
        <v>29</v>
      </c>
      <c r="P3242" s="8" t="s">
        <v>405</v>
      </c>
      <c r="Q3242" s="12" t="s">
        <v>17904</v>
      </c>
      <c r="R3242" s="8" t="s">
        <v>100</v>
      </c>
      <c r="S3242" s="7" t="s">
        <v>28</v>
      </c>
      <c r="T3242" s="6"/>
      <c r="U3242" s="8"/>
    </row>
    <row r="3243" spans="1:39" ht="13.5" customHeight="1">
      <c r="A3243" s="8" t="s">
        <v>17905</v>
      </c>
      <c r="B3243" s="16">
        <v>72</v>
      </c>
      <c r="C3243" s="8" t="s">
        <v>20</v>
      </c>
      <c r="D3243" s="8" t="s">
        <v>30</v>
      </c>
      <c r="F3243" s="17">
        <v>41360</v>
      </c>
      <c r="G3243" s="8" t="s">
        <v>17906</v>
      </c>
      <c r="H3243" s="8" t="s">
        <v>694</v>
      </c>
      <c r="I3243" s="8" t="s">
        <v>124</v>
      </c>
      <c r="J3243" s="16" t="s">
        <v>12244</v>
      </c>
      <c r="K3243" s="2" t="s">
        <v>639</v>
      </c>
      <c r="L3243" s="8" t="s">
        <v>4939</v>
      </c>
      <c r="M3243" s="8" t="s">
        <v>27</v>
      </c>
      <c r="N3243" s="8" t="s">
        <v>17907</v>
      </c>
      <c r="O3243" s="8" t="s">
        <v>1018</v>
      </c>
      <c r="P3243" s="8" t="s">
        <v>405</v>
      </c>
      <c r="Q3243" s="12" t="s">
        <v>17908</v>
      </c>
      <c r="R3243" s="8" t="s">
        <v>29</v>
      </c>
      <c r="S3243" s="7" t="s">
        <v>28</v>
      </c>
      <c r="T3243" s="6"/>
      <c r="U3243" s="8"/>
    </row>
    <row r="3244" spans="1:39" ht="13.5" customHeight="1">
      <c r="A3244" s="8" t="s">
        <v>17909</v>
      </c>
      <c r="B3244" s="16">
        <v>20</v>
      </c>
      <c r="C3244" s="8" t="s">
        <v>20</v>
      </c>
      <c r="D3244" s="8" t="s">
        <v>37</v>
      </c>
      <c r="F3244" s="17">
        <v>41359</v>
      </c>
      <c r="G3244" s="8" t="s">
        <v>17910</v>
      </c>
      <c r="H3244" s="8" t="s">
        <v>17911</v>
      </c>
      <c r="I3244" s="8" t="s">
        <v>69</v>
      </c>
      <c r="J3244" s="16" t="s">
        <v>17912</v>
      </c>
      <c r="K3244" s="2" t="s">
        <v>17911</v>
      </c>
      <c r="L3244" s="8" t="s">
        <v>17913</v>
      </c>
      <c r="M3244" s="8" t="s">
        <v>27</v>
      </c>
      <c r="N3244" s="8" t="s">
        <v>17914</v>
      </c>
      <c r="O3244" s="8" t="s">
        <v>1018</v>
      </c>
      <c r="P3244" s="8" t="s">
        <v>405</v>
      </c>
      <c r="Q3244" s="12" t="s">
        <v>17915</v>
      </c>
      <c r="R3244" s="8" t="s">
        <v>29</v>
      </c>
      <c r="S3244" s="7" t="s">
        <v>28</v>
      </c>
      <c r="T3244" s="6"/>
      <c r="U3244" s="8"/>
    </row>
    <row r="3245" spans="1:39" ht="13.5" customHeight="1">
      <c r="A3245" s="8" t="s">
        <v>17916</v>
      </c>
      <c r="B3245" s="16">
        <v>26</v>
      </c>
      <c r="C3245" s="8" t="s">
        <v>20</v>
      </c>
      <c r="D3245" s="8" t="s">
        <v>30</v>
      </c>
      <c r="F3245" s="17">
        <v>41358</v>
      </c>
      <c r="G3245" s="8" t="s">
        <v>17917</v>
      </c>
      <c r="H3245" s="8" t="s">
        <v>4629</v>
      </c>
      <c r="I3245" s="8" t="s">
        <v>862</v>
      </c>
      <c r="J3245" s="16" t="s">
        <v>4630</v>
      </c>
      <c r="K3245" s="2" t="s">
        <v>4631</v>
      </c>
      <c r="L3245" s="8" t="s">
        <v>5088</v>
      </c>
      <c r="M3245" s="8" t="s">
        <v>383</v>
      </c>
      <c r="N3245" s="8" t="s">
        <v>17918</v>
      </c>
      <c r="O3245" s="8" t="s">
        <v>1018</v>
      </c>
      <c r="P3245" s="8" t="s">
        <v>405</v>
      </c>
      <c r="Q3245" s="12" t="s">
        <v>17919</v>
      </c>
      <c r="R3245" s="8" t="s">
        <v>100</v>
      </c>
      <c r="S3245" s="7" t="s">
        <v>28</v>
      </c>
      <c r="T3245" s="6"/>
      <c r="U3245" s="8"/>
    </row>
    <row r="3246" spans="1:39" ht="13.5" customHeight="1">
      <c r="A3246" s="8" t="s">
        <v>17920</v>
      </c>
      <c r="B3246" s="16">
        <v>25</v>
      </c>
      <c r="C3246" s="8" t="s">
        <v>20</v>
      </c>
      <c r="D3246" s="8" t="s">
        <v>30</v>
      </c>
      <c r="F3246" s="17">
        <v>41357</v>
      </c>
      <c r="G3246" s="8" t="s">
        <v>17921</v>
      </c>
      <c r="H3246" s="8" t="s">
        <v>12623</v>
      </c>
      <c r="I3246" s="8" t="s">
        <v>94</v>
      </c>
      <c r="J3246" s="16" t="s">
        <v>12624</v>
      </c>
      <c r="K3246" s="2" t="s">
        <v>12625</v>
      </c>
      <c r="L3246" s="8" t="s">
        <v>12626</v>
      </c>
      <c r="M3246" s="8" t="s">
        <v>1706</v>
      </c>
      <c r="N3246" s="8" t="s">
        <v>17922</v>
      </c>
      <c r="O3246" s="8" t="s">
        <v>1018</v>
      </c>
      <c r="P3246" s="8" t="s">
        <v>405</v>
      </c>
      <c r="Q3246" s="12" t="s">
        <v>17923</v>
      </c>
      <c r="R3246" s="8" t="s">
        <v>972</v>
      </c>
      <c r="S3246" s="7" t="s">
        <v>28</v>
      </c>
      <c r="T3246" s="6"/>
      <c r="U3246" s="8"/>
    </row>
    <row r="3247" spans="1:39" ht="13.5" customHeight="1">
      <c r="A3247" s="8" t="s">
        <v>17931</v>
      </c>
      <c r="B3247" s="16">
        <v>49</v>
      </c>
      <c r="C3247" s="8" t="s">
        <v>20</v>
      </c>
      <c r="D3247" s="8" t="s">
        <v>85</v>
      </c>
      <c r="E3247" s="8" t="s">
        <v>17932</v>
      </c>
      <c r="F3247" s="17">
        <v>41355</v>
      </c>
      <c r="G3247" s="8" t="s">
        <v>17933</v>
      </c>
      <c r="H3247" s="8" t="s">
        <v>61</v>
      </c>
      <c r="I3247" s="8" t="s">
        <v>62</v>
      </c>
      <c r="J3247" s="16" t="s">
        <v>17934</v>
      </c>
      <c r="K3247" s="2" t="s">
        <v>5387</v>
      </c>
      <c r="L3247" s="8" t="s">
        <v>63</v>
      </c>
      <c r="M3247" s="8" t="s">
        <v>27</v>
      </c>
      <c r="N3247" s="8" t="s">
        <v>17935</v>
      </c>
      <c r="O3247" s="8" t="s">
        <v>1018</v>
      </c>
      <c r="P3247" s="8" t="s">
        <v>405</v>
      </c>
      <c r="Q3247" s="12" t="s">
        <v>17936</v>
      </c>
      <c r="R3247" s="8" t="s">
        <v>100</v>
      </c>
      <c r="S3247" s="7" t="s">
        <v>28</v>
      </c>
      <c r="T3247" s="6"/>
      <c r="U3247" s="8"/>
    </row>
    <row r="3248" spans="1:39" ht="13.5" customHeight="1">
      <c r="A3248" s="8" t="s">
        <v>17937</v>
      </c>
      <c r="B3248" s="16">
        <v>19</v>
      </c>
      <c r="C3248" s="8" t="s">
        <v>115</v>
      </c>
      <c r="D3248" s="8" t="s">
        <v>85</v>
      </c>
      <c r="F3248" s="17">
        <v>41355</v>
      </c>
      <c r="G3248" s="8" t="s">
        <v>17938</v>
      </c>
      <c r="H3248" s="8" t="s">
        <v>13659</v>
      </c>
      <c r="I3248" s="8" t="s">
        <v>62</v>
      </c>
      <c r="J3248" s="16" t="s">
        <v>15649</v>
      </c>
      <c r="K3248" s="2" t="s">
        <v>2331</v>
      </c>
      <c r="L3248" s="8" t="s">
        <v>14296</v>
      </c>
      <c r="M3248" s="8" t="s">
        <v>383</v>
      </c>
      <c r="N3248" s="8" t="s">
        <v>17939</v>
      </c>
      <c r="O3248" s="8" t="s">
        <v>1018</v>
      </c>
      <c r="P3248" s="8" t="s">
        <v>405</v>
      </c>
      <c r="Q3248" s="12" t="s">
        <v>17940</v>
      </c>
      <c r="R3248" s="8" t="s">
        <v>100</v>
      </c>
      <c r="S3248" s="7" t="s">
        <v>383</v>
      </c>
      <c r="T3248" s="6"/>
      <c r="U3248" s="8"/>
    </row>
    <row r="3249" spans="1:21" ht="13.5" customHeight="1">
      <c r="A3249" s="8" t="s">
        <v>17924</v>
      </c>
      <c r="B3249" s="16">
        <v>51</v>
      </c>
      <c r="C3249" s="8" t="s">
        <v>20</v>
      </c>
      <c r="D3249" s="8" t="s">
        <v>85</v>
      </c>
      <c r="E3249" s="8" t="s">
        <v>17925</v>
      </c>
      <c r="F3249" s="17">
        <v>41355</v>
      </c>
      <c r="G3249" s="8" t="s">
        <v>17926</v>
      </c>
      <c r="H3249" s="8" t="s">
        <v>1220</v>
      </c>
      <c r="I3249" s="8" t="s">
        <v>306</v>
      </c>
      <c r="J3249" s="16" t="s">
        <v>17927</v>
      </c>
      <c r="K3249" s="2" t="s">
        <v>1221</v>
      </c>
      <c r="L3249" s="8" t="s">
        <v>17928</v>
      </c>
      <c r="M3249" s="8" t="s">
        <v>27</v>
      </c>
      <c r="N3249" s="8" t="s">
        <v>17929</v>
      </c>
      <c r="O3249" s="8" t="s">
        <v>554</v>
      </c>
      <c r="P3249" s="8" t="s">
        <v>405</v>
      </c>
      <c r="Q3249" s="12" t="s">
        <v>17930</v>
      </c>
      <c r="R3249" s="8" t="s">
        <v>29</v>
      </c>
      <c r="S3249" s="7" t="s">
        <v>18</v>
      </c>
      <c r="T3249" s="6"/>
      <c r="U3249" s="8"/>
    </row>
    <row r="3250" spans="1:21" ht="13.5" customHeight="1">
      <c r="A3250" s="8" t="s">
        <v>17941</v>
      </c>
      <c r="B3250" s="16">
        <v>28</v>
      </c>
      <c r="C3250" s="8" t="s">
        <v>20</v>
      </c>
      <c r="D3250" s="8" t="s">
        <v>37</v>
      </c>
      <c r="E3250" s="8" t="s">
        <v>17942</v>
      </c>
      <c r="F3250" s="17">
        <v>41354</v>
      </c>
      <c r="G3250" s="8" t="s">
        <v>17943</v>
      </c>
      <c r="H3250" s="8" t="s">
        <v>17944</v>
      </c>
      <c r="I3250" s="8" t="s">
        <v>73</v>
      </c>
      <c r="J3250" s="16" t="s">
        <v>17945</v>
      </c>
      <c r="K3250" s="2" t="s">
        <v>17946</v>
      </c>
      <c r="L3250" s="8" t="s">
        <v>4790</v>
      </c>
      <c r="M3250" s="8" t="s">
        <v>27</v>
      </c>
      <c r="N3250" s="8" t="s">
        <v>17947</v>
      </c>
      <c r="O3250" s="8" t="s">
        <v>554</v>
      </c>
      <c r="P3250" s="8" t="s">
        <v>405</v>
      </c>
      <c r="Q3250" s="12" t="s">
        <v>17948</v>
      </c>
      <c r="R3250" s="8" t="s">
        <v>100</v>
      </c>
      <c r="S3250" s="7" t="s">
        <v>28</v>
      </c>
      <c r="T3250" s="6"/>
      <c r="U3250" s="8"/>
    </row>
    <row r="3251" spans="1:21" ht="13.5" customHeight="1">
      <c r="A3251" s="8" t="s">
        <v>17949</v>
      </c>
      <c r="B3251" s="16" t="s">
        <v>13974</v>
      </c>
      <c r="C3251" s="8" t="s">
        <v>20</v>
      </c>
      <c r="D3251" s="8" t="s">
        <v>85</v>
      </c>
      <c r="E3251" s="8" t="s">
        <v>17950</v>
      </c>
      <c r="F3251" s="17">
        <v>41353</v>
      </c>
      <c r="G3251" s="8" t="s">
        <v>17951</v>
      </c>
      <c r="H3251" s="8" t="s">
        <v>1818</v>
      </c>
      <c r="I3251" s="8" t="s">
        <v>220</v>
      </c>
      <c r="J3251" s="16" t="s">
        <v>17478</v>
      </c>
      <c r="K3251" s="2" t="s">
        <v>1820</v>
      </c>
      <c r="L3251" s="8" t="s">
        <v>1821</v>
      </c>
      <c r="M3251" s="8" t="s">
        <v>27</v>
      </c>
      <c r="N3251" s="8" t="s">
        <v>17952</v>
      </c>
      <c r="O3251" s="8" t="s">
        <v>29</v>
      </c>
      <c r="P3251" s="8" t="s">
        <v>405</v>
      </c>
      <c r="Q3251" s="12" t="s">
        <v>17953</v>
      </c>
      <c r="R3251" s="8" t="s">
        <v>100</v>
      </c>
      <c r="S3251" s="7" t="s">
        <v>28</v>
      </c>
      <c r="T3251" s="6"/>
      <c r="U3251" s="8"/>
    </row>
    <row r="3252" spans="1:21" ht="13.5" customHeight="1">
      <c r="A3252" s="8" t="s">
        <v>17963</v>
      </c>
      <c r="B3252" s="16" t="s">
        <v>13608</v>
      </c>
      <c r="C3252" s="8" t="s">
        <v>20</v>
      </c>
      <c r="D3252" s="8" t="s">
        <v>30</v>
      </c>
      <c r="F3252" s="17">
        <v>41352</v>
      </c>
      <c r="G3252" s="8" t="s">
        <v>17964</v>
      </c>
      <c r="H3252" s="8" t="s">
        <v>17965</v>
      </c>
      <c r="I3252" s="8" t="s">
        <v>94</v>
      </c>
      <c r="J3252" s="16">
        <v>36022</v>
      </c>
      <c r="K3252" s="2" t="s">
        <v>4121</v>
      </c>
      <c r="L3252" s="8" t="s">
        <v>17966</v>
      </c>
      <c r="M3252" s="8" t="s">
        <v>27</v>
      </c>
      <c r="N3252" s="8" t="s">
        <v>17967</v>
      </c>
      <c r="O3252" s="8" t="s">
        <v>554</v>
      </c>
      <c r="P3252" s="8" t="s">
        <v>405</v>
      </c>
      <c r="Q3252" s="12" t="s">
        <v>17968</v>
      </c>
      <c r="R3252" s="8" t="s">
        <v>100</v>
      </c>
      <c r="S3252" s="7" t="s">
        <v>28</v>
      </c>
      <c r="T3252" s="6"/>
      <c r="U3252" s="8"/>
    </row>
    <row r="3253" spans="1:21" ht="13.5" customHeight="1">
      <c r="A3253" s="8" t="s">
        <v>17959</v>
      </c>
      <c r="B3253" s="16" t="s">
        <v>16209</v>
      </c>
      <c r="C3253" s="8" t="s">
        <v>20</v>
      </c>
      <c r="D3253" s="8" t="s">
        <v>30</v>
      </c>
      <c r="F3253" s="17">
        <v>41352</v>
      </c>
      <c r="G3253" s="8" t="s">
        <v>17960</v>
      </c>
      <c r="H3253" s="8" t="s">
        <v>930</v>
      </c>
      <c r="I3253" s="8" t="s">
        <v>198</v>
      </c>
      <c r="J3253" s="16" t="s">
        <v>17961</v>
      </c>
      <c r="K3253" s="2" t="s">
        <v>471</v>
      </c>
      <c r="L3253" s="8" t="s">
        <v>3118</v>
      </c>
      <c r="M3253" s="8" t="s">
        <v>27</v>
      </c>
      <c r="N3253" s="8" t="s">
        <v>17962</v>
      </c>
      <c r="O3253" s="8" t="s">
        <v>29</v>
      </c>
      <c r="P3253" s="8" t="s">
        <v>405</v>
      </c>
      <c r="Q3253" s="12" t="s">
        <v>10223</v>
      </c>
      <c r="R3253" s="8" t="s">
        <v>100</v>
      </c>
      <c r="S3253" s="7" t="s">
        <v>28</v>
      </c>
      <c r="T3253" s="6"/>
      <c r="U3253" s="8"/>
    </row>
    <row r="3254" spans="1:21" ht="13.5" customHeight="1">
      <c r="A3254" s="8" t="s">
        <v>17954</v>
      </c>
      <c r="B3254" s="16" t="s">
        <v>8822</v>
      </c>
      <c r="C3254" s="8" t="s">
        <v>20</v>
      </c>
      <c r="D3254" s="8" t="s">
        <v>48</v>
      </c>
      <c r="F3254" s="17">
        <v>41352</v>
      </c>
      <c r="G3254" s="8" t="s">
        <v>17955</v>
      </c>
      <c r="H3254" s="8" t="s">
        <v>242</v>
      </c>
      <c r="I3254" s="8" t="s">
        <v>243</v>
      </c>
      <c r="J3254" s="16" t="s">
        <v>10421</v>
      </c>
      <c r="K3254" s="2" t="s">
        <v>617</v>
      </c>
      <c r="L3254" s="8" t="s">
        <v>17956</v>
      </c>
      <c r="M3254" s="8" t="s">
        <v>27</v>
      </c>
      <c r="N3254" s="8" t="s">
        <v>17957</v>
      </c>
      <c r="O3254" s="8" t="s">
        <v>554</v>
      </c>
      <c r="P3254" s="8" t="s">
        <v>405</v>
      </c>
      <c r="Q3254" s="12" t="s">
        <v>17958</v>
      </c>
      <c r="R3254" s="8" t="s">
        <v>100</v>
      </c>
      <c r="S3254" s="7" t="s">
        <v>28</v>
      </c>
      <c r="T3254" s="6"/>
      <c r="U3254" s="8"/>
    </row>
    <row r="3255" spans="1:21" ht="13.5" customHeight="1">
      <c r="A3255" s="8" t="s">
        <v>17971</v>
      </c>
      <c r="B3255" s="16" t="s">
        <v>13716</v>
      </c>
      <c r="C3255" s="8" t="s">
        <v>20</v>
      </c>
      <c r="D3255" s="8" t="s">
        <v>48</v>
      </c>
      <c r="E3255" s="8" t="s">
        <v>17972</v>
      </c>
      <c r="F3255" s="17">
        <v>41351</v>
      </c>
      <c r="G3255" s="8" t="s">
        <v>17973</v>
      </c>
      <c r="H3255" s="8" t="s">
        <v>612</v>
      </c>
      <c r="I3255" s="8" t="s">
        <v>45</v>
      </c>
      <c r="J3255" s="16" t="s">
        <v>17974</v>
      </c>
      <c r="K3255" s="2" t="s">
        <v>613</v>
      </c>
      <c r="L3255" s="8" t="s">
        <v>735</v>
      </c>
      <c r="M3255" s="8" t="s">
        <v>27</v>
      </c>
      <c r="N3255" s="8" t="s">
        <v>17975</v>
      </c>
      <c r="O3255" s="8" t="s">
        <v>554</v>
      </c>
      <c r="P3255" s="8" t="s">
        <v>405</v>
      </c>
      <c r="Q3255" s="12" t="s">
        <v>17976</v>
      </c>
      <c r="R3255" s="8" t="s">
        <v>100</v>
      </c>
      <c r="S3255" s="7" t="s">
        <v>28</v>
      </c>
      <c r="T3255" s="6"/>
      <c r="U3255" s="8"/>
    </row>
    <row r="3256" spans="1:21" ht="13.5" customHeight="1">
      <c r="A3256" s="8" t="s">
        <v>3288</v>
      </c>
      <c r="B3256" s="16">
        <v>33</v>
      </c>
      <c r="C3256" s="8" t="s">
        <v>20</v>
      </c>
      <c r="D3256" s="8" t="s">
        <v>48</v>
      </c>
      <c r="F3256" s="17">
        <v>41351</v>
      </c>
      <c r="G3256" s="8" t="s">
        <v>17969</v>
      </c>
      <c r="H3256" s="8" t="s">
        <v>731</v>
      </c>
      <c r="I3256" s="8" t="s">
        <v>73</v>
      </c>
      <c r="J3256" s="16" t="s">
        <v>14352</v>
      </c>
      <c r="K3256" s="2" t="s">
        <v>562</v>
      </c>
      <c r="L3256" s="8" t="s">
        <v>732</v>
      </c>
      <c r="M3256" s="8" t="s">
        <v>27</v>
      </c>
      <c r="N3256" s="8" t="s">
        <v>17970</v>
      </c>
      <c r="O3256" s="8" t="s">
        <v>29</v>
      </c>
      <c r="P3256" s="8" t="s">
        <v>405</v>
      </c>
      <c r="Q3256" s="12"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3256" s="8" t="s">
        <v>100</v>
      </c>
      <c r="S3256" s="7" t="s">
        <v>28</v>
      </c>
      <c r="T3256" s="6"/>
      <c r="U3256" s="8"/>
    </row>
    <row r="3257" spans="1:21" ht="13.5" customHeight="1">
      <c r="A3257" s="8" t="s">
        <v>17977</v>
      </c>
      <c r="B3257" s="16">
        <v>22</v>
      </c>
      <c r="C3257" s="8" t="s">
        <v>20</v>
      </c>
      <c r="D3257" s="8" t="s">
        <v>85</v>
      </c>
      <c r="E3257" s="8" t="s">
        <v>17978</v>
      </c>
      <c r="F3257" s="17">
        <v>41350</v>
      </c>
      <c r="G3257" s="8" t="s">
        <v>17979</v>
      </c>
      <c r="H3257" s="8" t="s">
        <v>17980</v>
      </c>
      <c r="I3257" s="8" t="s">
        <v>69</v>
      </c>
      <c r="J3257" s="16" t="s">
        <v>17981</v>
      </c>
      <c r="K3257" s="2" t="s">
        <v>105</v>
      </c>
      <c r="L3257" s="8" t="s">
        <v>17982</v>
      </c>
      <c r="M3257" s="8" t="s">
        <v>27</v>
      </c>
      <c r="N3257" s="8" t="s">
        <v>17983</v>
      </c>
      <c r="O3257" s="8" t="s">
        <v>554</v>
      </c>
      <c r="P3257" s="8" t="s">
        <v>405</v>
      </c>
      <c r="Q3257" s="12" t="s">
        <v>17984</v>
      </c>
      <c r="R3257" s="8" t="s">
        <v>100</v>
      </c>
      <c r="S3257" s="7" t="s">
        <v>28</v>
      </c>
      <c r="T3257" s="6"/>
      <c r="U3257" s="8"/>
    </row>
    <row r="3258" spans="1:21" ht="13.5" customHeight="1">
      <c r="A3258" s="8" t="s">
        <v>17985</v>
      </c>
      <c r="B3258" s="16">
        <v>28</v>
      </c>
      <c r="C3258" s="8" t="s">
        <v>115</v>
      </c>
      <c r="D3258" s="8" t="s">
        <v>48</v>
      </c>
      <c r="F3258" s="17">
        <v>41349</v>
      </c>
      <c r="G3258" s="8" t="s">
        <v>17986</v>
      </c>
      <c r="H3258" s="8" t="s">
        <v>2905</v>
      </c>
      <c r="I3258" s="8" t="s">
        <v>45</v>
      </c>
      <c r="J3258" s="16" t="s">
        <v>17987</v>
      </c>
      <c r="K3258" s="2" t="s">
        <v>98</v>
      </c>
      <c r="L3258" s="8" t="s">
        <v>17988</v>
      </c>
      <c r="M3258" s="8" t="s">
        <v>27</v>
      </c>
      <c r="N3258" s="8" t="s">
        <v>17989</v>
      </c>
      <c r="O3258" s="8" t="s">
        <v>1018</v>
      </c>
      <c r="P3258" s="8" t="s">
        <v>405</v>
      </c>
      <c r="Q3258" s="12" t="s">
        <v>17990</v>
      </c>
      <c r="R3258" s="8" t="s">
        <v>29</v>
      </c>
      <c r="S3258" s="7" t="s">
        <v>28</v>
      </c>
      <c r="T3258" s="6"/>
      <c r="U3258" s="8"/>
    </row>
    <row r="3259" spans="1:21" ht="13.5" customHeight="1">
      <c r="A3259" s="8" t="s">
        <v>17991</v>
      </c>
      <c r="B3259" s="16">
        <v>41</v>
      </c>
      <c r="C3259" s="8" t="s">
        <v>20</v>
      </c>
      <c r="D3259" s="8" t="s">
        <v>37</v>
      </c>
      <c r="E3259" s="8" t="s">
        <v>17992</v>
      </c>
      <c r="F3259" s="17">
        <v>41348</v>
      </c>
      <c r="G3259" s="8" t="s">
        <v>17993</v>
      </c>
      <c r="H3259" s="8" t="s">
        <v>3736</v>
      </c>
      <c r="I3259" s="8" t="s">
        <v>45</v>
      </c>
      <c r="J3259" s="16" t="s">
        <v>3737</v>
      </c>
      <c r="K3259" s="2" t="s">
        <v>1070</v>
      </c>
      <c r="L3259" s="8" t="s">
        <v>3738</v>
      </c>
      <c r="M3259" s="8" t="s">
        <v>27</v>
      </c>
      <c r="N3259" s="8" t="s">
        <v>17994</v>
      </c>
      <c r="O3259" s="8" t="s">
        <v>554</v>
      </c>
      <c r="P3259" s="8" t="s">
        <v>405</v>
      </c>
      <c r="Q3259" s="12" t="s">
        <v>17995</v>
      </c>
      <c r="R3259" s="8" t="s">
        <v>100</v>
      </c>
      <c r="S3259" s="7" t="s">
        <v>28</v>
      </c>
      <c r="T3259" s="6"/>
      <c r="U3259" s="8"/>
    </row>
    <row r="3260" spans="1:21" ht="13.5" customHeight="1">
      <c r="A3260" s="8" t="s">
        <v>18004</v>
      </c>
      <c r="B3260" s="16">
        <v>30</v>
      </c>
      <c r="C3260" s="8" t="s">
        <v>20</v>
      </c>
      <c r="D3260" s="8" t="s">
        <v>37</v>
      </c>
      <c r="E3260" s="8" t="s">
        <v>18005</v>
      </c>
      <c r="F3260" s="17">
        <v>41347</v>
      </c>
      <c r="G3260" s="8" t="s">
        <v>18006</v>
      </c>
      <c r="H3260" s="8" t="s">
        <v>18007</v>
      </c>
      <c r="I3260" s="8" t="s">
        <v>798</v>
      </c>
      <c r="J3260" s="16" t="s">
        <v>18008</v>
      </c>
      <c r="K3260" s="2" t="s">
        <v>18009</v>
      </c>
      <c r="L3260" s="8" t="s">
        <v>18010</v>
      </c>
      <c r="M3260" s="8" t="s">
        <v>27</v>
      </c>
      <c r="N3260" s="8" t="s">
        <v>18011</v>
      </c>
      <c r="O3260" s="8" t="s">
        <v>554</v>
      </c>
      <c r="P3260" s="8" t="s">
        <v>405</v>
      </c>
      <c r="Q3260" s="12" t="s">
        <v>18012</v>
      </c>
      <c r="R3260" s="8" t="s">
        <v>972</v>
      </c>
      <c r="S3260" s="7" t="s">
        <v>28</v>
      </c>
      <c r="T3260" s="6"/>
      <c r="U3260" s="8"/>
    </row>
    <row r="3261" spans="1:21" ht="13.5" customHeight="1">
      <c r="A3261" s="8" t="s">
        <v>18000</v>
      </c>
      <c r="B3261" s="16">
        <v>58</v>
      </c>
      <c r="C3261" s="8" t="s">
        <v>20</v>
      </c>
      <c r="D3261" s="8" t="s">
        <v>30</v>
      </c>
      <c r="F3261" s="17">
        <v>41347</v>
      </c>
      <c r="G3261" s="8" t="s">
        <v>18001</v>
      </c>
      <c r="H3261" s="8" t="s">
        <v>87</v>
      </c>
      <c r="I3261" s="8" t="s">
        <v>44</v>
      </c>
      <c r="J3261" s="16" t="s">
        <v>6672</v>
      </c>
      <c r="K3261" s="2" t="s">
        <v>88</v>
      </c>
      <c r="L3261" s="8" t="s">
        <v>89</v>
      </c>
      <c r="M3261" s="8" t="s">
        <v>27</v>
      </c>
      <c r="N3261" s="8" t="s">
        <v>18002</v>
      </c>
      <c r="O3261" s="8" t="s">
        <v>1018</v>
      </c>
      <c r="P3261" s="8" t="s">
        <v>405</v>
      </c>
      <c r="Q3261" s="12" t="s">
        <v>18003</v>
      </c>
      <c r="R3261" s="8" t="s">
        <v>29</v>
      </c>
      <c r="S3261" s="7" t="s">
        <v>28</v>
      </c>
      <c r="T3261" s="6"/>
      <c r="U3261" s="8"/>
    </row>
    <row r="3262" spans="1:21" ht="13.5" customHeight="1">
      <c r="A3262" s="8" t="s">
        <v>18013</v>
      </c>
      <c r="B3262" s="16">
        <v>64</v>
      </c>
      <c r="C3262" s="8" t="s">
        <v>20</v>
      </c>
      <c r="D3262" s="8" t="s">
        <v>37</v>
      </c>
      <c r="E3262" s="8" t="s">
        <v>18014</v>
      </c>
      <c r="F3262" s="17">
        <v>41347</v>
      </c>
      <c r="G3262" s="8" t="s">
        <v>18015</v>
      </c>
      <c r="H3262" s="8" t="s">
        <v>18016</v>
      </c>
      <c r="I3262" s="8" t="s">
        <v>427</v>
      </c>
      <c r="J3262" s="16" t="s">
        <v>18017</v>
      </c>
      <c r="K3262" s="2" t="s">
        <v>18016</v>
      </c>
      <c r="L3262" s="8" t="s">
        <v>5704</v>
      </c>
      <c r="M3262" s="8" t="s">
        <v>27</v>
      </c>
      <c r="N3262" s="8" t="s">
        <v>18018</v>
      </c>
      <c r="O3262" s="8" t="s">
        <v>554</v>
      </c>
      <c r="P3262" s="8" t="s">
        <v>405</v>
      </c>
      <c r="Q3262" s="12" t="s">
        <v>18019</v>
      </c>
      <c r="R3262" s="8" t="s">
        <v>100</v>
      </c>
      <c r="S3262" s="7" t="s">
        <v>28</v>
      </c>
      <c r="T3262" s="6"/>
      <c r="U3262" s="8"/>
    </row>
    <row r="3263" spans="1:21" ht="13.5" customHeight="1">
      <c r="A3263" s="8" t="s">
        <v>17996</v>
      </c>
      <c r="B3263" s="16">
        <v>21</v>
      </c>
      <c r="C3263" s="8" t="s">
        <v>20</v>
      </c>
      <c r="D3263" s="8" t="s">
        <v>85</v>
      </c>
      <c r="F3263" s="17">
        <v>41347</v>
      </c>
      <c r="G3263" s="8" t="s">
        <v>17997</v>
      </c>
      <c r="H3263" s="8" t="s">
        <v>288</v>
      </c>
      <c r="I3263" s="8" t="s">
        <v>73</v>
      </c>
      <c r="J3263" s="16" t="s">
        <v>8060</v>
      </c>
      <c r="K3263" s="2" t="s">
        <v>288</v>
      </c>
      <c r="L3263" s="8" t="s">
        <v>289</v>
      </c>
      <c r="M3263" s="8" t="s">
        <v>27</v>
      </c>
      <c r="N3263" s="8" t="s">
        <v>17998</v>
      </c>
      <c r="O3263" s="8" t="s">
        <v>554</v>
      </c>
      <c r="P3263" s="8" t="s">
        <v>405</v>
      </c>
      <c r="Q3263" s="12" t="s">
        <v>17999</v>
      </c>
      <c r="R3263" s="8" t="s">
        <v>100</v>
      </c>
      <c r="S3263" s="7" t="s">
        <v>28</v>
      </c>
      <c r="T3263" s="6"/>
      <c r="U3263" s="8"/>
    </row>
    <row r="3264" spans="1:21" ht="13.5" customHeight="1">
      <c r="A3264" s="8" t="s">
        <v>18020</v>
      </c>
      <c r="B3264" s="16">
        <v>20</v>
      </c>
      <c r="C3264" s="8" t="s">
        <v>20</v>
      </c>
      <c r="D3264" s="8" t="s">
        <v>85</v>
      </c>
      <c r="F3264" s="17">
        <v>41346</v>
      </c>
      <c r="G3264" s="8" t="s">
        <v>18021</v>
      </c>
      <c r="H3264" s="8" t="s">
        <v>992</v>
      </c>
      <c r="I3264" s="8" t="s">
        <v>675</v>
      </c>
      <c r="J3264" s="16" t="s">
        <v>18022</v>
      </c>
      <c r="K3264" s="2" t="s">
        <v>18023</v>
      </c>
      <c r="L3264" s="8" t="s">
        <v>18024</v>
      </c>
      <c r="M3264" s="8" t="s">
        <v>27</v>
      </c>
      <c r="N3264" s="8" t="s">
        <v>18025</v>
      </c>
      <c r="O3264" s="8" t="s">
        <v>1804</v>
      </c>
      <c r="P3264" s="8" t="s">
        <v>1171</v>
      </c>
      <c r="Q3264" s="12" t="s">
        <v>18026</v>
      </c>
      <c r="R3264" s="8" t="s">
        <v>100</v>
      </c>
      <c r="S3264" s="7" t="s">
        <v>28</v>
      </c>
      <c r="T3264" s="6"/>
      <c r="U3264" s="8"/>
    </row>
    <row r="3265" spans="1:24" ht="13.5" customHeight="1">
      <c r="A3265" s="8" t="s">
        <v>18035</v>
      </c>
      <c r="B3265" s="16">
        <v>78</v>
      </c>
      <c r="C3265" s="8" t="s">
        <v>20</v>
      </c>
      <c r="D3265" s="8" t="s">
        <v>48</v>
      </c>
      <c r="F3265" s="17">
        <v>41346</v>
      </c>
      <c r="G3265" s="8" t="s">
        <v>18036</v>
      </c>
      <c r="H3265" s="8" t="s">
        <v>18037</v>
      </c>
      <c r="I3265" s="8" t="s">
        <v>73</v>
      </c>
      <c r="J3265" s="16" t="s">
        <v>18038</v>
      </c>
      <c r="K3265" s="2" t="s">
        <v>11673</v>
      </c>
      <c r="L3265" s="8" t="s">
        <v>11675</v>
      </c>
      <c r="M3265" s="8" t="s">
        <v>27</v>
      </c>
      <c r="N3265" s="8" t="s">
        <v>18039</v>
      </c>
      <c r="O3265" s="8" t="s">
        <v>1018</v>
      </c>
      <c r="P3265" s="8" t="s">
        <v>405</v>
      </c>
      <c r="Q3265" s="12" t="s">
        <v>18040</v>
      </c>
      <c r="R3265" s="8" t="s">
        <v>29</v>
      </c>
      <c r="S3265" s="7" t="s">
        <v>28</v>
      </c>
      <c r="T3265" s="6"/>
      <c r="U3265" s="8"/>
    </row>
    <row r="3266" spans="1:24" ht="13.5" customHeight="1">
      <c r="A3266" s="8" t="s">
        <v>18041</v>
      </c>
      <c r="B3266" s="16" t="s">
        <v>17470</v>
      </c>
      <c r="C3266" s="8" t="s">
        <v>20</v>
      </c>
      <c r="D3266" s="8" t="s">
        <v>37</v>
      </c>
      <c r="E3266" s="8" t="s">
        <v>18042</v>
      </c>
      <c r="F3266" s="17">
        <v>41346</v>
      </c>
      <c r="G3266" s="8" t="s">
        <v>18043</v>
      </c>
      <c r="H3266" s="8" t="s">
        <v>4951</v>
      </c>
      <c r="I3266" s="8" t="s">
        <v>44</v>
      </c>
      <c r="J3266" s="16" t="s">
        <v>18044</v>
      </c>
      <c r="K3266" s="2" t="s">
        <v>18045</v>
      </c>
      <c r="L3266" s="8" t="s">
        <v>4953</v>
      </c>
      <c r="M3266" s="8" t="s">
        <v>27</v>
      </c>
      <c r="N3266" s="8" t="s">
        <v>18046</v>
      </c>
      <c r="O3266" s="8" t="s">
        <v>554</v>
      </c>
      <c r="P3266" s="8" t="s">
        <v>405</v>
      </c>
      <c r="Q3266" s="12" t="s">
        <v>18047</v>
      </c>
      <c r="R3266" s="8" t="s">
        <v>972</v>
      </c>
      <c r="S3266" s="7" t="s">
        <v>28</v>
      </c>
      <c r="T3266" s="6"/>
      <c r="U3266" s="8"/>
    </row>
    <row r="3267" spans="1:24" ht="13.5" customHeight="1">
      <c r="A3267" s="8" t="s">
        <v>18027</v>
      </c>
      <c r="B3267" s="16" t="s">
        <v>10218</v>
      </c>
      <c r="C3267" s="8" t="s">
        <v>20</v>
      </c>
      <c r="D3267" s="8" t="s">
        <v>85</v>
      </c>
      <c r="E3267" s="8" t="s">
        <v>18028</v>
      </c>
      <c r="F3267" s="17">
        <v>41346</v>
      </c>
      <c r="G3267" s="8" t="s">
        <v>18029</v>
      </c>
      <c r="H3267" s="8" t="s">
        <v>18030</v>
      </c>
      <c r="I3267" s="8" t="s">
        <v>152</v>
      </c>
      <c r="J3267" s="16" t="s">
        <v>18031</v>
      </c>
      <c r="K3267" s="2" t="s">
        <v>5398</v>
      </c>
      <c r="L3267" s="8" t="s">
        <v>18032</v>
      </c>
      <c r="M3267" s="8" t="s">
        <v>27</v>
      </c>
      <c r="N3267" s="8" t="s">
        <v>18033</v>
      </c>
      <c r="O3267" s="8" t="s">
        <v>554</v>
      </c>
      <c r="P3267" s="8" t="s">
        <v>405</v>
      </c>
      <c r="Q3267" s="12" t="s">
        <v>18034</v>
      </c>
      <c r="R3267" s="8" t="s">
        <v>559</v>
      </c>
      <c r="S3267" s="7" t="s">
        <v>28</v>
      </c>
      <c r="T3267" s="6"/>
      <c r="U3267" s="8"/>
    </row>
    <row r="3268" spans="1:24" ht="13.5" customHeight="1">
      <c r="A3268" s="8" t="s">
        <v>18060</v>
      </c>
      <c r="B3268" s="16">
        <v>47</v>
      </c>
      <c r="C3268" s="8" t="s">
        <v>20</v>
      </c>
      <c r="D3268" s="8" t="s">
        <v>30</v>
      </c>
      <c r="F3268" s="17">
        <v>41345</v>
      </c>
      <c r="G3268" s="8" t="s">
        <v>18061</v>
      </c>
      <c r="H3268" s="8" t="s">
        <v>18062</v>
      </c>
      <c r="I3268" s="8" t="s">
        <v>467</v>
      </c>
      <c r="J3268" s="16" t="s">
        <v>18063</v>
      </c>
      <c r="K3268" s="2" t="s">
        <v>18064</v>
      </c>
      <c r="L3268" s="8" t="s">
        <v>18065</v>
      </c>
      <c r="M3268" s="8" t="s">
        <v>27</v>
      </c>
      <c r="N3268" s="8" t="s">
        <v>18066</v>
      </c>
      <c r="O3268" s="8" t="s">
        <v>554</v>
      </c>
      <c r="P3268" s="8" t="s">
        <v>405</v>
      </c>
      <c r="Q3268" s="12" t="s">
        <v>18067</v>
      </c>
      <c r="R3268" s="8" t="s">
        <v>29</v>
      </c>
      <c r="S3268" s="7" t="s">
        <v>28</v>
      </c>
      <c r="T3268" s="6"/>
      <c r="U3268" s="8"/>
    </row>
    <row r="3269" spans="1:24" ht="13.5" customHeight="1">
      <c r="A3269" s="8" t="s">
        <v>18048</v>
      </c>
      <c r="B3269" s="16">
        <v>17</v>
      </c>
      <c r="C3269" s="8" t="s">
        <v>20</v>
      </c>
      <c r="D3269" s="8" t="s">
        <v>85</v>
      </c>
      <c r="E3269" s="8" t="s">
        <v>18049</v>
      </c>
      <c r="F3269" s="17">
        <v>41345</v>
      </c>
      <c r="G3269" s="8" t="s">
        <v>18050</v>
      </c>
      <c r="H3269" s="8" t="s">
        <v>14790</v>
      </c>
      <c r="I3269" s="8" t="s">
        <v>57</v>
      </c>
      <c r="J3269" s="16" t="s">
        <v>18051</v>
      </c>
      <c r="K3269" s="2" t="s">
        <v>607</v>
      </c>
      <c r="L3269" s="8" t="s">
        <v>18052</v>
      </c>
      <c r="M3269" s="8" t="s">
        <v>27</v>
      </c>
      <c r="N3269" s="8" t="s">
        <v>18053</v>
      </c>
      <c r="O3269" s="8" t="s">
        <v>554</v>
      </c>
      <c r="P3269" s="8" t="s">
        <v>405</v>
      </c>
      <c r="Q3269" s="12" t="s">
        <v>18054</v>
      </c>
      <c r="R3269" s="8" t="s">
        <v>100</v>
      </c>
      <c r="S3269" s="7" t="s">
        <v>28</v>
      </c>
      <c r="T3269" s="6"/>
      <c r="U3269" s="8"/>
    </row>
    <row r="3270" spans="1:24" ht="13.5" customHeight="1">
      <c r="A3270" s="8" t="s">
        <v>18068</v>
      </c>
      <c r="B3270" s="16">
        <v>58</v>
      </c>
      <c r="C3270" s="8" t="s">
        <v>20</v>
      </c>
      <c r="D3270" s="8" t="s">
        <v>37</v>
      </c>
      <c r="F3270" s="17">
        <v>41345</v>
      </c>
      <c r="G3270" s="8" t="s">
        <v>18069</v>
      </c>
      <c r="H3270" s="8" t="s">
        <v>18070</v>
      </c>
      <c r="I3270" s="8" t="s">
        <v>41</v>
      </c>
      <c r="J3270" s="16" t="s">
        <v>18071</v>
      </c>
      <c r="K3270" s="2" t="s">
        <v>10636</v>
      </c>
      <c r="L3270" s="8" t="s">
        <v>18072</v>
      </c>
      <c r="M3270" s="8" t="s">
        <v>27</v>
      </c>
      <c r="N3270" s="8" t="s">
        <v>18073</v>
      </c>
      <c r="O3270" s="8" t="s">
        <v>554</v>
      </c>
      <c r="P3270" s="8" t="s">
        <v>405</v>
      </c>
      <c r="Q3270" s="12" t="s">
        <v>18074</v>
      </c>
      <c r="R3270" s="8" t="s">
        <v>100</v>
      </c>
      <c r="S3270" s="7" t="s">
        <v>28</v>
      </c>
      <c r="T3270" s="6"/>
      <c r="U3270" s="8"/>
      <c r="V3270" s="8"/>
      <c r="W3270" s="8"/>
      <c r="X3270" s="8"/>
    </row>
    <row r="3271" spans="1:24" ht="13.5" customHeight="1">
      <c r="A3271" s="8" t="s">
        <v>18055</v>
      </c>
      <c r="B3271" s="16">
        <v>44</v>
      </c>
      <c r="C3271" s="8" t="s">
        <v>20</v>
      </c>
      <c r="D3271" s="8" t="s">
        <v>48</v>
      </c>
      <c r="F3271" s="17">
        <v>41345</v>
      </c>
      <c r="G3271" s="8" t="s">
        <v>18056</v>
      </c>
      <c r="H3271" s="8" t="s">
        <v>216</v>
      </c>
      <c r="I3271" s="8" t="s">
        <v>62</v>
      </c>
      <c r="J3271" s="16" t="s">
        <v>18057</v>
      </c>
      <c r="K3271" s="2" t="s">
        <v>163</v>
      </c>
      <c r="L3271" s="8" t="s">
        <v>164</v>
      </c>
      <c r="M3271" s="8" t="s">
        <v>27</v>
      </c>
      <c r="N3271" s="8" t="s">
        <v>18058</v>
      </c>
      <c r="O3271" s="8" t="s">
        <v>404</v>
      </c>
      <c r="P3271" s="8" t="s">
        <v>405</v>
      </c>
      <c r="Q3271" s="12" t="s">
        <v>18059</v>
      </c>
      <c r="R3271" s="8" t="s">
        <v>100</v>
      </c>
      <c r="S3271" s="7" t="s">
        <v>28</v>
      </c>
      <c r="T3271" s="6"/>
      <c r="U3271" s="8"/>
    </row>
    <row r="3272" spans="1:24" ht="13.5" customHeight="1">
      <c r="A3272" s="8" t="s">
        <v>18089</v>
      </c>
      <c r="B3272" s="16">
        <v>49</v>
      </c>
      <c r="C3272" s="8" t="s">
        <v>20</v>
      </c>
      <c r="D3272" s="8" t="s">
        <v>85</v>
      </c>
      <c r="E3272" s="8" t="s">
        <v>18090</v>
      </c>
      <c r="F3272" s="17">
        <v>41343</v>
      </c>
      <c r="G3272" s="8" t="s">
        <v>18091</v>
      </c>
      <c r="H3272" s="8" t="s">
        <v>18092</v>
      </c>
      <c r="I3272" s="8" t="s">
        <v>175</v>
      </c>
      <c r="J3272" s="16" t="s">
        <v>18093</v>
      </c>
      <c r="K3272" s="2" t="s">
        <v>731</v>
      </c>
      <c r="L3272" s="8" t="s">
        <v>18094</v>
      </c>
      <c r="M3272" s="8" t="s">
        <v>27</v>
      </c>
      <c r="N3272" s="8" t="s">
        <v>18095</v>
      </c>
      <c r="O3272" s="8" t="s">
        <v>554</v>
      </c>
      <c r="P3272" s="8" t="s">
        <v>405</v>
      </c>
      <c r="Q3272" s="12" t="s">
        <v>18096</v>
      </c>
      <c r="R3272" s="8" t="s">
        <v>100</v>
      </c>
      <c r="S3272" s="7" t="s">
        <v>28</v>
      </c>
      <c r="T3272" s="6"/>
      <c r="U3272" s="8"/>
    </row>
    <row r="3273" spans="1:24" ht="13.5" customHeight="1">
      <c r="A3273" s="8" t="s">
        <v>18120</v>
      </c>
      <c r="B3273" s="16">
        <v>43</v>
      </c>
      <c r="C3273" s="8" t="s">
        <v>20</v>
      </c>
      <c r="D3273" s="8" t="s">
        <v>37</v>
      </c>
      <c r="E3273" s="8" t="s">
        <v>18121</v>
      </c>
      <c r="F3273" s="17">
        <v>41343</v>
      </c>
      <c r="G3273" s="8" t="s">
        <v>18122</v>
      </c>
      <c r="H3273" s="8" t="s">
        <v>18123</v>
      </c>
      <c r="I3273" s="8" t="s">
        <v>62</v>
      </c>
      <c r="J3273" s="16" t="s">
        <v>18124</v>
      </c>
      <c r="K3273" s="2" t="s">
        <v>2331</v>
      </c>
      <c r="L3273" s="8" t="s">
        <v>14296</v>
      </c>
      <c r="M3273" s="8" t="s">
        <v>27</v>
      </c>
      <c r="N3273" s="8" t="s">
        <v>18125</v>
      </c>
      <c r="O3273" s="8" t="s">
        <v>554</v>
      </c>
      <c r="P3273" s="8" t="s">
        <v>405</v>
      </c>
      <c r="Q3273" s="12" t="s">
        <v>18126</v>
      </c>
      <c r="R3273" s="8" t="s">
        <v>559</v>
      </c>
      <c r="S3273" s="7" t="s">
        <v>28</v>
      </c>
      <c r="T3273" s="6"/>
      <c r="U3273" s="8"/>
    </row>
    <row r="3274" spans="1:24" ht="13.5" customHeight="1">
      <c r="A3274" s="8" t="s">
        <v>18097</v>
      </c>
      <c r="B3274" s="16">
        <v>32</v>
      </c>
      <c r="C3274" s="8" t="s">
        <v>20</v>
      </c>
      <c r="D3274" s="8" t="s">
        <v>48</v>
      </c>
      <c r="E3274" s="8" t="s">
        <v>18098</v>
      </c>
      <c r="F3274" s="17">
        <v>41343</v>
      </c>
      <c r="G3274" s="8" t="s">
        <v>18099</v>
      </c>
      <c r="H3274" s="8" t="s">
        <v>530</v>
      </c>
      <c r="I3274" s="8" t="s">
        <v>81</v>
      </c>
      <c r="J3274" s="16" t="s">
        <v>18100</v>
      </c>
      <c r="K3274" s="2" t="s">
        <v>532</v>
      </c>
      <c r="L3274" s="8" t="s">
        <v>533</v>
      </c>
      <c r="M3274" s="8" t="s">
        <v>27</v>
      </c>
      <c r="N3274" s="8" t="s">
        <v>18101</v>
      </c>
      <c r="O3274" s="8" t="s">
        <v>1018</v>
      </c>
      <c r="P3274" s="8" t="s">
        <v>405</v>
      </c>
      <c r="Q3274" s="12" t="s">
        <v>18102</v>
      </c>
      <c r="R3274" s="8" t="s">
        <v>100</v>
      </c>
      <c r="S3274" s="7" t="s">
        <v>28</v>
      </c>
      <c r="T3274" s="6"/>
      <c r="U3274" s="8"/>
    </row>
    <row r="3275" spans="1:24" ht="13.5" customHeight="1">
      <c r="A3275" s="8" t="s">
        <v>18075</v>
      </c>
      <c r="B3275" s="16" t="s">
        <v>16371</v>
      </c>
      <c r="C3275" s="8" t="s">
        <v>20</v>
      </c>
      <c r="D3275" s="8" t="s">
        <v>85</v>
      </c>
      <c r="E3275" s="8" t="s">
        <v>18076</v>
      </c>
      <c r="F3275" s="17">
        <v>41343</v>
      </c>
      <c r="G3275" s="8" t="s">
        <v>18077</v>
      </c>
      <c r="H3275" s="8" t="s">
        <v>288</v>
      </c>
      <c r="I3275" s="8" t="s">
        <v>73</v>
      </c>
      <c r="J3275" s="16" t="s">
        <v>9021</v>
      </c>
      <c r="K3275" s="2" t="s">
        <v>288</v>
      </c>
      <c r="L3275" s="8" t="s">
        <v>289</v>
      </c>
      <c r="M3275" s="8" t="s">
        <v>27</v>
      </c>
      <c r="N3275" s="8" t="s">
        <v>18078</v>
      </c>
      <c r="O3275" s="8" t="s">
        <v>29</v>
      </c>
      <c r="P3275" s="8" t="s">
        <v>405</v>
      </c>
      <c r="Q3275" s="12"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3275" s="8" t="s">
        <v>972</v>
      </c>
      <c r="S3275" s="7" t="s">
        <v>18</v>
      </c>
      <c r="T3275" s="6"/>
      <c r="U3275" s="8"/>
    </row>
    <row r="3276" spans="1:24" ht="13.5" customHeight="1">
      <c r="A3276" s="8" t="s">
        <v>18079</v>
      </c>
      <c r="B3276" s="16" t="s">
        <v>18080</v>
      </c>
      <c r="C3276" s="8" t="s">
        <v>20</v>
      </c>
      <c r="D3276" s="8" t="s">
        <v>85</v>
      </c>
      <c r="E3276" s="8" t="s">
        <v>18081</v>
      </c>
      <c r="F3276" s="17">
        <v>41343</v>
      </c>
      <c r="G3276" s="8" t="s">
        <v>18082</v>
      </c>
      <c r="H3276" s="8" t="s">
        <v>1204</v>
      </c>
      <c r="I3276" s="8" t="s">
        <v>323</v>
      </c>
      <c r="J3276" s="16">
        <v>38126</v>
      </c>
      <c r="K3276" s="2" t="s">
        <v>1205</v>
      </c>
      <c r="L3276" s="8" t="s">
        <v>1206</v>
      </c>
      <c r="M3276" s="8" t="s">
        <v>27</v>
      </c>
      <c r="N3276" s="8" t="s">
        <v>18083</v>
      </c>
      <c r="O3276" s="8" t="s">
        <v>29</v>
      </c>
      <c r="P3276" s="8" t="s">
        <v>405</v>
      </c>
      <c r="Q3276" s="12" t="s">
        <v>18084</v>
      </c>
      <c r="R3276" s="8" t="s">
        <v>559</v>
      </c>
      <c r="S3276" s="7" t="s">
        <v>28</v>
      </c>
      <c r="T3276" s="6"/>
      <c r="U3276" s="8"/>
    </row>
    <row r="3277" spans="1:24" ht="13.5" customHeight="1">
      <c r="A3277" s="8" t="s">
        <v>18111</v>
      </c>
      <c r="B3277" s="16" t="s">
        <v>17455</v>
      </c>
      <c r="C3277" s="8" t="s">
        <v>20</v>
      </c>
      <c r="D3277" s="8" t="s">
        <v>37</v>
      </c>
      <c r="E3277" s="8" t="s">
        <v>18112</v>
      </c>
      <c r="F3277" s="17">
        <v>41343</v>
      </c>
      <c r="G3277" s="8" t="s">
        <v>18113</v>
      </c>
      <c r="H3277" s="8" t="s">
        <v>18114</v>
      </c>
      <c r="I3277" s="8" t="s">
        <v>69</v>
      </c>
      <c r="J3277" s="16" t="s">
        <v>18115</v>
      </c>
      <c r="K3277" s="2" t="s">
        <v>18116</v>
      </c>
      <c r="L3277" s="8" t="s">
        <v>18117</v>
      </c>
      <c r="M3277" s="8" t="s">
        <v>27</v>
      </c>
      <c r="N3277" s="8" t="s">
        <v>18118</v>
      </c>
      <c r="O3277" s="8" t="s">
        <v>29</v>
      </c>
      <c r="P3277" s="8" t="s">
        <v>405</v>
      </c>
      <c r="Q3277" s="12" t="s">
        <v>18119</v>
      </c>
      <c r="R3277" s="8" t="s">
        <v>100</v>
      </c>
      <c r="S3277" s="7" t="s">
        <v>28</v>
      </c>
      <c r="T3277" s="6"/>
      <c r="U3277" s="8"/>
    </row>
    <row r="3278" spans="1:24" ht="13.5" customHeight="1">
      <c r="A3278" s="8" t="s">
        <v>18085</v>
      </c>
      <c r="B3278" s="16">
        <v>16</v>
      </c>
      <c r="C3278" s="8" t="s">
        <v>20</v>
      </c>
      <c r="D3278" s="8" t="s">
        <v>85</v>
      </c>
      <c r="F3278" s="17">
        <v>41343</v>
      </c>
      <c r="G3278" s="8" t="s">
        <v>18086</v>
      </c>
      <c r="H3278" s="8" t="s">
        <v>762</v>
      </c>
      <c r="I3278" s="8" t="s">
        <v>427</v>
      </c>
      <c r="J3278" s="16" t="s">
        <v>18087</v>
      </c>
      <c r="K3278" s="2" t="s">
        <v>1729</v>
      </c>
      <c r="L3278" s="8" t="s">
        <v>586</v>
      </c>
      <c r="M3278" s="8" t="s">
        <v>27</v>
      </c>
      <c r="N3278" s="8" t="s">
        <v>18088</v>
      </c>
      <c r="O3278" s="8" t="s">
        <v>1018</v>
      </c>
      <c r="P3278" s="8" t="s">
        <v>405</v>
      </c>
      <c r="Q3278" s="12"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3278" s="8" t="s">
        <v>100</v>
      </c>
      <c r="S3278" s="7" t="s">
        <v>28</v>
      </c>
      <c r="T3278" s="6"/>
      <c r="U3278" s="8"/>
    </row>
    <row r="3279" spans="1:24" ht="13.5" customHeight="1">
      <c r="A3279" s="8" t="s">
        <v>18103</v>
      </c>
      <c r="B3279" s="16">
        <v>28</v>
      </c>
      <c r="C3279" s="8" t="s">
        <v>20</v>
      </c>
      <c r="D3279" s="8" t="s">
        <v>37</v>
      </c>
      <c r="E3279" s="8" t="s">
        <v>18104</v>
      </c>
      <c r="F3279" s="17">
        <v>41343</v>
      </c>
      <c r="G3279" s="8" t="s">
        <v>18105</v>
      </c>
      <c r="H3279" s="8" t="s">
        <v>18106</v>
      </c>
      <c r="I3279" s="8" t="s">
        <v>374</v>
      </c>
      <c r="J3279" s="16" t="s">
        <v>18107</v>
      </c>
      <c r="K3279" s="2" t="s">
        <v>3324</v>
      </c>
      <c r="L3279" s="8" t="s">
        <v>18108</v>
      </c>
      <c r="M3279" s="8" t="s">
        <v>27</v>
      </c>
      <c r="N3279" s="8" t="s">
        <v>18109</v>
      </c>
      <c r="O3279" s="8" t="s">
        <v>29</v>
      </c>
      <c r="P3279" s="8" t="s">
        <v>405</v>
      </c>
      <c r="Q3279" s="12" t="s">
        <v>18110</v>
      </c>
      <c r="R3279" s="8" t="s">
        <v>29</v>
      </c>
      <c r="S3279" s="7" t="s">
        <v>28</v>
      </c>
      <c r="T3279" s="6"/>
      <c r="U3279" s="8"/>
    </row>
    <row r="3280" spans="1:24" ht="13.5" customHeight="1">
      <c r="A3280" s="8" t="s">
        <v>18127</v>
      </c>
      <c r="B3280" s="16">
        <v>19</v>
      </c>
      <c r="C3280" s="8" t="s">
        <v>20</v>
      </c>
      <c r="D3280" s="8" t="s">
        <v>85</v>
      </c>
      <c r="E3280" s="8" t="s">
        <v>18128</v>
      </c>
      <c r="F3280" s="17">
        <v>41342</v>
      </c>
      <c r="G3280" s="8" t="s">
        <v>18129</v>
      </c>
      <c r="H3280" s="8" t="s">
        <v>731</v>
      </c>
      <c r="I3280" s="8" t="s">
        <v>73</v>
      </c>
      <c r="J3280" s="16" t="s">
        <v>18130</v>
      </c>
      <c r="K3280" s="2" t="s">
        <v>562</v>
      </c>
      <c r="L3280" s="8" t="s">
        <v>563</v>
      </c>
      <c r="M3280" s="8" t="s">
        <v>27</v>
      </c>
      <c r="N3280" s="8" t="s">
        <v>18131</v>
      </c>
      <c r="O3280" s="8" t="s">
        <v>554</v>
      </c>
      <c r="P3280" s="8" t="s">
        <v>405</v>
      </c>
      <c r="Q3280" s="12" t="s">
        <v>18132</v>
      </c>
      <c r="R3280" s="8" t="s">
        <v>100</v>
      </c>
      <c r="S3280" s="7" t="s">
        <v>28</v>
      </c>
      <c r="T3280" s="6"/>
      <c r="U3280" s="8"/>
    </row>
    <row r="3281" spans="1:34" ht="13.5" customHeight="1">
      <c r="A3281" s="8" t="s">
        <v>18138</v>
      </c>
      <c r="B3281" s="16">
        <v>20</v>
      </c>
      <c r="C3281" s="8" t="s">
        <v>20</v>
      </c>
      <c r="D3281" s="8" t="s">
        <v>30</v>
      </c>
      <c r="F3281" s="17">
        <v>41341</v>
      </c>
      <c r="G3281" s="8" t="s">
        <v>18139</v>
      </c>
      <c r="H3281" s="8" t="s">
        <v>10873</v>
      </c>
      <c r="I3281" s="8" t="s">
        <v>62</v>
      </c>
      <c r="J3281" s="16" t="s">
        <v>18140</v>
      </c>
      <c r="K3281" s="2" t="s">
        <v>5387</v>
      </c>
      <c r="L3281" s="8" t="s">
        <v>13798</v>
      </c>
      <c r="M3281" s="8" t="s">
        <v>27</v>
      </c>
      <c r="N3281" s="8" t="s">
        <v>18141</v>
      </c>
      <c r="O3281" s="8" t="s">
        <v>1018</v>
      </c>
      <c r="P3281" s="8" t="s">
        <v>405</v>
      </c>
      <c r="Q3281" s="12"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3281" s="8" t="s">
        <v>972</v>
      </c>
      <c r="S3281" s="7" t="s">
        <v>28</v>
      </c>
      <c r="T3281" s="6"/>
      <c r="U3281" s="8"/>
    </row>
    <row r="3282" spans="1:34" ht="13.5" customHeight="1">
      <c r="A3282" s="8" t="s">
        <v>18146</v>
      </c>
      <c r="B3282" s="16" t="s">
        <v>8822</v>
      </c>
      <c r="C3282" s="8" t="s">
        <v>20</v>
      </c>
      <c r="D3282" s="8" t="s">
        <v>37</v>
      </c>
      <c r="E3282" s="8" t="s">
        <v>18147</v>
      </c>
      <c r="F3282" s="17">
        <v>41341</v>
      </c>
      <c r="G3282" s="8" t="s">
        <v>18148</v>
      </c>
      <c r="H3282" s="8" t="s">
        <v>865</v>
      </c>
      <c r="I3282" s="8" t="s">
        <v>73</v>
      </c>
      <c r="J3282" s="16" t="s">
        <v>18149</v>
      </c>
      <c r="K3282" s="2" t="s">
        <v>865</v>
      </c>
      <c r="L3282" s="8" t="s">
        <v>866</v>
      </c>
      <c r="M3282" s="8" t="s">
        <v>27</v>
      </c>
      <c r="N3282" s="8" t="s">
        <v>18150</v>
      </c>
      <c r="O3282" s="8" t="s">
        <v>554</v>
      </c>
      <c r="P3282" s="8" t="s">
        <v>405</v>
      </c>
      <c r="Q3282" s="12" t="s">
        <v>18151</v>
      </c>
      <c r="R3282" s="8" t="s">
        <v>100</v>
      </c>
      <c r="S3282" s="7" t="s">
        <v>28</v>
      </c>
      <c r="T3282" s="6"/>
      <c r="U3282" s="8"/>
    </row>
    <row r="3283" spans="1:34" ht="13.5" customHeight="1">
      <c r="A3283" s="8" t="s">
        <v>18157</v>
      </c>
      <c r="B3283" s="16">
        <v>32</v>
      </c>
      <c r="C3283" s="8" t="s">
        <v>20</v>
      </c>
      <c r="D3283" s="8" t="s">
        <v>37</v>
      </c>
      <c r="E3283" s="8" t="s">
        <v>18158</v>
      </c>
      <c r="F3283" s="17">
        <v>41341</v>
      </c>
      <c r="G3283" s="8" t="s">
        <v>18159</v>
      </c>
      <c r="H3283" s="8" t="s">
        <v>18160</v>
      </c>
      <c r="I3283" s="8" t="s">
        <v>25</v>
      </c>
      <c r="J3283" s="16" t="s">
        <v>18161</v>
      </c>
      <c r="K3283" s="2" t="s">
        <v>18162</v>
      </c>
      <c r="L3283" s="8" t="s">
        <v>18163</v>
      </c>
      <c r="M3283" s="8" t="s">
        <v>27</v>
      </c>
      <c r="N3283" s="8" t="s">
        <v>18164</v>
      </c>
      <c r="O3283" s="8" t="s">
        <v>554</v>
      </c>
      <c r="P3283" s="8" t="s">
        <v>405</v>
      </c>
      <c r="Q3283" s="12" t="s">
        <v>18165</v>
      </c>
      <c r="R3283" s="8" t="s">
        <v>29</v>
      </c>
      <c r="S3283" s="7" t="s">
        <v>28</v>
      </c>
      <c r="T3283" s="6"/>
      <c r="U3283" s="8"/>
    </row>
    <row r="3284" spans="1:34" ht="13.5" customHeight="1">
      <c r="A3284" s="8" t="s">
        <v>18152</v>
      </c>
      <c r="B3284" s="16">
        <v>34</v>
      </c>
      <c r="C3284" s="8" t="s">
        <v>20</v>
      </c>
      <c r="D3284" s="8" t="s">
        <v>37</v>
      </c>
      <c r="E3284" s="8" t="s">
        <v>18153</v>
      </c>
      <c r="F3284" s="17">
        <v>41341</v>
      </c>
      <c r="G3284" s="8" t="s">
        <v>18154</v>
      </c>
      <c r="H3284" s="8" t="s">
        <v>1643</v>
      </c>
      <c r="I3284" s="8" t="s">
        <v>467</v>
      </c>
      <c r="J3284" s="16" t="s">
        <v>4683</v>
      </c>
      <c r="K3284" s="2" t="s">
        <v>946</v>
      </c>
      <c r="L3284" s="8" t="s">
        <v>2273</v>
      </c>
      <c r="M3284" s="8" t="s">
        <v>27</v>
      </c>
      <c r="N3284" s="8" t="s">
        <v>18155</v>
      </c>
      <c r="O3284" s="8" t="s">
        <v>554</v>
      </c>
      <c r="P3284" s="8" t="s">
        <v>405</v>
      </c>
      <c r="Q3284" s="12" t="s">
        <v>18156</v>
      </c>
      <c r="R3284" s="8" t="s">
        <v>972</v>
      </c>
      <c r="S3284" s="7" t="s">
        <v>28</v>
      </c>
      <c r="T3284" s="6"/>
      <c r="U3284" s="8"/>
    </row>
    <row r="3285" spans="1:34" ht="13.5" customHeight="1">
      <c r="A3285" s="8" t="s">
        <v>18142</v>
      </c>
      <c r="B3285" s="16">
        <v>55</v>
      </c>
      <c r="C3285" s="8" t="s">
        <v>20</v>
      </c>
      <c r="D3285" s="8" t="s">
        <v>30</v>
      </c>
      <c r="F3285" s="17">
        <v>41341</v>
      </c>
      <c r="G3285" s="8" t="s">
        <v>18143</v>
      </c>
      <c r="H3285" s="8" t="s">
        <v>3007</v>
      </c>
      <c r="I3285" s="8" t="s">
        <v>62</v>
      </c>
      <c r="J3285" s="16" t="s">
        <v>3008</v>
      </c>
      <c r="K3285" s="2" t="s">
        <v>3009</v>
      </c>
      <c r="L3285" s="8" t="s">
        <v>3010</v>
      </c>
      <c r="M3285" s="8" t="s">
        <v>27</v>
      </c>
      <c r="N3285" s="8" t="s">
        <v>18144</v>
      </c>
      <c r="O3285" s="8" t="s">
        <v>554</v>
      </c>
      <c r="P3285" s="8" t="s">
        <v>405</v>
      </c>
      <c r="Q3285" s="12" t="s">
        <v>18145</v>
      </c>
      <c r="R3285" s="8" t="s">
        <v>100</v>
      </c>
      <c r="S3285" s="7" t="s">
        <v>28</v>
      </c>
      <c r="T3285" s="6"/>
      <c r="U3285" s="8"/>
    </row>
    <row r="3286" spans="1:34" ht="13.5" customHeight="1">
      <c r="A3286" s="8" t="s">
        <v>18133</v>
      </c>
      <c r="B3286" s="16">
        <v>44</v>
      </c>
      <c r="C3286" s="8" t="s">
        <v>20</v>
      </c>
      <c r="D3286" s="8" t="s">
        <v>85</v>
      </c>
      <c r="F3286" s="17">
        <v>41341</v>
      </c>
      <c r="G3286" s="8" t="s">
        <v>18134</v>
      </c>
      <c r="H3286" s="8" t="s">
        <v>8661</v>
      </c>
      <c r="I3286" s="8" t="s">
        <v>81</v>
      </c>
      <c r="J3286" s="16" t="s">
        <v>18135</v>
      </c>
      <c r="K3286" s="2" t="s">
        <v>2502</v>
      </c>
      <c r="L3286" s="8" t="s">
        <v>8663</v>
      </c>
      <c r="M3286" s="8" t="s">
        <v>27</v>
      </c>
      <c r="N3286" s="8" t="s">
        <v>18136</v>
      </c>
      <c r="O3286" s="8" t="s">
        <v>1018</v>
      </c>
      <c r="P3286" s="8" t="s">
        <v>405</v>
      </c>
      <c r="Q3286" s="12" t="s">
        <v>18137</v>
      </c>
      <c r="R3286" s="8" t="s">
        <v>559</v>
      </c>
      <c r="S3286" s="7" t="s">
        <v>28</v>
      </c>
      <c r="T3286" s="6"/>
      <c r="U3286" s="8"/>
    </row>
    <row r="3287" spans="1:34" ht="13.5" customHeight="1">
      <c r="A3287" s="8" t="s">
        <v>18173</v>
      </c>
      <c r="B3287" s="16">
        <v>55</v>
      </c>
      <c r="C3287" s="8" t="s">
        <v>20</v>
      </c>
      <c r="D3287" s="8" t="s">
        <v>30</v>
      </c>
      <c r="F3287" s="17">
        <v>41340</v>
      </c>
      <c r="G3287" s="8" t="s">
        <v>18174</v>
      </c>
      <c r="H3287" s="8" t="s">
        <v>657</v>
      </c>
      <c r="I3287" s="8" t="s">
        <v>62</v>
      </c>
      <c r="J3287" s="16" t="s">
        <v>13548</v>
      </c>
      <c r="K3287" s="2" t="s">
        <v>658</v>
      </c>
      <c r="L3287" s="8" t="s">
        <v>659</v>
      </c>
      <c r="M3287" s="8" t="s">
        <v>27</v>
      </c>
      <c r="N3287" s="8" t="s">
        <v>18175</v>
      </c>
      <c r="O3287" s="8" t="s">
        <v>1018</v>
      </c>
      <c r="P3287" s="8" t="s">
        <v>405</v>
      </c>
      <c r="Q3287" s="12" t="s">
        <v>18176</v>
      </c>
      <c r="R3287" s="8" t="s">
        <v>100</v>
      </c>
      <c r="S3287" s="7" t="s">
        <v>28</v>
      </c>
      <c r="T3287" s="6"/>
      <c r="U3287" s="8"/>
    </row>
    <row r="3288" spans="1:34" ht="13.5" customHeight="1">
      <c r="A3288" s="8" t="s">
        <v>18166</v>
      </c>
      <c r="B3288" s="16">
        <v>27</v>
      </c>
      <c r="C3288" s="8" t="s">
        <v>20</v>
      </c>
      <c r="D3288" s="8" t="s">
        <v>48</v>
      </c>
      <c r="F3288" s="17">
        <v>41340</v>
      </c>
      <c r="G3288" s="8" t="s">
        <v>18167</v>
      </c>
      <c r="H3288" s="8" t="s">
        <v>18168</v>
      </c>
      <c r="I3288" s="8" t="s">
        <v>306</v>
      </c>
      <c r="J3288" s="16" t="s">
        <v>18169</v>
      </c>
      <c r="K3288" s="2" t="s">
        <v>6326</v>
      </c>
      <c r="L3288" s="8" t="s">
        <v>18170</v>
      </c>
      <c r="M3288" s="8" t="s">
        <v>27</v>
      </c>
      <c r="N3288" s="8" t="s">
        <v>18171</v>
      </c>
      <c r="O3288" s="8" t="s">
        <v>554</v>
      </c>
      <c r="P3288" s="8" t="s">
        <v>405</v>
      </c>
      <c r="Q3288" s="12" t="s">
        <v>18172</v>
      </c>
      <c r="S3288" s="7" t="s">
        <v>28</v>
      </c>
      <c r="T3288" s="6"/>
      <c r="U3288" s="8"/>
    </row>
    <row r="3289" spans="1:34" ht="13.5" customHeight="1">
      <c r="A3289" s="8" t="s">
        <v>18177</v>
      </c>
      <c r="B3289" s="16">
        <v>32</v>
      </c>
      <c r="C3289" s="8" t="s">
        <v>20</v>
      </c>
      <c r="D3289" s="8" t="s">
        <v>30</v>
      </c>
      <c r="F3289" s="17">
        <v>41340</v>
      </c>
      <c r="G3289" s="8" t="s">
        <v>18178</v>
      </c>
      <c r="H3289" s="8" t="s">
        <v>1110</v>
      </c>
      <c r="I3289" s="8" t="s">
        <v>408</v>
      </c>
      <c r="J3289" s="16" t="s">
        <v>16993</v>
      </c>
      <c r="K3289" s="2" t="s">
        <v>1110</v>
      </c>
      <c r="L3289" s="8" t="s">
        <v>1111</v>
      </c>
      <c r="M3289" s="8" t="s">
        <v>27</v>
      </c>
      <c r="N3289" s="8" t="s">
        <v>18179</v>
      </c>
      <c r="O3289" s="8" t="s">
        <v>1018</v>
      </c>
      <c r="P3289" s="8" t="s">
        <v>405</v>
      </c>
      <c r="Q3289" s="12" t="s">
        <v>18180</v>
      </c>
      <c r="R3289" s="8" t="s">
        <v>100</v>
      </c>
      <c r="S3289" s="7" t="s">
        <v>28</v>
      </c>
      <c r="T3289" s="6"/>
      <c r="U3289" s="8"/>
    </row>
    <row r="3290" spans="1:34" ht="13.5" customHeight="1">
      <c r="A3290" s="8" t="s">
        <v>18188</v>
      </c>
      <c r="B3290" s="16">
        <v>47</v>
      </c>
      <c r="C3290" s="8" t="s">
        <v>20</v>
      </c>
      <c r="D3290" s="8" t="s">
        <v>37</v>
      </c>
      <c r="E3290" s="8" t="s">
        <v>18189</v>
      </c>
      <c r="F3290" s="17">
        <v>41339</v>
      </c>
      <c r="G3290" s="8" t="s">
        <v>18190</v>
      </c>
      <c r="H3290" s="8" t="s">
        <v>1300</v>
      </c>
      <c r="I3290" s="8" t="s">
        <v>175</v>
      </c>
      <c r="J3290" s="16" t="s">
        <v>18191</v>
      </c>
      <c r="K3290" s="2" t="s">
        <v>10909</v>
      </c>
      <c r="L3290" s="8" t="s">
        <v>19942</v>
      </c>
      <c r="M3290" s="8" t="s">
        <v>27</v>
      </c>
      <c r="N3290" s="8" t="s">
        <v>18192</v>
      </c>
      <c r="O3290" s="8" t="s">
        <v>1018</v>
      </c>
      <c r="P3290" s="8" t="s">
        <v>405</v>
      </c>
      <c r="Q3290" s="12" t="s">
        <v>18193</v>
      </c>
      <c r="R3290" s="8" t="s">
        <v>100</v>
      </c>
      <c r="S3290" s="7" t="s">
        <v>28</v>
      </c>
      <c r="T3290" s="6"/>
      <c r="U3290" s="8"/>
    </row>
    <row r="3291" spans="1:34" ht="13.5" customHeight="1">
      <c r="A3291" s="8" t="s">
        <v>18181</v>
      </c>
      <c r="B3291" s="16">
        <v>40</v>
      </c>
      <c r="C3291" s="8" t="s">
        <v>20</v>
      </c>
      <c r="D3291" s="8" t="s">
        <v>30</v>
      </c>
      <c r="F3291" s="17">
        <v>41339</v>
      </c>
      <c r="G3291" s="8" t="s">
        <v>18182</v>
      </c>
      <c r="H3291" s="8" t="s">
        <v>18183</v>
      </c>
      <c r="I3291" s="8" t="s">
        <v>323</v>
      </c>
      <c r="J3291" s="16" t="s">
        <v>18184</v>
      </c>
      <c r="K3291" s="2" t="s">
        <v>1795</v>
      </c>
      <c r="L3291" s="8" t="s">
        <v>18185</v>
      </c>
      <c r="M3291" s="8" t="s">
        <v>27</v>
      </c>
      <c r="N3291" s="8" t="s">
        <v>18186</v>
      </c>
      <c r="O3291" s="8" t="s">
        <v>554</v>
      </c>
      <c r="P3291" s="8" t="s">
        <v>405</v>
      </c>
      <c r="Q3291" s="12" t="s">
        <v>18187</v>
      </c>
      <c r="R3291" s="8" t="s">
        <v>100</v>
      </c>
      <c r="S3291" s="7" t="s">
        <v>28</v>
      </c>
      <c r="T3291" s="6"/>
      <c r="U3291" s="8"/>
    </row>
    <row r="3292" spans="1:34" ht="13.5" customHeight="1">
      <c r="A3292" s="8" t="s">
        <v>18202</v>
      </c>
      <c r="B3292" s="16" t="s">
        <v>16396</v>
      </c>
      <c r="C3292" s="8" t="s">
        <v>20</v>
      </c>
      <c r="D3292" s="8" t="s">
        <v>37</v>
      </c>
      <c r="E3292" s="8" t="s">
        <v>18203</v>
      </c>
      <c r="F3292" s="17">
        <v>41338</v>
      </c>
      <c r="G3292" s="8" t="s">
        <v>18204</v>
      </c>
      <c r="H3292" s="8" t="s">
        <v>930</v>
      </c>
      <c r="I3292" s="8" t="s">
        <v>198</v>
      </c>
      <c r="J3292" s="16" t="s">
        <v>5023</v>
      </c>
      <c r="K3292" s="2" t="s">
        <v>471</v>
      </c>
      <c r="L3292" s="8" t="s">
        <v>5024</v>
      </c>
      <c r="M3292" s="8" t="s">
        <v>27</v>
      </c>
      <c r="N3292" s="8" t="s">
        <v>18205</v>
      </c>
      <c r="O3292" s="8" t="s">
        <v>29</v>
      </c>
      <c r="P3292" s="8" t="s">
        <v>405</v>
      </c>
      <c r="Q3292" s="12" t="s">
        <v>10223</v>
      </c>
      <c r="R3292" s="8" t="s">
        <v>100</v>
      </c>
      <c r="S3292" s="7" t="s">
        <v>28</v>
      </c>
      <c r="T3292" s="6"/>
      <c r="U3292" s="8"/>
      <c r="Y3292" s="8"/>
      <c r="Z3292" s="8"/>
      <c r="AA3292" s="8"/>
      <c r="AB3292" s="8"/>
      <c r="AC3292" s="8"/>
      <c r="AD3292" s="8"/>
      <c r="AE3292" s="8"/>
      <c r="AF3292" s="8"/>
      <c r="AG3292" s="8"/>
      <c r="AH3292" s="8"/>
    </row>
    <row r="3293" spans="1:34" ht="15" customHeight="1">
      <c r="A3293" s="8" t="s">
        <v>18206</v>
      </c>
      <c r="B3293" s="16">
        <v>28</v>
      </c>
      <c r="C3293" s="8" t="s">
        <v>20</v>
      </c>
      <c r="D3293" s="8" t="s">
        <v>37</v>
      </c>
      <c r="E3293" s="8" t="s">
        <v>18207</v>
      </c>
      <c r="F3293" s="17">
        <v>41338</v>
      </c>
      <c r="G3293" s="8" t="s">
        <v>18208</v>
      </c>
      <c r="H3293" s="8" t="s">
        <v>18209</v>
      </c>
      <c r="I3293" s="8" t="s">
        <v>427</v>
      </c>
      <c r="J3293" s="16" t="s">
        <v>18210</v>
      </c>
      <c r="K3293" s="2" t="s">
        <v>532</v>
      </c>
      <c r="L3293" s="8" t="s">
        <v>5009</v>
      </c>
      <c r="M3293" s="8" t="s">
        <v>27</v>
      </c>
      <c r="N3293" s="8" t="s">
        <v>18211</v>
      </c>
      <c r="O3293" s="8" t="s">
        <v>554</v>
      </c>
      <c r="P3293" s="8" t="s">
        <v>405</v>
      </c>
      <c r="Q3293" s="12" t="s">
        <v>18212</v>
      </c>
      <c r="R3293" s="8" t="s">
        <v>100</v>
      </c>
      <c r="S3293" s="7" t="s">
        <v>28</v>
      </c>
      <c r="T3293" s="6"/>
      <c r="U3293" s="8"/>
    </row>
    <row r="3294" spans="1:34" ht="15" customHeight="1">
      <c r="A3294" s="8" t="s">
        <v>18194</v>
      </c>
      <c r="B3294" s="16">
        <v>37</v>
      </c>
      <c r="C3294" s="8" t="s">
        <v>20</v>
      </c>
      <c r="D3294" s="8" t="s">
        <v>85</v>
      </c>
      <c r="F3294" s="17">
        <v>41338</v>
      </c>
      <c r="G3294" s="8" t="s">
        <v>18195</v>
      </c>
      <c r="H3294" s="8" t="s">
        <v>717</v>
      </c>
      <c r="I3294" s="8" t="s">
        <v>435</v>
      </c>
      <c r="J3294" s="16" t="s">
        <v>11758</v>
      </c>
      <c r="K3294" s="2" t="s">
        <v>717</v>
      </c>
      <c r="L3294" s="8" t="s">
        <v>4572</v>
      </c>
      <c r="M3294" s="8" t="s">
        <v>27</v>
      </c>
      <c r="N3294" s="8" t="s">
        <v>18196</v>
      </c>
      <c r="O3294" s="8" t="s">
        <v>1018</v>
      </c>
      <c r="P3294" s="8" t="s">
        <v>405</v>
      </c>
      <c r="Q3294" s="12" t="s">
        <v>18197</v>
      </c>
      <c r="R3294" s="8" t="s">
        <v>29</v>
      </c>
      <c r="S3294" s="7" t="s">
        <v>28</v>
      </c>
      <c r="T3294" s="6"/>
      <c r="U3294" s="8"/>
    </row>
    <row r="3295" spans="1:34" ht="15" customHeight="1">
      <c r="A3295" s="8" t="s">
        <v>18198</v>
      </c>
      <c r="B3295" s="16">
        <v>38</v>
      </c>
      <c r="C3295" s="8" t="s">
        <v>20</v>
      </c>
      <c r="D3295" s="8" t="s">
        <v>48</v>
      </c>
      <c r="F3295" s="17">
        <v>41338</v>
      </c>
      <c r="G3295" s="8" t="s">
        <v>18199</v>
      </c>
      <c r="H3295" s="8" t="s">
        <v>690</v>
      </c>
      <c r="I3295" s="8" t="s">
        <v>367</v>
      </c>
      <c r="J3295" s="16" t="s">
        <v>10712</v>
      </c>
      <c r="K3295" s="2" t="s">
        <v>691</v>
      </c>
      <c r="L3295" s="8" t="s">
        <v>692</v>
      </c>
      <c r="M3295" s="8" t="s">
        <v>383</v>
      </c>
      <c r="N3295" s="8" t="s">
        <v>18200</v>
      </c>
      <c r="O3295" s="8" t="s">
        <v>1018</v>
      </c>
      <c r="P3295" s="8" t="s">
        <v>405</v>
      </c>
      <c r="Q3295" s="12" t="s">
        <v>18201</v>
      </c>
      <c r="R3295" s="8" t="s">
        <v>100</v>
      </c>
      <c r="S3295" s="7" t="s">
        <v>28</v>
      </c>
      <c r="T3295" s="6"/>
      <c r="U3295" s="8"/>
      <c r="V3295" s="8"/>
      <c r="W3295" s="8"/>
      <c r="X3295" s="8"/>
    </row>
    <row r="3296" spans="1:34" ht="15" customHeight="1">
      <c r="A3296" s="8" t="s">
        <v>18213</v>
      </c>
      <c r="B3296" s="16">
        <v>22</v>
      </c>
      <c r="C3296" s="8" t="s">
        <v>20</v>
      </c>
      <c r="D3296" s="8" t="s">
        <v>85</v>
      </c>
      <c r="E3296" s="8" t="s">
        <v>18214</v>
      </c>
      <c r="F3296" s="17">
        <v>41337</v>
      </c>
      <c r="G3296" s="8" t="s">
        <v>18215</v>
      </c>
      <c r="H3296" s="8" t="s">
        <v>6163</v>
      </c>
      <c r="I3296" s="8" t="s">
        <v>370</v>
      </c>
      <c r="J3296" s="16" t="s">
        <v>18216</v>
      </c>
      <c r="K3296" s="2" t="s">
        <v>18217</v>
      </c>
      <c r="L3296" s="8" t="s">
        <v>5704</v>
      </c>
      <c r="M3296" s="8" t="s">
        <v>27</v>
      </c>
      <c r="N3296" s="8" t="s">
        <v>18218</v>
      </c>
      <c r="O3296" s="8" t="s">
        <v>1018</v>
      </c>
      <c r="P3296" s="8" t="s">
        <v>405</v>
      </c>
      <c r="Q3296" s="12" t="s">
        <v>18219</v>
      </c>
      <c r="R3296" s="8" t="s">
        <v>100</v>
      </c>
      <c r="S3296" s="7" t="s">
        <v>28</v>
      </c>
      <c r="T3296" s="6"/>
      <c r="U3296" s="8"/>
    </row>
    <row r="3297" spans="1:34" ht="15" customHeight="1">
      <c r="A3297" s="8" t="s">
        <v>18220</v>
      </c>
      <c r="B3297" s="16" t="s">
        <v>10309</v>
      </c>
      <c r="C3297" s="8" t="s">
        <v>20</v>
      </c>
      <c r="D3297" s="8" t="s">
        <v>48</v>
      </c>
      <c r="E3297" s="8" t="s">
        <v>18221</v>
      </c>
      <c r="F3297" s="17">
        <v>41337</v>
      </c>
      <c r="G3297" s="8" t="s">
        <v>18222</v>
      </c>
      <c r="H3297" s="8" t="s">
        <v>579</v>
      </c>
      <c r="I3297" s="8" t="s">
        <v>73</v>
      </c>
      <c r="J3297" s="16" t="s">
        <v>18223</v>
      </c>
      <c r="K3297" s="2" t="s">
        <v>580</v>
      </c>
      <c r="L3297" s="8" t="s">
        <v>581</v>
      </c>
      <c r="M3297" s="8" t="s">
        <v>27</v>
      </c>
      <c r="N3297" s="8" t="s">
        <v>18224</v>
      </c>
      <c r="O3297" s="8" t="s">
        <v>29</v>
      </c>
      <c r="P3297" s="8" t="s">
        <v>405</v>
      </c>
      <c r="Q3297" s="12" t="s">
        <v>18225</v>
      </c>
      <c r="R3297" s="8" t="s">
        <v>559</v>
      </c>
      <c r="S3297" s="7" t="s">
        <v>28</v>
      </c>
      <c r="T3297" s="6"/>
      <c r="U3297" s="8"/>
    </row>
    <row r="3298" spans="1:34" ht="15" customHeight="1">
      <c r="A3298" s="8" t="s">
        <v>18226</v>
      </c>
      <c r="B3298" s="16">
        <v>32</v>
      </c>
      <c r="C3298" s="8" t="s">
        <v>20</v>
      </c>
      <c r="D3298" s="8" t="s">
        <v>48</v>
      </c>
      <c r="E3298" s="8" t="s">
        <v>18227</v>
      </c>
      <c r="F3298" s="17">
        <v>41337</v>
      </c>
      <c r="G3298" s="8" t="s">
        <v>18228</v>
      </c>
      <c r="H3298" s="8" t="s">
        <v>1577</v>
      </c>
      <c r="I3298" s="8" t="s">
        <v>118</v>
      </c>
      <c r="J3298" s="16" t="s">
        <v>18229</v>
      </c>
      <c r="K3298" s="2" t="s">
        <v>1579</v>
      </c>
      <c r="L3298" s="8" t="s">
        <v>18230</v>
      </c>
      <c r="M3298" s="8" t="s">
        <v>27</v>
      </c>
      <c r="N3298" s="8" t="s">
        <v>18231</v>
      </c>
      <c r="O3298" s="8" t="s">
        <v>554</v>
      </c>
      <c r="P3298" s="8" t="s">
        <v>405</v>
      </c>
      <c r="Q3298" s="12" t="s">
        <v>18232</v>
      </c>
      <c r="R3298" s="8" t="s">
        <v>29</v>
      </c>
      <c r="S3298" s="7" t="s">
        <v>28</v>
      </c>
      <c r="T3298" s="6"/>
      <c r="U3298" s="8"/>
    </row>
    <row r="3299" spans="1:34" ht="15" customHeight="1">
      <c r="A3299" s="8" t="s">
        <v>18233</v>
      </c>
      <c r="B3299" s="16">
        <v>43</v>
      </c>
      <c r="C3299" s="8" t="s">
        <v>20</v>
      </c>
      <c r="D3299" s="8" t="s">
        <v>30</v>
      </c>
      <c r="F3299" s="17">
        <v>41336</v>
      </c>
      <c r="G3299" s="8" t="s">
        <v>18234</v>
      </c>
      <c r="H3299" s="8" t="s">
        <v>18235</v>
      </c>
      <c r="I3299" s="8" t="s">
        <v>62</v>
      </c>
      <c r="J3299" s="16" t="s">
        <v>8913</v>
      </c>
      <c r="K3299" s="2" t="s">
        <v>1134</v>
      </c>
      <c r="L3299" s="8" t="s">
        <v>2222</v>
      </c>
      <c r="M3299" s="8" t="s">
        <v>27</v>
      </c>
      <c r="N3299" s="8" t="s">
        <v>18236</v>
      </c>
      <c r="O3299" s="8" t="s">
        <v>1018</v>
      </c>
      <c r="P3299" s="8" t="s">
        <v>405</v>
      </c>
      <c r="Q3299" s="12" t="s">
        <v>18237</v>
      </c>
      <c r="R3299" s="8" t="s">
        <v>100</v>
      </c>
      <c r="S3299" s="7" t="s">
        <v>28</v>
      </c>
      <c r="T3299" s="6"/>
      <c r="U3299" s="8"/>
    </row>
    <row r="3300" spans="1:34" ht="15" customHeight="1">
      <c r="A3300" s="8" t="s">
        <v>18246</v>
      </c>
      <c r="B3300" s="16" t="s">
        <v>10445</v>
      </c>
      <c r="C3300" s="8" t="s">
        <v>20</v>
      </c>
      <c r="D3300" s="8" t="s">
        <v>37</v>
      </c>
      <c r="E3300" s="8" t="s">
        <v>18247</v>
      </c>
      <c r="F3300" s="17">
        <v>41336</v>
      </c>
      <c r="G3300" s="8" t="s">
        <v>18248</v>
      </c>
      <c r="H3300" s="8" t="s">
        <v>8816</v>
      </c>
      <c r="I3300" s="8" t="s">
        <v>45</v>
      </c>
      <c r="J3300" s="16" t="s">
        <v>15996</v>
      </c>
      <c r="K3300" s="2" t="s">
        <v>608</v>
      </c>
      <c r="L3300" s="8" t="s">
        <v>8818</v>
      </c>
      <c r="M3300" s="8" t="s">
        <v>27</v>
      </c>
      <c r="N3300" s="8" t="s">
        <v>18249</v>
      </c>
      <c r="O3300" s="8" t="s">
        <v>29</v>
      </c>
      <c r="P3300" s="8" t="s">
        <v>405</v>
      </c>
      <c r="Q3300" s="12" t="s">
        <v>18250</v>
      </c>
      <c r="R3300" s="8" t="s">
        <v>100</v>
      </c>
      <c r="S3300" s="7" t="s">
        <v>28</v>
      </c>
      <c r="T3300" s="6"/>
      <c r="U3300" s="8"/>
    </row>
    <row r="3301" spans="1:34" ht="15" customHeight="1">
      <c r="A3301" s="8" t="s">
        <v>18238</v>
      </c>
      <c r="B3301" s="16">
        <v>26</v>
      </c>
      <c r="C3301" s="8" t="s">
        <v>20</v>
      </c>
      <c r="D3301" s="8" t="s">
        <v>37</v>
      </c>
      <c r="E3301" s="8" t="s">
        <v>18239</v>
      </c>
      <c r="F3301" s="17">
        <v>41336</v>
      </c>
      <c r="G3301" s="8" t="s">
        <v>18240</v>
      </c>
      <c r="H3301" s="8" t="s">
        <v>18241</v>
      </c>
      <c r="I3301" s="8" t="s">
        <v>118</v>
      </c>
      <c r="J3301" s="16" t="s">
        <v>18242</v>
      </c>
      <c r="K3301" s="2" t="s">
        <v>946</v>
      </c>
      <c r="L3301" s="8" t="s">
        <v>18243</v>
      </c>
      <c r="M3301" s="8" t="s">
        <v>3407</v>
      </c>
      <c r="N3301" s="8" t="s">
        <v>18244</v>
      </c>
      <c r="O3301" s="8" t="s">
        <v>554</v>
      </c>
      <c r="P3301" s="8" t="s">
        <v>405</v>
      </c>
      <c r="Q3301" s="12" t="s">
        <v>18245</v>
      </c>
      <c r="R3301" s="8" t="s">
        <v>100</v>
      </c>
      <c r="S3301" s="7" t="s">
        <v>28</v>
      </c>
      <c r="T3301" s="6"/>
      <c r="U3301" s="8"/>
    </row>
    <row r="3302" spans="1:34" ht="15" customHeight="1">
      <c r="A3302" s="8" t="s">
        <v>18256</v>
      </c>
      <c r="B3302" s="16">
        <v>23</v>
      </c>
      <c r="C3302" s="8" t="s">
        <v>20</v>
      </c>
      <c r="D3302" s="8" t="s">
        <v>30</v>
      </c>
      <c r="F3302" s="17">
        <v>41335</v>
      </c>
      <c r="G3302" s="8" t="s">
        <v>18257</v>
      </c>
      <c r="H3302" s="8" t="s">
        <v>953</v>
      </c>
      <c r="I3302" s="8" t="s">
        <v>45</v>
      </c>
      <c r="J3302" s="16" t="s">
        <v>18258</v>
      </c>
      <c r="K3302" s="2" t="s">
        <v>953</v>
      </c>
      <c r="L3302" s="8" t="s">
        <v>18259</v>
      </c>
      <c r="M3302" s="8" t="s">
        <v>27</v>
      </c>
      <c r="N3302" s="8" t="s">
        <v>18260</v>
      </c>
      <c r="O3302" s="8" t="s">
        <v>1018</v>
      </c>
      <c r="P3302" s="8" t="s">
        <v>405</v>
      </c>
      <c r="Q3302" s="12" t="s">
        <v>18261</v>
      </c>
      <c r="R3302" s="8" t="s">
        <v>100</v>
      </c>
      <c r="S3302" s="7" t="s">
        <v>28</v>
      </c>
      <c r="T3302" s="6"/>
      <c r="U3302" s="8"/>
    </row>
    <row r="3303" spans="1:34" ht="15" customHeight="1">
      <c r="A3303" s="8" t="s">
        <v>18251</v>
      </c>
      <c r="B3303" s="16" t="s">
        <v>8868</v>
      </c>
      <c r="C3303" s="8" t="s">
        <v>20</v>
      </c>
      <c r="D3303" s="8" t="s">
        <v>85</v>
      </c>
      <c r="E3303" s="8" t="s">
        <v>18252</v>
      </c>
      <c r="F3303" s="17">
        <v>41335</v>
      </c>
      <c r="G3303" s="8" t="s">
        <v>18253</v>
      </c>
      <c r="H3303" s="8" t="s">
        <v>13769</v>
      </c>
      <c r="I3303" s="8" t="s">
        <v>45</v>
      </c>
      <c r="J3303" s="16">
        <v>94587</v>
      </c>
      <c r="K3303" s="2" t="s">
        <v>608</v>
      </c>
      <c r="L3303" s="8" t="s">
        <v>13771</v>
      </c>
      <c r="M3303" s="8" t="s">
        <v>27</v>
      </c>
      <c r="N3303" s="8" t="s">
        <v>18254</v>
      </c>
      <c r="O3303" s="8" t="s">
        <v>29</v>
      </c>
      <c r="P3303" s="8" t="s">
        <v>405</v>
      </c>
      <c r="Q3303" s="12" t="s">
        <v>18255</v>
      </c>
      <c r="R3303" s="8" t="s">
        <v>100</v>
      </c>
      <c r="S3303" s="7" t="s">
        <v>28</v>
      </c>
      <c r="T3303" s="6"/>
      <c r="U3303" s="8"/>
    </row>
    <row r="3304" spans="1:34" ht="15" customHeight="1">
      <c r="A3304" s="8" t="s">
        <v>18266</v>
      </c>
      <c r="B3304" s="16">
        <v>26</v>
      </c>
      <c r="C3304" s="8" t="s">
        <v>20</v>
      </c>
      <c r="D3304" s="8" t="s">
        <v>37</v>
      </c>
      <c r="F3304" s="17">
        <v>41335</v>
      </c>
      <c r="G3304" s="8" t="s">
        <v>18267</v>
      </c>
      <c r="H3304" s="8" t="s">
        <v>17189</v>
      </c>
      <c r="I3304" s="8" t="s">
        <v>306</v>
      </c>
      <c r="J3304" s="16" t="s">
        <v>17190</v>
      </c>
      <c r="K3304" s="2" t="s">
        <v>1925</v>
      </c>
      <c r="L3304" s="8" t="s">
        <v>18268</v>
      </c>
      <c r="M3304" s="8" t="s">
        <v>27</v>
      </c>
      <c r="N3304" s="8" t="s">
        <v>18269</v>
      </c>
      <c r="O3304" s="8" t="s">
        <v>554</v>
      </c>
      <c r="P3304" s="8" t="s">
        <v>405</v>
      </c>
      <c r="Q3304" s="12" t="s">
        <v>18270</v>
      </c>
      <c r="R3304" s="8" t="s">
        <v>100</v>
      </c>
      <c r="S3304" s="7" t="s">
        <v>28</v>
      </c>
      <c r="T3304" s="6"/>
      <c r="U3304" s="8"/>
    </row>
    <row r="3305" spans="1:34" ht="15" customHeight="1">
      <c r="A3305" s="8" t="s">
        <v>18262</v>
      </c>
      <c r="B3305" s="16">
        <v>28</v>
      </c>
      <c r="C3305" s="8" t="s">
        <v>20</v>
      </c>
      <c r="D3305" s="8" t="s">
        <v>30</v>
      </c>
      <c r="F3305" s="17">
        <v>41335</v>
      </c>
      <c r="G3305" s="8" t="s">
        <v>18263</v>
      </c>
      <c r="H3305" s="8" t="s">
        <v>612</v>
      </c>
      <c r="I3305" s="8" t="s">
        <v>45</v>
      </c>
      <c r="J3305" s="16" t="s">
        <v>7937</v>
      </c>
      <c r="K3305" s="2" t="s">
        <v>613</v>
      </c>
      <c r="L3305" s="8" t="s">
        <v>735</v>
      </c>
      <c r="M3305" s="8" t="s">
        <v>27</v>
      </c>
      <c r="N3305" s="8" t="s">
        <v>18264</v>
      </c>
      <c r="O3305" s="8" t="s">
        <v>554</v>
      </c>
      <c r="P3305" s="8" t="s">
        <v>405</v>
      </c>
      <c r="Q3305" s="12" t="s">
        <v>18265</v>
      </c>
      <c r="R3305" s="8" t="s">
        <v>100</v>
      </c>
      <c r="S3305" s="7" t="s">
        <v>28</v>
      </c>
      <c r="T3305" s="6"/>
      <c r="U3305" s="8"/>
    </row>
    <row r="3306" spans="1:34" ht="15" customHeight="1">
      <c r="A3306" s="8" t="s">
        <v>18282</v>
      </c>
      <c r="B3306" s="16">
        <v>47</v>
      </c>
      <c r="C3306" s="8" t="s">
        <v>20</v>
      </c>
      <c r="D3306" s="8" t="s">
        <v>37</v>
      </c>
      <c r="E3306" s="8" t="s">
        <v>18283</v>
      </c>
      <c r="F3306" s="17">
        <v>41334</v>
      </c>
      <c r="G3306" s="8" t="s">
        <v>18284</v>
      </c>
      <c r="H3306" s="8" t="s">
        <v>865</v>
      </c>
      <c r="I3306" s="8" t="s">
        <v>73</v>
      </c>
      <c r="J3306" s="16" t="s">
        <v>18285</v>
      </c>
      <c r="K3306" s="2" t="s">
        <v>865</v>
      </c>
      <c r="L3306" s="8" t="s">
        <v>866</v>
      </c>
      <c r="M3306" s="8" t="s">
        <v>27</v>
      </c>
      <c r="N3306" s="8" t="s">
        <v>18286</v>
      </c>
      <c r="O3306" s="8" t="s">
        <v>1018</v>
      </c>
      <c r="P3306" s="8" t="s">
        <v>405</v>
      </c>
      <c r="Q3306" s="12" t="s">
        <v>18287</v>
      </c>
      <c r="R3306" s="8" t="s">
        <v>100</v>
      </c>
      <c r="S3306" s="7" t="s">
        <v>28</v>
      </c>
      <c r="T3306" s="6"/>
      <c r="U3306" s="8"/>
    </row>
    <row r="3307" spans="1:34" ht="15" customHeight="1">
      <c r="A3307" s="8" t="s">
        <v>18276</v>
      </c>
      <c r="B3307" s="16">
        <v>70</v>
      </c>
      <c r="C3307" s="8" t="s">
        <v>20</v>
      </c>
      <c r="D3307" s="8" t="s">
        <v>37</v>
      </c>
      <c r="E3307" s="8" t="s">
        <v>18277</v>
      </c>
      <c r="F3307" s="17">
        <v>41334</v>
      </c>
      <c r="G3307" s="8" t="s">
        <v>18278</v>
      </c>
      <c r="H3307" s="8" t="s">
        <v>1326</v>
      </c>
      <c r="I3307" s="8" t="s">
        <v>73</v>
      </c>
      <c r="J3307" s="16" t="s">
        <v>18279</v>
      </c>
      <c r="K3307" s="2" t="s">
        <v>1327</v>
      </c>
      <c r="L3307" s="8" t="s">
        <v>1328</v>
      </c>
      <c r="M3307" s="8" t="s">
        <v>27</v>
      </c>
      <c r="N3307" s="8" t="s">
        <v>18280</v>
      </c>
      <c r="O3307" s="8" t="s">
        <v>554</v>
      </c>
      <c r="P3307" s="8" t="s">
        <v>405</v>
      </c>
      <c r="Q3307" s="12" t="s">
        <v>18281</v>
      </c>
      <c r="R3307" s="8" t="s">
        <v>100</v>
      </c>
      <c r="S3307" s="7" t="s">
        <v>28</v>
      </c>
      <c r="T3307" s="6"/>
      <c r="U3307" s="8"/>
      <c r="Y3307" s="8"/>
      <c r="Z3307" s="8"/>
      <c r="AA3307" s="8"/>
      <c r="AB3307" s="8"/>
      <c r="AC3307" s="8"/>
      <c r="AD3307" s="8"/>
      <c r="AE3307" s="8"/>
      <c r="AF3307" s="8"/>
      <c r="AG3307" s="8"/>
      <c r="AH3307" s="8"/>
    </row>
    <row r="3308" spans="1:34" ht="15" customHeight="1">
      <c r="A3308" s="8" t="s">
        <v>18271</v>
      </c>
      <c r="B3308" s="16">
        <v>35</v>
      </c>
      <c r="C3308" s="8" t="s">
        <v>20</v>
      </c>
      <c r="D3308" s="8" t="s">
        <v>85</v>
      </c>
      <c r="F3308" s="17">
        <v>41334</v>
      </c>
      <c r="G3308" s="8" t="s">
        <v>18272</v>
      </c>
      <c r="H3308" s="8" t="s">
        <v>1104</v>
      </c>
      <c r="I3308" s="8" t="s">
        <v>399</v>
      </c>
      <c r="J3308" s="16" t="s">
        <v>18273</v>
      </c>
      <c r="K3308" s="2" t="s">
        <v>1105</v>
      </c>
      <c r="L3308" s="8" t="s">
        <v>1106</v>
      </c>
      <c r="M3308" s="8" t="s">
        <v>27</v>
      </c>
      <c r="N3308" s="8" t="s">
        <v>18274</v>
      </c>
      <c r="P3308" s="8" t="s">
        <v>405</v>
      </c>
      <c r="Q3308" s="12" t="s">
        <v>18275</v>
      </c>
      <c r="R3308" s="8" t="s">
        <v>100</v>
      </c>
      <c r="S3308" s="7" t="s">
        <v>383</v>
      </c>
      <c r="T3308" s="6"/>
      <c r="U3308" s="8"/>
    </row>
    <row r="3309" spans="1:34" ht="15" customHeight="1">
      <c r="A3309" s="8" t="s">
        <v>3288</v>
      </c>
      <c r="B3309" s="16">
        <v>46</v>
      </c>
      <c r="C3309" s="8" t="s">
        <v>20</v>
      </c>
      <c r="D3309" s="8" t="s">
        <v>85</v>
      </c>
      <c r="F3309" s="17">
        <v>41333</v>
      </c>
      <c r="G3309" s="8" t="s">
        <v>18288</v>
      </c>
      <c r="H3309" s="8" t="s">
        <v>731</v>
      </c>
      <c r="I3309" s="8" t="s">
        <v>73</v>
      </c>
      <c r="J3309" s="16" t="s">
        <v>18289</v>
      </c>
      <c r="K3309" s="2" t="s">
        <v>562</v>
      </c>
      <c r="L3309" s="8" t="s">
        <v>732</v>
      </c>
      <c r="M3309" s="8" t="s">
        <v>27</v>
      </c>
      <c r="N3309" s="8" t="s">
        <v>18290</v>
      </c>
      <c r="O3309" s="8" t="s">
        <v>29</v>
      </c>
      <c r="P3309" s="8" t="s">
        <v>405</v>
      </c>
      <c r="Q3309" s="12" t="str">
        <f>HYPERLINK("http://www.myfoxhouston.com/story/21431932/suspected-purse-snatcher-shot-by-houston-police-officer","http://www.myfoxhouston.com/story/21431932/suspected-purse-snatcher-shot-by-houston-police-officer")</f>
        <v>http://www.myfoxhouston.com/story/21431932/suspected-purse-snatcher-shot-by-houston-police-officer</v>
      </c>
      <c r="R3309" s="8" t="s">
        <v>100</v>
      </c>
      <c r="S3309" s="7" t="s">
        <v>28</v>
      </c>
      <c r="T3309" s="6"/>
      <c r="U3309" s="8"/>
    </row>
    <row r="3310" spans="1:34" ht="15" customHeight="1">
      <c r="A3310" s="8" t="s">
        <v>18291</v>
      </c>
      <c r="B3310" s="16">
        <v>37</v>
      </c>
      <c r="C3310" s="8" t="s">
        <v>20</v>
      </c>
      <c r="D3310" s="8" t="s">
        <v>30</v>
      </c>
      <c r="F3310" s="17">
        <v>41333</v>
      </c>
      <c r="G3310" s="8" t="s">
        <v>18292</v>
      </c>
      <c r="H3310" s="8" t="s">
        <v>13153</v>
      </c>
      <c r="I3310" s="8" t="s">
        <v>45</v>
      </c>
      <c r="J3310" s="16" t="s">
        <v>13154</v>
      </c>
      <c r="K3310" s="2" t="s">
        <v>2696</v>
      </c>
      <c r="L3310" s="8" t="s">
        <v>2697</v>
      </c>
      <c r="M3310" s="8" t="s">
        <v>27</v>
      </c>
      <c r="N3310" s="8" t="s">
        <v>18293</v>
      </c>
      <c r="O3310" s="8" t="s">
        <v>554</v>
      </c>
      <c r="P3310" s="8" t="s">
        <v>405</v>
      </c>
      <c r="Q3310" s="12" t="s">
        <v>18294</v>
      </c>
      <c r="R3310" s="8" t="s">
        <v>100</v>
      </c>
      <c r="S3310" s="7" t="s">
        <v>28</v>
      </c>
      <c r="T3310" s="6"/>
      <c r="U3310" s="8"/>
    </row>
    <row r="3311" spans="1:34" ht="15" customHeight="1">
      <c r="A3311" s="8" t="s">
        <v>18301</v>
      </c>
      <c r="B3311" s="16">
        <v>24</v>
      </c>
      <c r="C3311" s="8" t="s">
        <v>20</v>
      </c>
      <c r="D3311" s="8" t="s">
        <v>30</v>
      </c>
      <c r="F3311" s="17">
        <v>41331</v>
      </c>
      <c r="G3311" s="8" t="s">
        <v>18302</v>
      </c>
      <c r="H3311" s="8" t="s">
        <v>51</v>
      </c>
      <c r="I3311" s="8" t="s">
        <v>32</v>
      </c>
      <c r="J3311" s="16" t="s">
        <v>18303</v>
      </c>
      <c r="K3311" s="2" t="s">
        <v>2615</v>
      </c>
      <c r="L3311" s="8" t="s">
        <v>18304</v>
      </c>
      <c r="M3311" s="8" t="s">
        <v>27</v>
      </c>
      <c r="N3311" s="8" t="s">
        <v>18305</v>
      </c>
      <c r="O3311" s="8" t="s">
        <v>1018</v>
      </c>
      <c r="P3311" s="8" t="s">
        <v>405</v>
      </c>
      <c r="Q3311" s="12" t="s">
        <v>18306</v>
      </c>
      <c r="R3311" s="8" t="s">
        <v>100</v>
      </c>
      <c r="S3311" s="7" t="s">
        <v>28</v>
      </c>
      <c r="T3311" s="6"/>
      <c r="U3311" s="8"/>
    </row>
    <row r="3312" spans="1:34" ht="15" customHeight="1">
      <c r="A3312" s="8" t="s">
        <v>18295</v>
      </c>
      <c r="B3312" s="16">
        <v>21</v>
      </c>
      <c r="C3312" s="8" t="s">
        <v>20</v>
      </c>
      <c r="D3312" s="8" t="s">
        <v>141</v>
      </c>
      <c r="E3312" s="8" t="s">
        <v>18296</v>
      </c>
      <c r="F3312" s="17">
        <v>41331</v>
      </c>
      <c r="G3312" s="8" t="s">
        <v>18297</v>
      </c>
      <c r="H3312" s="8" t="s">
        <v>1220</v>
      </c>
      <c r="I3312" s="8" t="s">
        <v>306</v>
      </c>
      <c r="J3312" s="16" t="s">
        <v>18298</v>
      </c>
      <c r="K3312" s="2" t="s">
        <v>1221</v>
      </c>
      <c r="L3312" s="8" t="s">
        <v>1222</v>
      </c>
      <c r="M3312" s="8" t="s">
        <v>27</v>
      </c>
      <c r="N3312" s="8" t="s">
        <v>18299</v>
      </c>
      <c r="O3312" s="8" t="s">
        <v>29</v>
      </c>
      <c r="P3312" s="8" t="s">
        <v>405</v>
      </c>
      <c r="Q3312" s="12" t="s">
        <v>18300</v>
      </c>
      <c r="R3312" s="8" t="s">
        <v>559</v>
      </c>
      <c r="S3312" s="7" t="s">
        <v>28</v>
      </c>
      <c r="T3312" s="6"/>
      <c r="U3312" s="8"/>
    </row>
    <row r="3313" spans="1:39" ht="15" customHeight="1">
      <c r="A3313" s="8" t="s">
        <v>18307</v>
      </c>
      <c r="B3313" s="16" t="s">
        <v>13608</v>
      </c>
      <c r="C3313" s="8" t="s">
        <v>20</v>
      </c>
      <c r="D3313" s="8" t="s">
        <v>37</v>
      </c>
      <c r="E3313" s="8" t="s">
        <v>18308</v>
      </c>
      <c r="F3313" s="17">
        <v>41331</v>
      </c>
      <c r="G3313" s="8" t="s">
        <v>18309</v>
      </c>
      <c r="H3313" s="8" t="s">
        <v>1373</v>
      </c>
      <c r="I3313" s="8" t="s">
        <v>45</v>
      </c>
      <c r="J3313" s="16" t="s">
        <v>18310</v>
      </c>
      <c r="K3313" s="2" t="s">
        <v>1373</v>
      </c>
      <c r="L3313" s="8" t="s">
        <v>18311</v>
      </c>
      <c r="M3313" s="8" t="s">
        <v>27</v>
      </c>
      <c r="N3313" s="8" t="s">
        <v>18312</v>
      </c>
      <c r="O3313" s="8" t="s">
        <v>554</v>
      </c>
      <c r="P3313" s="8" t="s">
        <v>405</v>
      </c>
      <c r="Q3313" s="12" t="s">
        <v>18313</v>
      </c>
      <c r="R3313" s="8" t="s">
        <v>100</v>
      </c>
      <c r="S3313" s="7" t="s">
        <v>28</v>
      </c>
      <c r="T3313" s="6"/>
      <c r="U3313" s="8"/>
    </row>
    <row r="3314" spans="1:39" ht="15" customHeight="1">
      <c r="A3314" s="8" t="s">
        <v>18325</v>
      </c>
      <c r="B3314" s="16">
        <v>33</v>
      </c>
      <c r="C3314" s="8" t="s">
        <v>20</v>
      </c>
      <c r="D3314" s="8" t="s">
        <v>37</v>
      </c>
      <c r="E3314" s="8" t="s">
        <v>18326</v>
      </c>
      <c r="F3314" s="17">
        <v>41330</v>
      </c>
      <c r="G3314" s="8" t="s">
        <v>7609</v>
      </c>
      <c r="H3314" s="8" t="s">
        <v>18327</v>
      </c>
      <c r="I3314" s="8" t="s">
        <v>243</v>
      </c>
      <c r="J3314" s="16" t="s">
        <v>18328</v>
      </c>
      <c r="K3314" s="2" t="s">
        <v>5066</v>
      </c>
      <c r="L3314" s="8" t="s">
        <v>18329</v>
      </c>
      <c r="M3314" s="8" t="s">
        <v>27</v>
      </c>
      <c r="N3314" s="8" t="s">
        <v>18330</v>
      </c>
      <c r="O3314" s="8" t="s">
        <v>554</v>
      </c>
      <c r="P3314" s="8" t="s">
        <v>405</v>
      </c>
      <c r="Q3314" s="12" t="s">
        <v>5329</v>
      </c>
      <c r="R3314" s="8" t="s">
        <v>100</v>
      </c>
      <c r="S3314" s="7" t="s">
        <v>28</v>
      </c>
      <c r="T3314" s="6"/>
      <c r="U3314" s="8"/>
    </row>
    <row r="3315" spans="1:39" ht="15" customHeight="1">
      <c r="A3315" s="8" t="s">
        <v>18318</v>
      </c>
      <c r="B3315" s="16">
        <v>78</v>
      </c>
      <c r="C3315" s="8" t="s">
        <v>20</v>
      </c>
      <c r="D3315" s="8" t="s">
        <v>37</v>
      </c>
      <c r="E3315" s="8" t="s">
        <v>18319</v>
      </c>
      <c r="F3315" s="17">
        <v>41330</v>
      </c>
      <c r="G3315" s="8" t="s">
        <v>18320</v>
      </c>
      <c r="H3315" s="8" t="s">
        <v>18321</v>
      </c>
      <c r="I3315" s="8" t="s">
        <v>118</v>
      </c>
      <c r="J3315" s="16" t="s">
        <v>4723</v>
      </c>
      <c r="K3315" s="2" t="s">
        <v>424</v>
      </c>
      <c r="L3315" s="8" t="s">
        <v>18322</v>
      </c>
      <c r="M3315" s="8" t="s">
        <v>27</v>
      </c>
      <c r="N3315" s="8" t="s">
        <v>18323</v>
      </c>
      <c r="O3315" s="8" t="s">
        <v>554</v>
      </c>
      <c r="P3315" s="8" t="s">
        <v>405</v>
      </c>
      <c r="Q3315" s="12" t="s">
        <v>18324</v>
      </c>
      <c r="R3315" s="8" t="s">
        <v>100</v>
      </c>
      <c r="S3315" s="7" t="s">
        <v>28</v>
      </c>
      <c r="T3315" s="6"/>
      <c r="U3315" s="8"/>
    </row>
    <row r="3316" spans="1:39" ht="15" customHeight="1">
      <c r="A3316" s="8" t="s">
        <v>18314</v>
      </c>
      <c r="B3316" s="16" t="s">
        <v>16202</v>
      </c>
      <c r="C3316" s="8" t="s">
        <v>20</v>
      </c>
      <c r="D3316" s="8" t="s">
        <v>48</v>
      </c>
      <c r="F3316" s="17">
        <v>41330</v>
      </c>
      <c r="G3316" s="8" t="s">
        <v>18315</v>
      </c>
      <c r="H3316" s="8" t="s">
        <v>791</v>
      </c>
      <c r="I3316" s="8" t="s">
        <v>45</v>
      </c>
      <c r="J3316" s="16" t="s">
        <v>12437</v>
      </c>
      <c r="K3316" s="2" t="s">
        <v>791</v>
      </c>
      <c r="L3316" s="8" t="s">
        <v>6009</v>
      </c>
      <c r="M3316" s="8" t="s">
        <v>27</v>
      </c>
      <c r="N3316" s="8" t="s">
        <v>18316</v>
      </c>
      <c r="O3316" s="8" t="s">
        <v>29</v>
      </c>
      <c r="P3316" s="8" t="s">
        <v>405</v>
      </c>
      <c r="Q3316" s="12" t="s">
        <v>18317</v>
      </c>
      <c r="R3316" s="8" t="s">
        <v>100</v>
      </c>
      <c r="S3316" s="7" t="s">
        <v>28</v>
      </c>
      <c r="T3316" s="6"/>
      <c r="U3316" s="8"/>
    </row>
    <row r="3317" spans="1:39" ht="15" customHeight="1">
      <c r="A3317" s="8" t="s">
        <v>18336</v>
      </c>
      <c r="B3317" s="16" t="s">
        <v>17761</v>
      </c>
      <c r="C3317" s="8" t="s">
        <v>20</v>
      </c>
      <c r="D3317" s="8" t="s">
        <v>37</v>
      </c>
      <c r="E3317" s="8" t="s">
        <v>18337</v>
      </c>
      <c r="F3317" s="17">
        <v>41329</v>
      </c>
      <c r="G3317" s="8" t="s">
        <v>18338</v>
      </c>
      <c r="H3317" s="8" t="s">
        <v>18339</v>
      </c>
      <c r="I3317" s="8" t="s">
        <v>41</v>
      </c>
      <c r="J3317" s="16" t="s">
        <v>18340</v>
      </c>
      <c r="K3317" s="2" t="s">
        <v>6930</v>
      </c>
      <c r="L3317" s="8" t="s">
        <v>18341</v>
      </c>
      <c r="M3317" s="8" t="s">
        <v>27</v>
      </c>
      <c r="N3317" s="8" t="s">
        <v>18342</v>
      </c>
      <c r="O3317" s="8" t="s">
        <v>554</v>
      </c>
      <c r="P3317" s="8" t="s">
        <v>405</v>
      </c>
      <c r="Q3317" s="12" t="s">
        <v>18343</v>
      </c>
      <c r="R3317" s="8" t="s">
        <v>559</v>
      </c>
      <c r="S3317" s="7" t="s">
        <v>28</v>
      </c>
      <c r="T3317" s="6"/>
      <c r="U3317" s="8"/>
    </row>
    <row r="3318" spans="1:39" ht="15" customHeight="1">
      <c r="A3318" s="8" t="s">
        <v>18331</v>
      </c>
      <c r="B3318" s="16">
        <v>25</v>
      </c>
      <c r="C3318" s="8" t="s">
        <v>20</v>
      </c>
      <c r="D3318" s="8" t="s">
        <v>48</v>
      </c>
      <c r="F3318" s="17">
        <v>41329</v>
      </c>
      <c r="G3318" s="8" t="s">
        <v>18332</v>
      </c>
      <c r="H3318" s="8" t="s">
        <v>98</v>
      </c>
      <c r="I3318" s="8" t="s">
        <v>45</v>
      </c>
      <c r="J3318" s="16" t="s">
        <v>18333</v>
      </c>
      <c r="K3318" s="2" t="s">
        <v>98</v>
      </c>
      <c r="L3318" s="8" t="s">
        <v>99</v>
      </c>
      <c r="M3318" s="8" t="s">
        <v>27</v>
      </c>
      <c r="N3318" s="8" t="s">
        <v>18334</v>
      </c>
      <c r="O3318" s="8" t="s">
        <v>1018</v>
      </c>
      <c r="P3318" s="8" t="s">
        <v>405</v>
      </c>
      <c r="Q3318" s="12" t="s">
        <v>18335</v>
      </c>
      <c r="R3318" s="8" t="s">
        <v>559</v>
      </c>
      <c r="S3318" s="7" t="s">
        <v>28</v>
      </c>
      <c r="T3318" s="6"/>
      <c r="U3318" s="8"/>
    </row>
    <row r="3319" spans="1:39" ht="15" customHeight="1">
      <c r="A3319" s="8" t="s">
        <v>11609</v>
      </c>
      <c r="B3319" s="16">
        <v>33</v>
      </c>
      <c r="C3319" s="8" t="s">
        <v>20</v>
      </c>
      <c r="D3319" s="8" t="s">
        <v>37</v>
      </c>
      <c r="E3319" s="8" t="s">
        <v>11610</v>
      </c>
      <c r="F3319" s="17">
        <v>41328</v>
      </c>
      <c r="G3319" s="8" t="s">
        <v>11611</v>
      </c>
      <c r="H3319" s="8" t="s">
        <v>846</v>
      </c>
      <c r="I3319" s="8" t="s">
        <v>306</v>
      </c>
      <c r="J3319" s="16" t="s">
        <v>11612</v>
      </c>
      <c r="K3319" s="2" t="s">
        <v>846</v>
      </c>
      <c r="L3319" s="8" t="s">
        <v>16763</v>
      </c>
      <c r="M3319" s="8" t="s">
        <v>18363</v>
      </c>
      <c r="N3319" s="8" t="s">
        <v>11614</v>
      </c>
      <c r="O3319" s="8" t="s">
        <v>554</v>
      </c>
      <c r="P3319" s="8" t="s">
        <v>405</v>
      </c>
      <c r="Q3319" s="12" t="s">
        <v>11615</v>
      </c>
      <c r="R3319" s="8" t="s">
        <v>972</v>
      </c>
      <c r="S3319" s="7" t="s">
        <v>28</v>
      </c>
      <c r="T3319" s="6"/>
      <c r="U3319" s="8"/>
    </row>
    <row r="3320" spans="1:39" ht="15" customHeight="1">
      <c r="A3320" s="8" t="s">
        <v>18351</v>
      </c>
      <c r="B3320" s="16" t="s">
        <v>14120</v>
      </c>
      <c r="C3320" s="8" t="s">
        <v>20</v>
      </c>
      <c r="D3320" s="8" t="s">
        <v>37</v>
      </c>
      <c r="F3320" s="17">
        <v>41328</v>
      </c>
      <c r="G3320" s="8" t="s">
        <v>18352</v>
      </c>
      <c r="H3320" s="8" t="s">
        <v>13976</v>
      </c>
      <c r="I3320" s="8" t="s">
        <v>272</v>
      </c>
      <c r="J3320" s="16" t="s">
        <v>18353</v>
      </c>
      <c r="K3320" s="2" t="s">
        <v>6321</v>
      </c>
      <c r="L3320" s="8" t="s">
        <v>7556</v>
      </c>
      <c r="M3320" s="8" t="s">
        <v>27</v>
      </c>
      <c r="N3320" s="8" t="s">
        <v>18354</v>
      </c>
      <c r="O3320" s="8" t="s">
        <v>554</v>
      </c>
      <c r="P3320" s="8" t="s">
        <v>405</v>
      </c>
      <c r="Q3320" s="12" t="s">
        <v>18355</v>
      </c>
      <c r="R3320" s="8" t="s">
        <v>559</v>
      </c>
      <c r="S3320" s="7" t="s">
        <v>28</v>
      </c>
      <c r="T3320" s="6"/>
      <c r="U3320" s="8"/>
    </row>
    <row r="3321" spans="1:39" ht="15" customHeight="1">
      <c r="A3321" s="8" t="s">
        <v>18356</v>
      </c>
      <c r="B3321" s="16">
        <v>33</v>
      </c>
      <c r="C3321" s="8" t="s">
        <v>20</v>
      </c>
      <c r="D3321" s="8" t="s">
        <v>37</v>
      </c>
      <c r="E3321" s="8" t="s">
        <v>18357</v>
      </c>
      <c r="F3321" s="17">
        <v>41328</v>
      </c>
      <c r="G3321" s="8" t="s">
        <v>18358</v>
      </c>
      <c r="H3321" s="8" t="s">
        <v>1777</v>
      </c>
      <c r="I3321" s="8" t="s">
        <v>45</v>
      </c>
      <c r="J3321" s="16" t="s">
        <v>18359</v>
      </c>
      <c r="K3321" s="2" t="s">
        <v>1779</v>
      </c>
      <c r="L3321" s="8" t="s">
        <v>18360</v>
      </c>
      <c r="M3321" s="8" t="s">
        <v>27</v>
      </c>
      <c r="N3321" s="8" t="s">
        <v>18361</v>
      </c>
      <c r="O3321" s="8" t="s">
        <v>404</v>
      </c>
      <c r="P3321" s="8" t="s">
        <v>405</v>
      </c>
      <c r="Q3321" s="12" t="s">
        <v>18362</v>
      </c>
      <c r="R3321" s="8" t="s">
        <v>100</v>
      </c>
      <c r="S3321" s="7" t="s">
        <v>28</v>
      </c>
      <c r="T3321" s="6"/>
      <c r="U3321" s="8"/>
    </row>
    <row r="3322" spans="1:39" ht="15" customHeight="1">
      <c r="A3322" s="8" t="s">
        <v>18344</v>
      </c>
      <c r="B3322" s="16">
        <v>51</v>
      </c>
      <c r="C3322" s="8" t="s">
        <v>20</v>
      </c>
      <c r="D3322" s="8" t="s">
        <v>30</v>
      </c>
      <c r="F3322" s="17">
        <v>41328</v>
      </c>
      <c r="G3322" s="8" t="s">
        <v>18345</v>
      </c>
      <c r="H3322" s="8" t="s">
        <v>18346</v>
      </c>
      <c r="I3322" s="8" t="s">
        <v>81</v>
      </c>
      <c r="J3322" s="16" t="s">
        <v>18347</v>
      </c>
      <c r="K3322" s="2" t="s">
        <v>42</v>
      </c>
      <c r="L3322" s="8" t="s">
        <v>18348</v>
      </c>
      <c r="M3322" s="8" t="s">
        <v>27</v>
      </c>
      <c r="N3322" s="8" t="s">
        <v>18349</v>
      </c>
      <c r="O3322" s="8" t="s">
        <v>1018</v>
      </c>
      <c r="P3322" s="8" t="s">
        <v>405</v>
      </c>
      <c r="Q3322" s="12" t="s">
        <v>18350</v>
      </c>
      <c r="R3322" s="8" t="s">
        <v>29</v>
      </c>
      <c r="S3322" s="7" t="s">
        <v>28</v>
      </c>
      <c r="T3322" s="6"/>
      <c r="U3322" s="8"/>
    </row>
    <row r="3323" spans="1:39" ht="15" customHeight="1">
      <c r="A3323" s="8" t="s">
        <v>18364</v>
      </c>
      <c r="B3323" s="16" t="s">
        <v>16371</v>
      </c>
      <c r="C3323" s="8" t="s">
        <v>20</v>
      </c>
      <c r="D3323" s="8" t="s">
        <v>48</v>
      </c>
      <c r="E3323" s="8" t="s">
        <v>18365</v>
      </c>
      <c r="F3323" s="17">
        <v>41327</v>
      </c>
      <c r="G3323" s="8" t="s">
        <v>18366</v>
      </c>
      <c r="H3323" s="8" t="s">
        <v>579</v>
      </c>
      <c r="I3323" s="8" t="s">
        <v>73</v>
      </c>
      <c r="J3323" s="16" t="s">
        <v>1844</v>
      </c>
      <c r="K3323" s="2" t="s">
        <v>580</v>
      </c>
      <c r="L3323" s="8" t="s">
        <v>581</v>
      </c>
      <c r="M3323" s="8" t="s">
        <v>27</v>
      </c>
      <c r="N3323" s="8" t="s">
        <v>18367</v>
      </c>
      <c r="O3323" s="8" t="s">
        <v>554</v>
      </c>
      <c r="P3323" s="8" t="s">
        <v>405</v>
      </c>
      <c r="Q3323" s="12" t="s">
        <v>18368</v>
      </c>
      <c r="R3323" s="8" t="s">
        <v>100</v>
      </c>
      <c r="S3323" s="7" t="s">
        <v>28</v>
      </c>
      <c r="T3323" s="6"/>
      <c r="U3323" s="8"/>
    </row>
    <row r="3324" spans="1:39" ht="15" customHeight="1">
      <c r="A3324" s="8" t="s">
        <v>18369</v>
      </c>
      <c r="B3324" s="16">
        <v>29</v>
      </c>
      <c r="C3324" s="8" t="s">
        <v>20</v>
      </c>
      <c r="D3324" s="8" t="s">
        <v>37</v>
      </c>
      <c r="E3324" s="8" t="s">
        <v>18370</v>
      </c>
      <c r="F3324" s="17">
        <v>41327</v>
      </c>
      <c r="G3324" s="8" t="s">
        <v>18371</v>
      </c>
      <c r="H3324" s="8" t="s">
        <v>4234</v>
      </c>
      <c r="I3324" s="8" t="s">
        <v>435</v>
      </c>
      <c r="J3324" s="16" t="s">
        <v>18372</v>
      </c>
      <c r="K3324" s="2" t="s">
        <v>5008</v>
      </c>
      <c r="L3324" s="8" t="s">
        <v>4237</v>
      </c>
      <c r="M3324" s="8" t="s">
        <v>27</v>
      </c>
      <c r="N3324" s="8" t="s">
        <v>18373</v>
      </c>
      <c r="O3324" s="8" t="s">
        <v>554</v>
      </c>
      <c r="P3324" s="8" t="s">
        <v>405</v>
      </c>
      <c r="Q3324" s="12" t="s">
        <v>18374</v>
      </c>
      <c r="S3324" s="7" t="s">
        <v>28</v>
      </c>
      <c r="T3324" s="6"/>
      <c r="U3324" s="8"/>
    </row>
    <row r="3325" spans="1:39" ht="15" customHeight="1">
      <c r="A3325" s="8" t="s">
        <v>18382</v>
      </c>
      <c r="B3325" s="16">
        <v>19</v>
      </c>
      <c r="C3325" s="8" t="s">
        <v>20</v>
      </c>
      <c r="D3325" s="8" t="s">
        <v>85</v>
      </c>
      <c r="F3325" s="17">
        <v>41326</v>
      </c>
      <c r="G3325" s="8" t="s">
        <v>18383</v>
      </c>
      <c r="H3325" s="8" t="s">
        <v>493</v>
      </c>
      <c r="I3325" s="8" t="s">
        <v>45</v>
      </c>
      <c r="J3325" s="16" t="s">
        <v>18384</v>
      </c>
      <c r="K3325" s="2" t="s">
        <v>98</v>
      </c>
      <c r="L3325" s="8" t="s">
        <v>494</v>
      </c>
      <c r="M3325" s="8" t="s">
        <v>27</v>
      </c>
      <c r="N3325" s="8" t="s">
        <v>18385</v>
      </c>
      <c r="O3325" s="8" t="s">
        <v>1018</v>
      </c>
      <c r="P3325" s="8" t="s">
        <v>405</v>
      </c>
      <c r="Q3325" s="12" t="s">
        <v>18386</v>
      </c>
      <c r="R3325" s="8" t="s">
        <v>100</v>
      </c>
      <c r="S3325" s="7" t="s">
        <v>28</v>
      </c>
      <c r="T3325" s="6"/>
      <c r="U3325" s="8"/>
    </row>
    <row r="3326" spans="1:39" ht="15" customHeight="1">
      <c r="A3326" s="8" t="s">
        <v>18393</v>
      </c>
      <c r="B3326" s="16">
        <v>72</v>
      </c>
      <c r="C3326" s="8" t="s">
        <v>20</v>
      </c>
      <c r="D3326" s="8" t="s">
        <v>30</v>
      </c>
      <c r="F3326" s="17">
        <v>41326</v>
      </c>
      <c r="G3326" s="8" t="s">
        <v>18394</v>
      </c>
      <c r="H3326" s="8" t="s">
        <v>18395</v>
      </c>
      <c r="I3326" s="8" t="s">
        <v>408</v>
      </c>
      <c r="J3326" s="16">
        <v>17345</v>
      </c>
      <c r="K3326" s="2" t="s">
        <v>1620</v>
      </c>
      <c r="L3326" s="8" t="s">
        <v>18396</v>
      </c>
      <c r="M3326" s="8" t="s">
        <v>27</v>
      </c>
      <c r="N3326" s="8" t="s">
        <v>18397</v>
      </c>
      <c r="O3326" s="8" t="s">
        <v>554</v>
      </c>
      <c r="P3326" s="8" t="s">
        <v>405</v>
      </c>
      <c r="Q3326" s="12" t="s">
        <v>18398</v>
      </c>
      <c r="R3326" s="8" t="s">
        <v>559</v>
      </c>
      <c r="S3326" s="7" t="s">
        <v>28</v>
      </c>
      <c r="T3326" s="6"/>
      <c r="U3326" s="8"/>
    </row>
    <row r="3327" spans="1:39" ht="15" customHeight="1">
      <c r="A3327" s="8" t="s">
        <v>18399</v>
      </c>
      <c r="B3327" s="16">
        <v>72</v>
      </c>
      <c r="C3327" s="8" t="s">
        <v>20</v>
      </c>
      <c r="D3327" s="8" t="s">
        <v>37</v>
      </c>
      <c r="E3327" s="8" t="s">
        <v>18400</v>
      </c>
      <c r="F3327" s="17">
        <v>41326</v>
      </c>
      <c r="G3327" s="8" t="s">
        <v>18401</v>
      </c>
      <c r="H3327" s="8" t="s">
        <v>6255</v>
      </c>
      <c r="I3327" s="8" t="s">
        <v>408</v>
      </c>
      <c r="J3327" s="16" t="s">
        <v>18402</v>
      </c>
      <c r="K3327" s="2" t="s">
        <v>1620</v>
      </c>
      <c r="L3327" s="8" t="s">
        <v>18403</v>
      </c>
      <c r="M3327" s="8" t="s">
        <v>27</v>
      </c>
      <c r="N3327" s="8" t="s">
        <v>18404</v>
      </c>
      <c r="O3327" s="8" t="s">
        <v>554</v>
      </c>
      <c r="P3327" s="8" t="s">
        <v>405</v>
      </c>
      <c r="Q3327" s="12" t="s">
        <v>18405</v>
      </c>
      <c r="R3327" s="8" t="s">
        <v>559</v>
      </c>
      <c r="S3327" s="7" t="s">
        <v>28</v>
      </c>
      <c r="T3327" s="6"/>
      <c r="U3327" s="8"/>
    </row>
    <row r="3328" spans="1:39" ht="15" customHeight="1">
      <c r="A3328" s="8" t="s">
        <v>18375</v>
      </c>
      <c r="B3328" s="16">
        <v>24</v>
      </c>
      <c r="C3328" s="8" t="s">
        <v>20</v>
      </c>
      <c r="D3328" s="8" t="s">
        <v>21</v>
      </c>
      <c r="E3328" s="8" t="s">
        <v>18376</v>
      </c>
      <c r="F3328" s="17">
        <v>41326</v>
      </c>
      <c r="G3328" s="8" t="s">
        <v>18377</v>
      </c>
      <c r="H3328" s="8" t="s">
        <v>18378</v>
      </c>
      <c r="I3328" s="8" t="s">
        <v>427</v>
      </c>
      <c r="J3328" s="16" t="s">
        <v>18379</v>
      </c>
      <c r="K3328" s="2" t="s">
        <v>2702</v>
      </c>
      <c r="L3328" s="8" t="s">
        <v>586</v>
      </c>
      <c r="M3328" s="8" t="s">
        <v>383</v>
      </c>
      <c r="N3328" s="8" t="s">
        <v>18380</v>
      </c>
      <c r="O3328" s="8" t="s">
        <v>1018</v>
      </c>
      <c r="P3328" s="8" t="s">
        <v>405</v>
      </c>
      <c r="Q3328" s="12" t="s">
        <v>18381</v>
      </c>
      <c r="R3328" s="8" t="s">
        <v>100</v>
      </c>
      <c r="S3328" s="7" t="s">
        <v>28</v>
      </c>
      <c r="T3328" s="6"/>
      <c r="U3328" s="8"/>
      <c r="AI3328" s="8"/>
      <c r="AJ3328" s="8"/>
      <c r="AK3328" s="8"/>
      <c r="AL3328" s="8"/>
      <c r="AM3328" s="8"/>
    </row>
    <row r="3329" spans="1:34" ht="15" customHeight="1">
      <c r="A3329" s="8" t="s">
        <v>18387</v>
      </c>
      <c r="B3329" s="16">
        <v>44</v>
      </c>
      <c r="C3329" s="8" t="s">
        <v>20</v>
      </c>
      <c r="D3329" s="8" t="s">
        <v>48</v>
      </c>
      <c r="F3329" s="17">
        <v>41326</v>
      </c>
      <c r="G3329" s="8" t="s">
        <v>18388</v>
      </c>
      <c r="H3329" s="8" t="s">
        <v>4136</v>
      </c>
      <c r="I3329" s="8" t="s">
        <v>408</v>
      </c>
      <c r="J3329" s="16" t="s">
        <v>18389</v>
      </c>
      <c r="K3329" s="2" t="s">
        <v>4138</v>
      </c>
      <c r="L3329" s="8" t="s">
        <v>18390</v>
      </c>
      <c r="M3329" s="8" t="s">
        <v>3364</v>
      </c>
      <c r="N3329" s="8" t="s">
        <v>18391</v>
      </c>
      <c r="O3329" s="8" t="s">
        <v>554</v>
      </c>
      <c r="P3329" s="8" t="s">
        <v>405</v>
      </c>
      <c r="Q3329" s="12" t="s">
        <v>18392</v>
      </c>
      <c r="R3329" s="8" t="s">
        <v>559</v>
      </c>
      <c r="S3329" s="7" t="s">
        <v>28</v>
      </c>
      <c r="T3329" s="6"/>
      <c r="U3329" s="8"/>
      <c r="Y3329" s="8"/>
      <c r="Z3329" s="8"/>
      <c r="AA3329" s="8"/>
      <c r="AB3329" s="8"/>
      <c r="AC3329" s="8"/>
      <c r="AD3329" s="8"/>
      <c r="AE3329" s="8"/>
      <c r="AF3329" s="8"/>
      <c r="AG3329" s="8"/>
      <c r="AH3329" s="8"/>
    </row>
    <row r="3330" spans="1:34" ht="15" customHeight="1">
      <c r="A3330" s="8" t="s">
        <v>18412</v>
      </c>
      <c r="B3330" s="16">
        <v>27</v>
      </c>
      <c r="C3330" s="8" t="s">
        <v>20</v>
      </c>
      <c r="D3330" s="8" t="s">
        <v>30</v>
      </c>
      <c r="F3330" s="17">
        <v>41325</v>
      </c>
      <c r="G3330" s="8" t="s">
        <v>18413</v>
      </c>
      <c r="H3330" s="8" t="s">
        <v>9936</v>
      </c>
      <c r="I3330" s="8" t="s">
        <v>62</v>
      </c>
      <c r="J3330" s="16" t="s">
        <v>13616</v>
      </c>
      <c r="K3330" s="2" t="s">
        <v>2331</v>
      </c>
      <c r="L3330" s="8" t="s">
        <v>13617</v>
      </c>
      <c r="M3330" s="8" t="s">
        <v>383</v>
      </c>
      <c r="N3330" s="8" t="s">
        <v>18414</v>
      </c>
      <c r="O3330" s="8" t="s">
        <v>1018</v>
      </c>
      <c r="P3330" s="8" t="s">
        <v>405</v>
      </c>
      <c r="Q3330" s="12" t="s">
        <v>18415</v>
      </c>
      <c r="R3330" s="8" t="s">
        <v>100</v>
      </c>
      <c r="S3330" s="7" t="s">
        <v>28</v>
      </c>
      <c r="T3330" s="6"/>
      <c r="U3330" s="8"/>
    </row>
    <row r="3331" spans="1:34" ht="15" customHeight="1">
      <c r="A3331" s="8" t="s">
        <v>18406</v>
      </c>
      <c r="B3331" s="16" t="s">
        <v>16209</v>
      </c>
      <c r="C3331" s="8" t="s">
        <v>20</v>
      </c>
      <c r="D3331" s="8" t="s">
        <v>85</v>
      </c>
      <c r="E3331" s="8" t="s">
        <v>18407</v>
      </c>
      <c r="F3331" s="17">
        <v>41325</v>
      </c>
      <c r="G3331" s="8" t="s">
        <v>18408</v>
      </c>
      <c r="H3331" s="8" t="s">
        <v>1818</v>
      </c>
      <c r="I3331" s="8" t="s">
        <v>220</v>
      </c>
      <c r="J3331" s="16" t="s">
        <v>18409</v>
      </c>
      <c r="K3331" s="2" t="s">
        <v>1820</v>
      </c>
      <c r="L3331" s="8" t="s">
        <v>1821</v>
      </c>
      <c r="M3331" s="8" t="s">
        <v>27</v>
      </c>
      <c r="N3331" s="8" t="s">
        <v>18410</v>
      </c>
      <c r="O3331" s="8" t="s">
        <v>554</v>
      </c>
      <c r="P3331" s="8" t="s">
        <v>405</v>
      </c>
      <c r="Q3331" s="12" t="s">
        <v>18411</v>
      </c>
      <c r="R3331" s="8" t="s">
        <v>100</v>
      </c>
      <c r="S3331" s="7" t="s">
        <v>28</v>
      </c>
      <c r="T3331" s="6"/>
      <c r="U3331" s="8"/>
    </row>
    <row r="3332" spans="1:34" ht="15" customHeight="1">
      <c r="A3332" s="8" t="s">
        <v>18427</v>
      </c>
      <c r="B3332" s="16">
        <v>25</v>
      </c>
      <c r="C3332" s="8" t="s">
        <v>20</v>
      </c>
      <c r="D3332" s="8" t="s">
        <v>37</v>
      </c>
      <c r="E3332" s="8" t="s">
        <v>18428</v>
      </c>
      <c r="F3332" s="17">
        <v>41324</v>
      </c>
      <c r="G3332" s="8" t="s">
        <v>18429</v>
      </c>
      <c r="H3332" s="8" t="s">
        <v>4473</v>
      </c>
      <c r="I3332" s="8" t="s">
        <v>334</v>
      </c>
      <c r="J3332" s="16" t="s">
        <v>18430</v>
      </c>
      <c r="K3332" s="2" t="s">
        <v>4473</v>
      </c>
      <c r="L3332" s="8" t="s">
        <v>4475</v>
      </c>
      <c r="M3332" s="8" t="s">
        <v>27</v>
      </c>
      <c r="N3332" s="8" t="s">
        <v>18431</v>
      </c>
      <c r="O3332" s="8" t="s">
        <v>554</v>
      </c>
      <c r="P3332" s="8" t="s">
        <v>405</v>
      </c>
      <c r="Q3332" s="12" t="s">
        <v>18432</v>
      </c>
      <c r="R3332" s="8" t="s">
        <v>29</v>
      </c>
      <c r="S3332" s="7" t="s">
        <v>28</v>
      </c>
      <c r="T3332" s="6"/>
      <c r="U3332" s="8"/>
      <c r="Y3332" s="8"/>
      <c r="Z3332" s="8"/>
      <c r="AA3332" s="8"/>
      <c r="AB3332" s="8"/>
      <c r="AC3332" s="8"/>
      <c r="AD3332" s="8"/>
      <c r="AE3332" s="8"/>
      <c r="AF3332" s="8"/>
      <c r="AG3332" s="8"/>
      <c r="AH3332" s="8"/>
    </row>
    <row r="3333" spans="1:34" ht="15" customHeight="1">
      <c r="A3333" s="8" t="s">
        <v>18422</v>
      </c>
      <c r="B3333" s="16">
        <v>32</v>
      </c>
      <c r="C3333" s="8" t="s">
        <v>20</v>
      </c>
      <c r="D3333" s="8" t="s">
        <v>48</v>
      </c>
      <c r="F3333" s="17">
        <v>41324</v>
      </c>
      <c r="G3333" s="8" t="s">
        <v>18423</v>
      </c>
      <c r="H3333" s="8" t="s">
        <v>661</v>
      </c>
      <c r="I3333" s="8" t="s">
        <v>272</v>
      </c>
      <c r="J3333" s="16" t="s">
        <v>18424</v>
      </c>
      <c r="K3333" s="2" t="s">
        <v>574</v>
      </c>
      <c r="L3333" s="8" t="s">
        <v>409</v>
      </c>
      <c r="M3333" s="8" t="s">
        <v>27</v>
      </c>
      <c r="N3333" s="8" t="s">
        <v>18425</v>
      </c>
      <c r="O3333" s="8" t="s">
        <v>554</v>
      </c>
      <c r="P3333" s="8" t="s">
        <v>405</v>
      </c>
      <c r="Q3333" s="12" t="s">
        <v>18426</v>
      </c>
      <c r="R3333" s="8" t="s">
        <v>100</v>
      </c>
      <c r="S3333" s="7" t="s">
        <v>28</v>
      </c>
      <c r="T3333" s="6"/>
      <c r="U3333" s="8"/>
    </row>
    <row r="3334" spans="1:34" ht="15" customHeight="1">
      <c r="A3334" s="8" t="s">
        <v>18416</v>
      </c>
      <c r="B3334" s="16">
        <v>23</v>
      </c>
      <c r="C3334" s="8" t="s">
        <v>20</v>
      </c>
      <c r="D3334" s="8" t="s">
        <v>85</v>
      </c>
      <c r="E3334" s="8" t="s">
        <v>18417</v>
      </c>
      <c r="F3334" s="17">
        <v>41324</v>
      </c>
      <c r="G3334" s="8" t="s">
        <v>18418</v>
      </c>
      <c r="H3334" s="8" t="s">
        <v>657</v>
      </c>
      <c r="I3334" s="8" t="s">
        <v>62</v>
      </c>
      <c r="J3334" s="16" t="s">
        <v>18419</v>
      </c>
      <c r="K3334" s="2" t="s">
        <v>658</v>
      </c>
      <c r="L3334" s="8" t="s">
        <v>659</v>
      </c>
      <c r="M3334" s="8" t="s">
        <v>27</v>
      </c>
      <c r="N3334" s="8" t="s">
        <v>18420</v>
      </c>
      <c r="O3334" s="8" t="s">
        <v>1018</v>
      </c>
      <c r="P3334" s="8" t="s">
        <v>405</v>
      </c>
      <c r="Q3334" s="12" t="s">
        <v>18421</v>
      </c>
      <c r="R3334" s="8" t="s">
        <v>100</v>
      </c>
      <c r="S3334" s="7" t="s">
        <v>28</v>
      </c>
      <c r="T3334" s="6"/>
      <c r="U3334" s="8"/>
    </row>
    <row r="3335" spans="1:34" ht="15" customHeight="1">
      <c r="A3335" s="8" t="s">
        <v>18433</v>
      </c>
      <c r="B3335" s="16">
        <v>89</v>
      </c>
      <c r="C3335" s="8" t="s">
        <v>115</v>
      </c>
      <c r="D3335" s="8" t="s">
        <v>37</v>
      </c>
      <c r="F3335" s="17">
        <v>41324</v>
      </c>
      <c r="G3335" s="8" t="s">
        <v>18434</v>
      </c>
      <c r="H3335" s="8" t="s">
        <v>18435</v>
      </c>
      <c r="I3335" s="8" t="s">
        <v>408</v>
      </c>
      <c r="J3335" s="16" t="s">
        <v>18436</v>
      </c>
      <c r="K3335" s="2" t="s">
        <v>17708</v>
      </c>
      <c r="L3335" s="8" t="s">
        <v>18437</v>
      </c>
      <c r="M3335" s="8" t="s">
        <v>27</v>
      </c>
      <c r="N3335" s="8" t="s">
        <v>18438</v>
      </c>
      <c r="O3335" s="8" t="s">
        <v>554</v>
      </c>
      <c r="P3335" s="8" t="s">
        <v>405</v>
      </c>
      <c r="Q3335" s="12"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335" s="8" t="s">
        <v>100</v>
      </c>
      <c r="S3335" s="7" t="s">
        <v>28</v>
      </c>
      <c r="T3335" s="6"/>
      <c r="U3335" s="8"/>
    </row>
    <row r="3336" spans="1:34" ht="15" customHeight="1">
      <c r="A3336" s="8" t="s">
        <v>18446</v>
      </c>
      <c r="B3336" s="16">
        <v>31</v>
      </c>
      <c r="C3336" s="8" t="s">
        <v>20</v>
      </c>
      <c r="D3336" s="8" t="s">
        <v>37</v>
      </c>
      <c r="E3336" s="8" t="s">
        <v>18447</v>
      </c>
      <c r="F3336" s="17">
        <v>41323</v>
      </c>
      <c r="G3336" s="8" t="s">
        <v>18448</v>
      </c>
      <c r="H3336" s="8" t="s">
        <v>16832</v>
      </c>
      <c r="I3336" s="8" t="s">
        <v>57</v>
      </c>
      <c r="J3336" s="16" t="s">
        <v>18449</v>
      </c>
      <c r="K3336" s="2" t="s">
        <v>4129</v>
      </c>
      <c r="L3336" s="8" t="s">
        <v>18450</v>
      </c>
      <c r="M3336" s="8" t="s">
        <v>27</v>
      </c>
      <c r="N3336" s="8" t="s">
        <v>18451</v>
      </c>
      <c r="O3336" s="8" t="s">
        <v>554</v>
      </c>
      <c r="P3336" s="8" t="s">
        <v>405</v>
      </c>
      <c r="Q3336" s="12" t="s">
        <v>18452</v>
      </c>
      <c r="R3336" s="8" t="s">
        <v>29</v>
      </c>
      <c r="S3336" s="7" t="s">
        <v>28</v>
      </c>
      <c r="T3336" s="6"/>
      <c r="U3336" s="8"/>
      <c r="Y3336" s="8"/>
      <c r="Z3336" s="8"/>
      <c r="AA3336" s="8"/>
      <c r="AB3336" s="8"/>
      <c r="AC3336" s="8"/>
      <c r="AD3336" s="8"/>
      <c r="AE3336" s="8"/>
      <c r="AF3336" s="8"/>
      <c r="AG3336" s="8"/>
      <c r="AH3336" s="8"/>
    </row>
    <row r="3337" spans="1:34" ht="15" customHeight="1">
      <c r="A3337" s="8" t="s">
        <v>18453</v>
      </c>
      <c r="B3337" s="16">
        <v>35</v>
      </c>
      <c r="C3337" s="8" t="s">
        <v>20</v>
      </c>
      <c r="D3337" s="8" t="s">
        <v>37</v>
      </c>
      <c r="E3337" s="8" t="s">
        <v>18454</v>
      </c>
      <c r="F3337" s="17">
        <v>41323</v>
      </c>
      <c r="G3337" s="8" t="s">
        <v>18455</v>
      </c>
      <c r="H3337" s="8" t="s">
        <v>1658</v>
      </c>
      <c r="I3337" s="8" t="s">
        <v>45</v>
      </c>
      <c r="J3337" s="16" t="s">
        <v>18456</v>
      </c>
      <c r="K3337" s="2" t="s">
        <v>1658</v>
      </c>
      <c r="L3337" s="8" t="s">
        <v>18457</v>
      </c>
      <c r="M3337" s="8" t="s">
        <v>27</v>
      </c>
      <c r="N3337" s="8" t="s">
        <v>18458</v>
      </c>
      <c r="O3337" s="8" t="s">
        <v>1018</v>
      </c>
      <c r="P3337" s="8" t="s">
        <v>405</v>
      </c>
      <c r="Q3337" s="12" t="s">
        <v>18459</v>
      </c>
      <c r="R3337" s="8" t="s">
        <v>559</v>
      </c>
      <c r="S3337" s="7" t="s">
        <v>28</v>
      </c>
      <c r="T3337" s="6"/>
      <c r="U3337" s="8"/>
    </row>
    <row r="3338" spans="1:34" ht="15" customHeight="1">
      <c r="A3338" s="8" t="s">
        <v>18439</v>
      </c>
      <c r="B3338" s="16">
        <v>30</v>
      </c>
      <c r="C3338" s="8" t="s">
        <v>20</v>
      </c>
      <c r="D3338" s="8" t="s">
        <v>85</v>
      </c>
      <c r="E3338" s="8" t="s">
        <v>18440</v>
      </c>
      <c r="F3338" s="17">
        <v>41323</v>
      </c>
      <c r="G3338" s="8" t="s">
        <v>18441</v>
      </c>
      <c r="H3338" s="8" t="s">
        <v>343</v>
      </c>
      <c r="I3338" s="8" t="s">
        <v>247</v>
      </c>
      <c r="J3338" s="16" t="s">
        <v>18442</v>
      </c>
      <c r="K3338" s="2" t="s">
        <v>16982</v>
      </c>
      <c r="L3338" s="8" t="s">
        <v>18443</v>
      </c>
      <c r="M3338" s="8" t="s">
        <v>27</v>
      </c>
      <c r="N3338" s="8" t="s">
        <v>18444</v>
      </c>
      <c r="O3338" s="8" t="s">
        <v>554</v>
      </c>
      <c r="P3338" s="8" t="s">
        <v>405</v>
      </c>
      <c r="Q3338" s="12" t="s">
        <v>18445</v>
      </c>
      <c r="R3338" s="8" t="s">
        <v>100</v>
      </c>
      <c r="S3338" s="7" t="s">
        <v>28</v>
      </c>
      <c r="T3338" s="6"/>
      <c r="U3338" s="8"/>
      <c r="Y3338" s="8"/>
      <c r="Z3338" s="8"/>
      <c r="AA3338" s="8"/>
      <c r="AB3338" s="8"/>
      <c r="AC3338" s="8"/>
      <c r="AD3338" s="8"/>
      <c r="AE3338" s="8"/>
      <c r="AF3338" s="8"/>
      <c r="AG3338" s="8"/>
      <c r="AH3338" s="8"/>
    </row>
    <row r="3339" spans="1:34" ht="15" customHeight="1">
      <c r="A3339" s="8" t="s">
        <v>18460</v>
      </c>
      <c r="B3339" s="16">
        <v>50</v>
      </c>
      <c r="C3339" s="8" t="s">
        <v>20</v>
      </c>
      <c r="D3339" s="8" t="s">
        <v>37</v>
      </c>
      <c r="E3339" s="8" t="s">
        <v>18461</v>
      </c>
      <c r="F3339" s="17">
        <v>41322</v>
      </c>
      <c r="G3339" s="8" t="s">
        <v>18462</v>
      </c>
      <c r="H3339" s="8" t="s">
        <v>1577</v>
      </c>
      <c r="I3339" s="8" t="s">
        <v>118</v>
      </c>
      <c r="J3339" s="16" t="s">
        <v>18463</v>
      </c>
      <c r="K3339" s="2" t="s">
        <v>1579</v>
      </c>
      <c r="L3339" s="8" t="s">
        <v>18230</v>
      </c>
      <c r="M3339" s="8" t="s">
        <v>27</v>
      </c>
      <c r="N3339" s="8" t="s">
        <v>18464</v>
      </c>
      <c r="O3339" s="8" t="s">
        <v>13842</v>
      </c>
      <c r="P3339" s="8" t="s">
        <v>405</v>
      </c>
      <c r="Q3339" s="12" t="s">
        <v>18465</v>
      </c>
      <c r="R3339" s="8" t="s">
        <v>29</v>
      </c>
      <c r="S3339" s="7" t="s">
        <v>28</v>
      </c>
      <c r="T3339" s="6"/>
      <c r="U3339" s="8"/>
    </row>
    <row r="3340" spans="1:34" ht="15" customHeight="1">
      <c r="A3340" s="8" t="s">
        <v>18475</v>
      </c>
      <c r="B3340" s="16">
        <v>42</v>
      </c>
      <c r="C3340" s="8" t="s">
        <v>20</v>
      </c>
      <c r="D3340" s="8" t="s">
        <v>48</v>
      </c>
      <c r="E3340" s="8" t="s">
        <v>18476</v>
      </c>
      <c r="F3340" s="17">
        <v>41321</v>
      </c>
      <c r="G3340" s="8" t="s">
        <v>18477</v>
      </c>
      <c r="H3340" s="8" t="s">
        <v>10503</v>
      </c>
      <c r="I3340" s="8" t="s">
        <v>73</v>
      </c>
      <c r="J3340" s="16" t="s">
        <v>10504</v>
      </c>
      <c r="K3340" s="2" t="s">
        <v>74</v>
      </c>
      <c r="L3340" s="8" t="s">
        <v>4215</v>
      </c>
      <c r="M3340" s="8" t="s">
        <v>27</v>
      </c>
      <c r="N3340" s="8" t="s">
        <v>18478</v>
      </c>
      <c r="O3340" s="8" t="s">
        <v>554</v>
      </c>
      <c r="P3340" s="8" t="s">
        <v>405</v>
      </c>
      <c r="Q3340" s="12" t="s">
        <v>18479</v>
      </c>
      <c r="R3340" s="8" t="s">
        <v>100</v>
      </c>
      <c r="S3340" s="7" t="s">
        <v>28</v>
      </c>
      <c r="T3340" s="6"/>
      <c r="U3340" s="8"/>
    </row>
    <row r="3341" spans="1:34" ht="15" customHeight="1">
      <c r="A3341" s="8" t="s">
        <v>18466</v>
      </c>
      <c r="B3341" s="16">
        <v>30</v>
      </c>
      <c r="C3341" s="8" t="s">
        <v>20</v>
      </c>
      <c r="D3341" s="8" t="s">
        <v>85</v>
      </c>
      <c r="E3341" s="8" t="s">
        <v>18467</v>
      </c>
      <c r="F3341" s="17">
        <v>41321</v>
      </c>
      <c r="G3341" s="8" t="s">
        <v>18468</v>
      </c>
      <c r="H3341" s="8" t="s">
        <v>18469</v>
      </c>
      <c r="I3341" s="8" t="s">
        <v>427</v>
      </c>
      <c r="J3341" s="16" t="s">
        <v>18470</v>
      </c>
      <c r="K3341" s="2" t="s">
        <v>18471</v>
      </c>
      <c r="L3341" s="8" t="s">
        <v>18472</v>
      </c>
      <c r="M3341" s="8" t="s">
        <v>1706</v>
      </c>
      <c r="N3341" s="8" t="s">
        <v>18473</v>
      </c>
      <c r="O3341" s="8" t="s">
        <v>1018</v>
      </c>
      <c r="P3341" s="8" t="s">
        <v>405</v>
      </c>
      <c r="Q3341" s="12" t="s">
        <v>18474</v>
      </c>
      <c r="R3341" s="8" t="s">
        <v>100</v>
      </c>
      <c r="S3341" s="7" t="s">
        <v>18</v>
      </c>
      <c r="T3341" s="6"/>
      <c r="U3341" s="8"/>
    </row>
    <row r="3342" spans="1:34" ht="15" customHeight="1">
      <c r="A3342" s="8" t="s">
        <v>18486</v>
      </c>
      <c r="B3342" s="16">
        <v>63</v>
      </c>
      <c r="C3342" s="8" t="s">
        <v>20</v>
      </c>
      <c r="D3342" s="8" t="s">
        <v>30</v>
      </c>
      <c r="F3342" s="17">
        <v>41321</v>
      </c>
      <c r="G3342" s="8" t="s">
        <v>18487</v>
      </c>
      <c r="H3342" s="8" t="s">
        <v>2215</v>
      </c>
      <c r="I3342" s="8" t="s">
        <v>62</v>
      </c>
      <c r="J3342" s="16" t="s">
        <v>18488</v>
      </c>
      <c r="K3342" s="2" t="s">
        <v>1134</v>
      </c>
      <c r="L3342" s="8" t="s">
        <v>18489</v>
      </c>
      <c r="M3342" s="8" t="s">
        <v>383</v>
      </c>
      <c r="N3342" s="8" t="s">
        <v>18490</v>
      </c>
      <c r="O3342" s="8" t="s">
        <v>1018</v>
      </c>
      <c r="P3342" s="8" t="s">
        <v>405</v>
      </c>
      <c r="Q3342" s="12" t="s">
        <v>18491</v>
      </c>
      <c r="R3342" s="8" t="s">
        <v>100</v>
      </c>
      <c r="S3342" s="7" t="s">
        <v>28</v>
      </c>
      <c r="T3342" s="6"/>
      <c r="U3342" s="8"/>
    </row>
    <row r="3343" spans="1:34" ht="15" customHeight="1">
      <c r="A3343" s="8" t="s">
        <v>18480</v>
      </c>
      <c r="B3343" s="16">
        <v>29</v>
      </c>
      <c r="C3343" s="8" t="s">
        <v>20</v>
      </c>
      <c r="D3343" s="8" t="s">
        <v>48</v>
      </c>
      <c r="E3343" s="8" t="s">
        <v>18481</v>
      </c>
      <c r="F3343" s="17">
        <v>41321</v>
      </c>
      <c r="G3343" s="8" t="s">
        <v>18482</v>
      </c>
      <c r="H3343" s="8" t="s">
        <v>2513</v>
      </c>
      <c r="I3343" s="8" t="s">
        <v>399</v>
      </c>
      <c r="J3343" s="16" t="s">
        <v>18483</v>
      </c>
      <c r="K3343" s="2" t="s">
        <v>2513</v>
      </c>
      <c r="L3343" s="8" t="s">
        <v>3419</v>
      </c>
      <c r="M3343" s="8" t="s">
        <v>27</v>
      </c>
      <c r="N3343" s="8" t="s">
        <v>18484</v>
      </c>
      <c r="O3343" s="8" t="s">
        <v>554</v>
      </c>
      <c r="P3343" s="8" t="s">
        <v>405</v>
      </c>
      <c r="Q3343" s="12" t="s">
        <v>18485</v>
      </c>
      <c r="R3343" s="8" t="s">
        <v>559</v>
      </c>
      <c r="S3343" s="7" t="s">
        <v>28</v>
      </c>
      <c r="T3343" s="6"/>
      <c r="U3343" s="8"/>
    </row>
    <row r="3344" spans="1:34" ht="15" customHeight="1">
      <c r="A3344" s="8" t="s">
        <v>18492</v>
      </c>
      <c r="B3344" s="16">
        <v>25</v>
      </c>
      <c r="C3344" s="8" t="s">
        <v>20</v>
      </c>
      <c r="D3344" s="8" t="s">
        <v>30</v>
      </c>
      <c r="F3344" s="17">
        <v>41320</v>
      </c>
      <c r="G3344" s="8" t="s">
        <v>18493</v>
      </c>
      <c r="H3344" s="8" t="s">
        <v>18494</v>
      </c>
      <c r="I3344" s="8" t="s">
        <v>45</v>
      </c>
      <c r="J3344" s="16" t="s">
        <v>18495</v>
      </c>
      <c r="K3344" s="2" t="s">
        <v>98</v>
      </c>
      <c r="L3344" s="8" t="s">
        <v>18496</v>
      </c>
      <c r="M3344" s="8" t="s">
        <v>27</v>
      </c>
      <c r="N3344" s="8" t="s">
        <v>18497</v>
      </c>
      <c r="O3344" s="8" t="s">
        <v>1018</v>
      </c>
      <c r="P3344" s="8" t="s">
        <v>405</v>
      </c>
      <c r="Q3344" s="12" t="s">
        <v>18498</v>
      </c>
      <c r="R3344" s="8" t="s">
        <v>100</v>
      </c>
      <c r="S3344" s="7" t="s">
        <v>28</v>
      </c>
      <c r="T3344" s="6"/>
      <c r="U3344" s="8"/>
    </row>
    <row r="3345" spans="1:21" ht="15" customHeight="1">
      <c r="A3345" s="8" t="s">
        <v>18499</v>
      </c>
      <c r="B3345" s="16">
        <v>23</v>
      </c>
      <c r="C3345" s="8" t="s">
        <v>20</v>
      </c>
      <c r="D3345" s="8" t="s">
        <v>48</v>
      </c>
      <c r="E3345" s="8" t="s">
        <v>18500</v>
      </c>
      <c r="F3345" s="17">
        <v>41319</v>
      </c>
      <c r="G3345" s="8" t="s">
        <v>18501</v>
      </c>
      <c r="H3345" s="8" t="s">
        <v>6381</v>
      </c>
      <c r="I3345" s="8" t="s">
        <v>45</v>
      </c>
      <c r="J3345" s="16" t="s">
        <v>6382</v>
      </c>
      <c r="K3345" s="2" t="s">
        <v>791</v>
      </c>
      <c r="L3345" s="8" t="s">
        <v>6383</v>
      </c>
      <c r="M3345" s="8" t="s">
        <v>27</v>
      </c>
      <c r="N3345" s="8" t="s">
        <v>18502</v>
      </c>
      <c r="O3345" s="8" t="s">
        <v>554</v>
      </c>
      <c r="P3345" s="8" t="s">
        <v>405</v>
      </c>
      <c r="Q3345" s="12" t="s">
        <v>18503</v>
      </c>
      <c r="R3345" s="8" t="s">
        <v>100</v>
      </c>
      <c r="S3345" s="7" t="s">
        <v>28</v>
      </c>
      <c r="T3345" s="6"/>
      <c r="U3345" s="8"/>
    </row>
    <row r="3346" spans="1:21" ht="15" customHeight="1">
      <c r="A3346" s="8" t="s">
        <v>18504</v>
      </c>
      <c r="B3346" s="16">
        <v>41</v>
      </c>
      <c r="C3346" s="8" t="s">
        <v>115</v>
      </c>
      <c r="D3346" s="8" t="s">
        <v>85</v>
      </c>
      <c r="E3346" s="8" t="s">
        <v>18505</v>
      </c>
      <c r="F3346" s="17">
        <v>41318</v>
      </c>
      <c r="G3346" s="8" t="s">
        <v>18506</v>
      </c>
      <c r="H3346" s="8" t="s">
        <v>5398</v>
      </c>
      <c r="I3346" s="8" t="s">
        <v>45</v>
      </c>
      <c r="J3346" s="16" t="s">
        <v>18507</v>
      </c>
      <c r="K3346" s="2" t="s">
        <v>608</v>
      </c>
      <c r="L3346" s="8" t="s">
        <v>5399</v>
      </c>
      <c r="M3346" s="8" t="s">
        <v>13000</v>
      </c>
      <c r="N3346" s="8" t="s">
        <v>18508</v>
      </c>
      <c r="O3346" s="8" t="s">
        <v>3421</v>
      </c>
      <c r="P3346" s="8" t="s">
        <v>405</v>
      </c>
      <c r="Q3346" s="12" t="s">
        <v>18509</v>
      </c>
      <c r="R3346" s="8" t="s">
        <v>559</v>
      </c>
      <c r="S3346" s="7" t="s">
        <v>18</v>
      </c>
      <c r="T3346" s="6"/>
      <c r="U3346" s="8"/>
    </row>
    <row r="3347" spans="1:21" ht="15" customHeight="1">
      <c r="A3347" s="8" t="s">
        <v>3288</v>
      </c>
      <c r="B3347" s="16">
        <v>34</v>
      </c>
      <c r="C3347" s="8" t="s">
        <v>20</v>
      </c>
      <c r="D3347" s="8" t="s">
        <v>85</v>
      </c>
      <c r="F3347" s="17">
        <v>41318</v>
      </c>
      <c r="G3347" s="8" t="s">
        <v>18510</v>
      </c>
      <c r="H3347" s="8" t="s">
        <v>731</v>
      </c>
      <c r="I3347" s="8" t="s">
        <v>73</v>
      </c>
      <c r="J3347" s="16" t="s">
        <v>18511</v>
      </c>
      <c r="K3347" s="2" t="s">
        <v>562</v>
      </c>
      <c r="L3347" s="8" t="s">
        <v>732</v>
      </c>
      <c r="M3347" s="8" t="s">
        <v>27</v>
      </c>
      <c r="N3347" s="8" t="s">
        <v>18512</v>
      </c>
      <c r="O3347" s="8" t="s">
        <v>29</v>
      </c>
      <c r="P3347" s="8" t="s">
        <v>405</v>
      </c>
      <c r="Q3347" s="12"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3347" s="8" t="s">
        <v>100</v>
      </c>
      <c r="S3347" s="7" t="s">
        <v>28</v>
      </c>
      <c r="T3347" s="6"/>
      <c r="U3347" s="8"/>
    </row>
    <row r="3348" spans="1:21" ht="15" customHeight="1">
      <c r="A3348" s="8" t="s">
        <v>18521</v>
      </c>
      <c r="B3348" s="16">
        <v>32</v>
      </c>
      <c r="C3348" s="8" t="s">
        <v>20</v>
      </c>
      <c r="D3348" s="8" t="s">
        <v>85</v>
      </c>
      <c r="F3348" s="17">
        <v>41317</v>
      </c>
      <c r="G3348" s="8" t="s">
        <v>18522</v>
      </c>
      <c r="H3348" s="8" t="s">
        <v>3637</v>
      </c>
      <c r="I3348" s="8" t="s">
        <v>135</v>
      </c>
      <c r="J3348" s="16" t="s">
        <v>18523</v>
      </c>
      <c r="K3348" s="2" t="s">
        <v>3639</v>
      </c>
      <c r="L3348" s="8" t="s">
        <v>4976</v>
      </c>
      <c r="M3348" s="8" t="s">
        <v>27</v>
      </c>
      <c r="N3348" s="8" t="s">
        <v>18524</v>
      </c>
      <c r="O3348" s="8" t="s">
        <v>554</v>
      </c>
      <c r="P3348" s="8" t="s">
        <v>405</v>
      </c>
      <c r="Q3348" s="12" t="s">
        <v>18525</v>
      </c>
      <c r="R3348" s="8" t="s">
        <v>100</v>
      </c>
      <c r="S3348" s="7" t="s">
        <v>28</v>
      </c>
      <c r="T3348" s="6"/>
      <c r="U3348" s="8"/>
    </row>
    <row r="3349" spans="1:21" ht="15" customHeight="1">
      <c r="A3349" s="8" t="s">
        <v>18513</v>
      </c>
      <c r="B3349" s="16">
        <v>18</v>
      </c>
      <c r="C3349" s="8" t="s">
        <v>20</v>
      </c>
      <c r="D3349" s="8" t="s">
        <v>85</v>
      </c>
      <c r="E3349" s="8" t="s">
        <v>18514</v>
      </c>
      <c r="F3349" s="17">
        <v>41317</v>
      </c>
      <c r="G3349" s="8" t="s">
        <v>18515</v>
      </c>
      <c r="H3349" s="8" t="s">
        <v>18516</v>
      </c>
      <c r="I3349" s="8" t="s">
        <v>57</v>
      </c>
      <c r="J3349" s="16" t="s">
        <v>18517</v>
      </c>
      <c r="K3349" s="2" t="s">
        <v>1139</v>
      </c>
      <c r="L3349" s="8" t="s">
        <v>18518</v>
      </c>
      <c r="M3349" s="8" t="s">
        <v>27</v>
      </c>
      <c r="N3349" s="8" t="s">
        <v>18519</v>
      </c>
      <c r="O3349" s="8" t="s">
        <v>1018</v>
      </c>
      <c r="P3349" s="8" t="s">
        <v>405</v>
      </c>
      <c r="Q3349" s="12" t="s">
        <v>18520</v>
      </c>
      <c r="R3349" s="8" t="s">
        <v>100</v>
      </c>
      <c r="S3349" s="7" t="s">
        <v>28</v>
      </c>
      <c r="T3349" s="6"/>
      <c r="U3349" s="8"/>
    </row>
    <row r="3350" spans="1:21" ht="15" customHeight="1">
      <c r="A3350" s="8" t="s">
        <v>18526</v>
      </c>
      <c r="B3350" s="16">
        <v>32</v>
      </c>
      <c r="C3350" s="8" t="s">
        <v>20</v>
      </c>
      <c r="D3350" s="8" t="s">
        <v>37</v>
      </c>
      <c r="E3350" s="8" t="s">
        <v>18527</v>
      </c>
      <c r="F3350" s="17">
        <v>41316</v>
      </c>
      <c r="G3350" s="8" t="s">
        <v>18528</v>
      </c>
      <c r="H3350" s="8" t="s">
        <v>4629</v>
      </c>
      <c r="I3350" s="8" t="s">
        <v>862</v>
      </c>
      <c r="J3350" s="16" t="s">
        <v>4630</v>
      </c>
      <c r="K3350" s="2" t="s">
        <v>4631</v>
      </c>
      <c r="L3350" s="8" t="s">
        <v>10560</v>
      </c>
      <c r="M3350" s="8" t="s">
        <v>27</v>
      </c>
      <c r="N3350" s="8" t="s">
        <v>18529</v>
      </c>
      <c r="O3350" s="8" t="s">
        <v>554</v>
      </c>
      <c r="P3350" s="8" t="s">
        <v>405</v>
      </c>
      <c r="Q3350" s="12" t="s">
        <v>18530</v>
      </c>
      <c r="R3350" s="8" t="s">
        <v>100</v>
      </c>
      <c r="S3350" s="7" t="s">
        <v>28</v>
      </c>
      <c r="T3350" s="6"/>
      <c r="U3350" s="8"/>
    </row>
    <row r="3351" spans="1:21" ht="15" customHeight="1">
      <c r="A3351" s="8" t="s">
        <v>18531</v>
      </c>
      <c r="B3351" s="16">
        <v>29</v>
      </c>
      <c r="C3351" s="8" t="s">
        <v>20</v>
      </c>
      <c r="D3351" s="8" t="s">
        <v>37</v>
      </c>
      <c r="E3351" s="8" t="s">
        <v>18532</v>
      </c>
      <c r="F3351" s="17">
        <v>41316</v>
      </c>
      <c r="G3351" s="8" t="s">
        <v>18533</v>
      </c>
      <c r="H3351" s="8" t="s">
        <v>18534</v>
      </c>
      <c r="I3351" s="8" t="s">
        <v>45</v>
      </c>
      <c r="J3351" s="16" t="s">
        <v>18535</v>
      </c>
      <c r="K3351" s="2" t="s">
        <v>791</v>
      </c>
      <c r="L3351" s="8" t="s">
        <v>18536</v>
      </c>
      <c r="M3351" s="8" t="s">
        <v>27</v>
      </c>
      <c r="N3351" s="8" t="s">
        <v>18537</v>
      </c>
      <c r="O3351" s="8" t="s">
        <v>554</v>
      </c>
      <c r="P3351" s="8" t="s">
        <v>405</v>
      </c>
      <c r="Q3351" s="12" t="s">
        <v>18538</v>
      </c>
      <c r="R3351" s="8" t="s">
        <v>100</v>
      </c>
      <c r="S3351" s="7" t="s">
        <v>28</v>
      </c>
      <c r="T3351" s="6"/>
      <c r="U3351" s="8"/>
    </row>
    <row r="3352" spans="1:21" ht="15" customHeight="1">
      <c r="A3352" s="8" t="s">
        <v>18539</v>
      </c>
      <c r="B3352" s="16">
        <v>34</v>
      </c>
      <c r="C3352" s="8" t="s">
        <v>20</v>
      </c>
      <c r="D3352" s="8" t="s">
        <v>37</v>
      </c>
      <c r="E3352" s="8" t="s">
        <v>18540</v>
      </c>
      <c r="F3352" s="17">
        <v>41315</v>
      </c>
      <c r="G3352" s="8" t="s">
        <v>18541</v>
      </c>
      <c r="H3352" s="8" t="s">
        <v>1064</v>
      </c>
      <c r="I3352" s="8" t="s">
        <v>69</v>
      </c>
      <c r="J3352" s="16" t="s">
        <v>18542</v>
      </c>
      <c r="K3352" s="2" t="s">
        <v>1065</v>
      </c>
      <c r="L3352" s="8" t="s">
        <v>6086</v>
      </c>
      <c r="M3352" s="8" t="s">
        <v>27</v>
      </c>
      <c r="N3352" s="8" t="s">
        <v>18543</v>
      </c>
      <c r="O3352" s="8" t="s">
        <v>554</v>
      </c>
      <c r="P3352" s="8" t="s">
        <v>405</v>
      </c>
      <c r="Q3352" s="12" t="s">
        <v>18544</v>
      </c>
      <c r="R3352" s="8" t="s">
        <v>559</v>
      </c>
      <c r="S3352" s="7" t="s">
        <v>28</v>
      </c>
      <c r="T3352" s="6"/>
      <c r="U3352" s="8"/>
    </row>
    <row r="3353" spans="1:21" ht="15" customHeight="1">
      <c r="A3353" s="8" t="s">
        <v>18545</v>
      </c>
      <c r="B3353" s="16">
        <v>32</v>
      </c>
      <c r="C3353" s="8" t="s">
        <v>20</v>
      </c>
      <c r="D3353" s="8" t="s">
        <v>85</v>
      </c>
      <c r="E3353" s="8" t="s">
        <v>18546</v>
      </c>
      <c r="F3353" s="17">
        <v>41314</v>
      </c>
      <c r="G3353" s="8" t="s">
        <v>18547</v>
      </c>
      <c r="H3353" s="8" t="s">
        <v>717</v>
      </c>
      <c r="I3353" s="8" t="s">
        <v>435</v>
      </c>
      <c r="J3353" s="16" t="s">
        <v>18548</v>
      </c>
      <c r="K3353" s="2" t="s">
        <v>717</v>
      </c>
      <c r="L3353" s="8" t="s">
        <v>4572</v>
      </c>
      <c r="M3353" s="8" t="s">
        <v>27</v>
      </c>
      <c r="N3353" s="8" t="s">
        <v>18549</v>
      </c>
      <c r="O3353" s="8" t="s">
        <v>1018</v>
      </c>
      <c r="P3353" s="8" t="s">
        <v>405</v>
      </c>
      <c r="Q3353" s="12" t="s">
        <v>18550</v>
      </c>
      <c r="R3353" s="8" t="s">
        <v>100</v>
      </c>
      <c r="S3353" s="7" t="s">
        <v>28</v>
      </c>
      <c r="T3353" s="6"/>
      <c r="U3353" s="8"/>
    </row>
    <row r="3354" spans="1:21" ht="15" customHeight="1">
      <c r="A3354" s="8" t="s">
        <v>18551</v>
      </c>
      <c r="B3354" s="16">
        <v>41</v>
      </c>
      <c r="C3354" s="8" t="s">
        <v>20</v>
      </c>
      <c r="D3354" s="8" t="s">
        <v>37</v>
      </c>
      <c r="E3354" s="8" t="s">
        <v>18552</v>
      </c>
      <c r="F3354" s="17">
        <v>41314</v>
      </c>
      <c r="G3354" s="8" t="s">
        <v>18553</v>
      </c>
      <c r="H3354" s="8" t="s">
        <v>18554</v>
      </c>
      <c r="I3354" s="8" t="s">
        <v>57</v>
      </c>
      <c r="J3354" s="16" t="s">
        <v>18555</v>
      </c>
      <c r="K3354" s="2" t="s">
        <v>9367</v>
      </c>
      <c r="L3354" s="8" t="s">
        <v>18556</v>
      </c>
      <c r="M3354" s="8" t="s">
        <v>27</v>
      </c>
      <c r="N3354" s="8" t="s">
        <v>18557</v>
      </c>
      <c r="O3354" s="8" t="s">
        <v>554</v>
      </c>
      <c r="P3354" s="8" t="s">
        <v>405</v>
      </c>
      <c r="Q3354" s="12" t="s">
        <v>18558</v>
      </c>
      <c r="R3354" s="8" t="s">
        <v>29</v>
      </c>
      <c r="S3354" s="7" t="s">
        <v>28</v>
      </c>
      <c r="T3354" s="6"/>
      <c r="U3354" s="8"/>
    </row>
    <row r="3355" spans="1:21" ht="15" customHeight="1">
      <c r="A3355" s="8" t="s">
        <v>18559</v>
      </c>
      <c r="B3355" s="16">
        <v>40</v>
      </c>
      <c r="C3355" s="8" t="s">
        <v>20</v>
      </c>
      <c r="D3355" s="8" t="s">
        <v>37</v>
      </c>
      <c r="E3355" s="8" t="s">
        <v>18560</v>
      </c>
      <c r="F3355" s="17">
        <v>41314</v>
      </c>
      <c r="G3355" s="8" t="s">
        <v>18561</v>
      </c>
      <c r="H3355" s="8" t="s">
        <v>288</v>
      </c>
      <c r="I3355" s="8" t="s">
        <v>73</v>
      </c>
      <c r="J3355" s="16" t="s">
        <v>18562</v>
      </c>
      <c r="K3355" s="2" t="s">
        <v>288</v>
      </c>
      <c r="L3355" s="8" t="s">
        <v>289</v>
      </c>
      <c r="M3355" s="8" t="s">
        <v>27</v>
      </c>
      <c r="N3355" s="8" t="s">
        <v>18563</v>
      </c>
      <c r="O3355" s="8" t="s">
        <v>554</v>
      </c>
      <c r="P3355" s="8" t="s">
        <v>405</v>
      </c>
      <c r="Q3355" s="12" t="s">
        <v>18564</v>
      </c>
      <c r="R3355" s="8" t="s">
        <v>29</v>
      </c>
      <c r="S3355" s="7" t="s">
        <v>28</v>
      </c>
      <c r="T3355" s="6"/>
      <c r="U3355" s="8"/>
    </row>
    <row r="3356" spans="1:21" ht="15" customHeight="1">
      <c r="A3356" s="8" t="s">
        <v>18569</v>
      </c>
      <c r="B3356" s="16">
        <v>22</v>
      </c>
      <c r="C3356" s="8" t="s">
        <v>20</v>
      </c>
      <c r="D3356" s="8" t="s">
        <v>48</v>
      </c>
      <c r="E3356" s="8" t="s">
        <v>18570</v>
      </c>
      <c r="F3356" s="17">
        <v>41313</v>
      </c>
      <c r="G3356" s="8" t="s">
        <v>18571</v>
      </c>
      <c r="H3356" s="8" t="s">
        <v>1764</v>
      </c>
      <c r="I3356" s="8" t="s">
        <v>45</v>
      </c>
      <c r="J3356" s="16" t="s">
        <v>18572</v>
      </c>
      <c r="K3356" s="2" t="s">
        <v>1175</v>
      </c>
      <c r="L3356" s="8" t="s">
        <v>1766</v>
      </c>
      <c r="M3356" s="8" t="s">
        <v>27</v>
      </c>
      <c r="N3356" s="8" t="s">
        <v>18573</v>
      </c>
      <c r="O3356" s="8" t="s">
        <v>554</v>
      </c>
      <c r="P3356" s="8" t="s">
        <v>405</v>
      </c>
      <c r="Q3356" s="12" t="s">
        <v>18574</v>
      </c>
      <c r="R3356" s="8" t="s">
        <v>100</v>
      </c>
      <c r="S3356" s="7" t="s">
        <v>28</v>
      </c>
      <c r="T3356" s="6"/>
      <c r="U3356" s="8"/>
    </row>
    <row r="3357" spans="1:21" ht="15" customHeight="1">
      <c r="A3357" s="8" t="s">
        <v>18565</v>
      </c>
      <c r="B3357" s="16">
        <v>33</v>
      </c>
      <c r="C3357" s="8" t="s">
        <v>20</v>
      </c>
      <c r="D3357" s="8" t="s">
        <v>48</v>
      </c>
      <c r="F3357" s="17">
        <v>41313</v>
      </c>
      <c r="G3357" s="8" t="s">
        <v>18566</v>
      </c>
      <c r="H3357" s="8" t="s">
        <v>661</v>
      </c>
      <c r="I3357" s="8" t="s">
        <v>272</v>
      </c>
      <c r="J3357" s="16" t="s">
        <v>6394</v>
      </c>
      <c r="K3357" s="2" t="s">
        <v>574</v>
      </c>
      <c r="L3357" s="8" t="s">
        <v>575</v>
      </c>
      <c r="M3357" s="8" t="s">
        <v>27</v>
      </c>
      <c r="N3357" s="8" t="s">
        <v>18567</v>
      </c>
      <c r="O3357" s="8" t="s">
        <v>554</v>
      </c>
      <c r="P3357" s="8" t="s">
        <v>405</v>
      </c>
      <c r="Q3357" s="12" t="s">
        <v>18568</v>
      </c>
      <c r="R3357" s="8" t="s">
        <v>100</v>
      </c>
      <c r="S3357" s="7" t="s">
        <v>28</v>
      </c>
      <c r="T3357" s="6"/>
      <c r="U3357" s="8"/>
    </row>
    <row r="3358" spans="1:21" ht="15" customHeight="1">
      <c r="A3358" s="8" t="s">
        <v>18582</v>
      </c>
      <c r="B3358" s="16">
        <v>32</v>
      </c>
      <c r="C3358" s="8" t="s">
        <v>20</v>
      </c>
      <c r="D3358" s="8" t="s">
        <v>37</v>
      </c>
      <c r="E3358" s="8" t="s">
        <v>18583</v>
      </c>
      <c r="F3358" s="17">
        <v>41312</v>
      </c>
      <c r="G3358" s="8" t="s">
        <v>18584</v>
      </c>
      <c r="H3358" s="8" t="s">
        <v>717</v>
      </c>
      <c r="I3358" s="8" t="s">
        <v>435</v>
      </c>
      <c r="J3358" s="16" t="s">
        <v>18585</v>
      </c>
      <c r="K3358" s="2" t="s">
        <v>717</v>
      </c>
      <c r="L3358" s="8" t="s">
        <v>4572</v>
      </c>
      <c r="M3358" s="8" t="s">
        <v>27</v>
      </c>
      <c r="N3358" s="8" t="s">
        <v>18586</v>
      </c>
      <c r="O3358" s="8" t="s">
        <v>554</v>
      </c>
      <c r="P3358" s="8" t="s">
        <v>405</v>
      </c>
      <c r="Q3358" s="12" t="s">
        <v>18587</v>
      </c>
      <c r="R3358" s="8" t="s">
        <v>100</v>
      </c>
      <c r="S3358" s="7" t="s">
        <v>28</v>
      </c>
      <c r="T3358" s="6"/>
      <c r="U3358" s="8"/>
    </row>
    <row r="3359" spans="1:21" ht="15" customHeight="1">
      <c r="A3359" s="8" t="s">
        <v>18575</v>
      </c>
      <c r="B3359" s="16">
        <v>27</v>
      </c>
      <c r="C3359" s="8" t="s">
        <v>20</v>
      </c>
      <c r="D3359" s="8" t="s">
        <v>37</v>
      </c>
      <c r="E3359" s="8" t="s">
        <v>18576</v>
      </c>
      <c r="F3359" s="17">
        <v>41312</v>
      </c>
      <c r="H3359" s="8" t="s">
        <v>18577</v>
      </c>
      <c r="I3359" s="8" t="s">
        <v>986</v>
      </c>
      <c r="J3359" s="16" t="s">
        <v>18578</v>
      </c>
      <c r="K3359" s="2" t="s">
        <v>16399</v>
      </c>
      <c r="L3359" s="8" t="s">
        <v>18579</v>
      </c>
      <c r="M3359" s="8" t="s">
        <v>27</v>
      </c>
      <c r="N3359" s="8" t="s">
        <v>18580</v>
      </c>
      <c r="O3359" s="8" t="s">
        <v>554</v>
      </c>
      <c r="P3359" s="8" t="s">
        <v>405</v>
      </c>
      <c r="Q3359" s="12" t="s">
        <v>18581</v>
      </c>
      <c r="R3359" s="8" t="s">
        <v>29</v>
      </c>
      <c r="S3359" s="7" t="s">
        <v>28</v>
      </c>
      <c r="T3359" s="6"/>
      <c r="U3359" s="8"/>
    </row>
    <row r="3360" spans="1:21" ht="15" customHeight="1">
      <c r="A3360" s="8" t="s">
        <v>18588</v>
      </c>
      <c r="B3360" s="16" t="s">
        <v>17761</v>
      </c>
      <c r="C3360" s="8" t="s">
        <v>20</v>
      </c>
      <c r="D3360" s="8" t="s">
        <v>37</v>
      </c>
      <c r="E3360" s="8" t="s">
        <v>18589</v>
      </c>
      <c r="F3360" s="17">
        <v>41310</v>
      </c>
      <c r="G3360" s="8" t="s">
        <v>18590</v>
      </c>
      <c r="H3360" s="8" t="s">
        <v>846</v>
      </c>
      <c r="I3360" s="8" t="s">
        <v>306</v>
      </c>
      <c r="J3360" s="16" t="s">
        <v>18591</v>
      </c>
      <c r="K3360" s="2" t="s">
        <v>846</v>
      </c>
      <c r="L3360" s="8" t="s">
        <v>847</v>
      </c>
      <c r="M3360" s="8" t="s">
        <v>27</v>
      </c>
      <c r="N3360" s="8" t="s">
        <v>18592</v>
      </c>
      <c r="O3360" s="8" t="s">
        <v>554</v>
      </c>
      <c r="P3360" s="8" t="s">
        <v>405</v>
      </c>
      <c r="Q3360" s="12" t="s">
        <v>18593</v>
      </c>
      <c r="R3360" s="8" t="s">
        <v>100</v>
      </c>
      <c r="S3360" s="7" t="s">
        <v>28</v>
      </c>
      <c r="T3360" s="6"/>
      <c r="U3360" s="8"/>
    </row>
    <row r="3361" spans="1:21" ht="15" customHeight="1">
      <c r="A3361" s="8" t="s">
        <v>18594</v>
      </c>
      <c r="B3361" s="16">
        <v>65</v>
      </c>
      <c r="C3361" s="8" t="s">
        <v>20</v>
      </c>
      <c r="D3361" s="8" t="s">
        <v>37</v>
      </c>
      <c r="E3361" s="8" t="s">
        <v>18595</v>
      </c>
      <c r="F3361" s="17">
        <v>41309</v>
      </c>
      <c r="H3361" s="8" t="s">
        <v>18596</v>
      </c>
      <c r="I3361" s="8" t="s">
        <v>94</v>
      </c>
      <c r="J3361" s="16" t="s">
        <v>18597</v>
      </c>
      <c r="K3361" s="2" t="s">
        <v>13907</v>
      </c>
      <c r="L3361" s="8" t="s">
        <v>409</v>
      </c>
      <c r="M3361" s="8" t="s">
        <v>27</v>
      </c>
      <c r="N3361" s="8" t="s">
        <v>18598</v>
      </c>
      <c r="O3361" s="8" t="s">
        <v>29</v>
      </c>
      <c r="P3361" s="8" t="s">
        <v>405</v>
      </c>
      <c r="Q3361" s="12" t="s">
        <v>18599</v>
      </c>
      <c r="R3361" s="8" t="s">
        <v>559</v>
      </c>
      <c r="S3361" s="7" t="s">
        <v>28</v>
      </c>
      <c r="T3361" s="6"/>
      <c r="U3361" s="8"/>
    </row>
    <row r="3362" spans="1:21" ht="15" customHeight="1">
      <c r="A3362" s="8" t="s">
        <v>18600</v>
      </c>
      <c r="B3362" s="16">
        <v>87</v>
      </c>
      <c r="C3362" s="8" t="s">
        <v>20</v>
      </c>
      <c r="D3362" s="8" t="s">
        <v>30</v>
      </c>
      <c r="F3362" s="17">
        <v>41308</v>
      </c>
      <c r="G3362" s="8" t="s">
        <v>18601</v>
      </c>
      <c r="H3362" s="8" t="s">
        <v>18602</v>
      </c>
      <c r="I3362" s="8" t="s">
        <v>73</v>
      </c>
      <c r="J3362" s="16" t="s">
        <v>18603</v>
      </c>
      <c r="K3362" s="2" t="s">
        <v>1211</v>
      </c>
      <c r="L3362" s="8" t="s">
        <v>18604</v>
      </c>
      <c r="M3362" s="8" t="s">
        <v>27</v>
      </c>
      <c r="N3362" s="8" t="s">
        <v>18605</v>
      </c>
      <c r="O3362" s="8" t="s">
        <v>1018</v>
      </c>
      <c r="P3362" s="8" t="s">
        <v>405</v>
      </c>
      <c r="Q3362" s="12" t="s">
        <v>18606</v>
      </c>
      <c r="R3362" s="8" t="s">
        <v>100</v>
      </c>
      <c r="S3362" s="7" t="s">
        <v>28</v>
      </c>
      <c r="T3362" s="6"/>
      <c r="U3362" s="8"/>
    </row>
    <row r="3363" spans="1:21" ht="15" customHeight="1">
      <c r="A3363" s="8" t="s">
        <v>18607</v>
      </c>
      <c r="B3363" s="16">
        <v>24</v>
      </c>
      <c r="C3363" s="8" t="s">
        <v>20</v>
      </c>
      <c r="D3363" s="8" t="s">
        <v>37</v>
      </c>
      <c r="E3363" s="8" t="s">
        <v>18608</v>
      </c>
      <c r="F3363" s="17">
        <v>41307</v>
      </c>
      <c r="G3363" s="8" t="s">
        <v>18609</v>
      </c>
      <c r="H3363" s="8" t="s">
        <v>18610</v>
      </c>
      <c r="I3363" s="8" t="s">
        <v>73</v>
      </c>
      <c r="J3363" s="16" t="s">
        <v>18611</v>
      </c>
      <c r="K3363" s="2" t="s">
        <v>18612</v>
      </c>
      <c r="L3363" s="8" t="s">
        <v>18613</v>
      </c>
      <c r="M3363" s="8" t="s">
        <v>27</v>
      </c>
      <c r="N3363" s="8" t="s">
        <v>18614</v>
      </c>
      <c r="O3363" s="8" t="s">
        <v>3421</v>
      </c>
      <c r="P3363" s="8" t="s">
        <v>405</v>
      </c>
      <c r="Q3363" s="12" t="s">
        <v>18615</v>
      </c>
      <c r="R3363" s="8" t="s">
        <v>559</v>
      </c>
      <c r="S3363" s="7" t="s">
        <v>28</v>
      </c>
      <c r="T3363" s="6"/>
      <c r="U3363" s="8"/>
    </row>
    <row r="3364" spans="1:21" ht="15" customHeight="1">
      <c r="A3364" s="8" t="s">
        <v>18616</v>
      </c>
      <c r="B3364" s="16">
        <v>21</v>
      </c>
      <c r="C3364" s="8" t="s">
        <v>20</v>
      </c>
      <c r="D3364" s="8" t="s">
        <v>85</v>
      </c>
      <c r="E3364" s="8" t="s">
        <v>18617</v>
      </c>
      <c r="F3364" s="17">
        <v>41306</v>
      </c>
      <c r="G3364" s="8" t="s">
        <v>18618</v>
      </c>
      <c r="H3364" s="8" t="s">
        <v>1663</v>
      </c>
      <c r="I3364" s="8" t="s">
        <v>175</v>
      </c>
      <c r="J3364" s="16" t="s">
        <v>18619</v>
      </c>
      <c r="K3364" s="2" t="s">
        <v>882</v>
      </c>
      <c r="L3364" s="8" t="s">
        <v>1665</v>
      </c>
      <c r="M3364" s="8" t="s">
        <v>27</v>
      </c>
      <c r="N3364" s="8" t="s">
        <v>18620</v>
      </c>
      <c r="O3364" s="8" t="s">
        <v>554</v>
      </c>
      <c r="P3364" s="8" t="s">
        <v>405</v>
      </c>
      <c r="Q3364" s="12"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3364" s="8" t="s">
        <v>29</v>
      </c>
      <c r="S3364" s="7" t="s">
        <v>28</v>
      </c>
      <c r="T3364" s="6"/>
      <c r="U3364" s="8"/>
    </row>
    <row r="3365" spans="1:21" ht="15" customHeight="1">
      <c r="A3365" s="8" t="s">
        <v>18626</v>
      </c>
      <c r="B3365" s="16">
        <v>33</v>
      </c>
      <c r="C3365" s="8" t="s">
        <v>20</v>
      </c>
      <c r="D3365" s="8" t="s">
        <v>48</v>
      </c>
      <c r="E3365" s="8" t="s">
        <v>18627</v>
      </c>
      <c r="F3365" s="17">
        <v>41304</v>
      </c>
      <c r="G3365" s="8" t="s">
        <v>18628</v>
      </c>
      <c r="H3365" s="8" t="s">
        <v>18629</v>
      </c>
      <c r="I3365" s="8" t="s">
        <v>45</v>
      </c>
      <c r="J3365" s="16" t="s">
        <v>18630</v>
      </c>
      <c r="K3365" s="2" t="s">
        <v>3271</v>
      </c>
      <c r="L3365" s="8" t="s">
        <v>14541</v>
      </c>
      <c r="M3365" s="8" t="s">
        <v>27</v>
      </c>
      <c r="N3365" s="8" t="s">
        <v>18631</v>
      </c>
      <c r="O3365" s="8" t="s">
        <v>554</v>
      </c>
      <c r="P3365" s="8" t="s">
        <v>405</v>
      </c>
      <c r="Q3365" s="12" t="s">
        <v>18632</v>
      </c>
      <c r="R3365" s="8" t="s">
        <v>100</v>
      </c>
      <c r="S3365" s="7" t="s">
        <v>28</v>
      </c>
      <c r="T3365" s="6"/>
      <c r="U3365" s="8"/>
    </row>
    <row r="3366" spans="1:21" ht="15" customHeight="1">
      <c r="A3366" s="8" t="s">
        <v>18621</v>
      </c>
      <c r="B3366" s="16">
        <v>30</v>
      </c>
      <c r="C3366" s="8" t="s">
        <v>115</v>
      </c>
      <c r="D3366" s="8" t="s">
        <v>48</v>
      </c>
      <c r="E3366" s="8" t="s">
        <v>18622</v>
      </c>
      <c r="F3366" s="17">
        <v>41304</v>
      </c>
      <c r="G3366" s="8" t="s">
        <v>18623</v>
      </c>
      <c r="H3366" s="8" t="s">
        <v>1311</v>
      </c>
      <c r="I3366" s="8" t="s">
        <v>212</v>
      </c>
      <c r="J3366" s="16" t="s">
        <v>15120</v>
      </c>
      <c r="K3366" s="2" t="s">
        <v>1311</v>
      </c>
      <c r="L3366" s="8" t="s">
        <v>19654</v>
      </c>
      <c r="M3366" s="8" t="s">
        <v>27</v>
      </c>
      <c r="N3366" s="8" t="s">
        <v>18624</v>
      </c>
      <c r="O3366" s="8" t="s">
        <v>554</v>
      </c>
      <c r="P3366" s="8" t="s">
        <v>405</v>
      </c>
      <c r="Q3366" s="12" t="s">
        <v>18625</v>
      </c>
      <c r="R3366" s="8" t="s">
        <v>100</v>
      </c>
      <c r="S3366" s="7" t="s">
        <v>28</v>
      </c>
      <c r="T3366" s="6"/>
      <c r="U3366" s="8"/>
    </row>
    <row r="3367" spans="1:21" ht="15" customHeight="1">
      <c r="A3367" s="8" t="s">
        <v>18640</v>
      </c>
      <c r="B3367" s="16">
        <v>32</v>
      </c>
      <c r="C3367" s="8" t="s">
        <v>115</v>
      </c>
      <c r="D3367" s="8" t="s">
        <v>37</v>
      </c>
      <c r="E3367" s="8" t="s">
        <v>18641</v>
      </c>
      <c r="F3367" s="17">
        <v>41303</v>
      </c>
      <c r="G3367" s="8" t="s">
        <v>18642</v>
      </c>
      <c r="H3367" s="8" t="s">
        <v>9544</v>
      </c>
      <c r="I3367" s="8" t="s">
        <v>370</v>
      </c>
      <c r="J3367" s="16" t="s">
        <v>18643</v>
      </c>
      <c r="K3367" s="2" t="s">
        <v>9546</v>
      </c>
      <c r="L3367" s="8" t="s">
        <v>18644</v>
      </c>
      <c r="M3367" s="8" t="s">
        <v>27</v>
      </c>
      <c r="N3367" s="8" t="s">
        <v>18645</v>
      </c>
      <c r="O3367" s="8" t="s">
        <v>554</v>
      </c>
      <c r="P3367" s="8" t="s">
        <v>405</v>
      </c>
      <c r="Q3367" s="12" t="s">
        <v>18646</v>
      </c>
      <c r="R3367" s="8" t="s">
        <v>559</v>
      </c>
      <c r="S3367" s="7" t="s">
        <v>28</v>
      </c>
      <c r="T3367" s="6"/>
      <c r="U3367" s="8"/>
    </row>
    <row r="3368" spans="1:21" ht="15" customHeight="1">
      <c r="A3368" s="8" t="s">
        <v>18647</v>
      </c>
      <c r="B3368" s="16">
        <v>31</v>
      </c>
      <c r="C3368" s="8" t="s">
        <v>20</v>
      </c>
      <c r="D3368" s="8" t="s">
        <v>37</v>
      </c>
      <c r="E3368" s="8" t="s">
        <v>18648</v>
      </c>
      <c r="F3368" s="17">
        <v>41303</v>
      </c>
      <c r="G3368" s="8" t="s">
        <v>18649</v>
      </c>
      <c r="H3368" s="8" t="s">
        <v>18650</v>
      </c>
      <c r="I3368" s="8" t="s">
        <v>73</v>
      </c>
      <c r="J3368" s="16">
        <v>76117</v>
      </c>
      <c r="K3368" s="2" t="s">
        <v>74</v>
      </c>
      <c r="L3368" s="8" t="s">
        <v>18651</v>
      </c>
      <c r="M3368" s="8" t="s">
        <v>27</v>
      </c>
      <c r="N3368" s="8" t="s">
        <v>18652</v>
      </c>
      <c r="O3368" s="8" t="s">
        <v>29</v>
      </c>
      <c r="P3368" s="8" t="s">
        <v>405</v>
      </c>
      <c r="Q3368" s="12" t="s">
        <v>18653</v>
      </c>
      <c r="R3368" s="8" t="s">
        <v>100</v>
      </c>
      <c r="S3368" s="7" t="s">
        <v>28</v>
      </c>
      <c r="T3368" s="6"/>
      <c r="U3368" s="8"/>
    </row>
    <row r="3369" spans="1:21" ht="15" customHeight="1">
      <c r="A3369" s="8" t="s">
        <v>18633</v>
      </c>
      <c r="B3369" s="16">
        <v>31</v>
      </c>
      <c r="C3369" s="8" t="s">
        <v>20</v>
      </c>
      <c r="D3369" s="8" t="s">
        <v>30</v>
      </c>
      <c r="F3369" s="17">
        <v>41303</v>
      </c>
      <c r="G3369" s="8" t="s">
        <v>18634</v>
      </c>
      <c r="H3369" s="8" t="s">
        <v>18635</v>
      </c>
      <c r="I3369" s="8" t="s">
        <v>94</v>
      </c>
      <c r="J3369" s="16" t="s">
        <v>18636</v>
      </c>
      <c r="K3369" s="2" t="s">
        <v>437</v>
      </c>
      <c r="L3369" s="8" t="s">
        <v>18637</v>
      </c>
      <c r="M3369" s="8" t="s">
        <v>27</v>
      </c>
      <c r="N3369" s="8" t="s">
        <v>18638</v>
      </c>
      <c r="O3369" s="8" t="s">
        <v>554</v>
      </c>
      <c r="P3369" s="8" t="s">
        <v>405</v>
      </c>
      <c r="Q3369" s="12" t="s">
        <v>18639</v>
      </c>
      <c r="R3369" s="8" t="s">
        <v>29</v>
      </c>
      <c r="S3369" s="7" t="s">
        <v>28</v>
      </c>
      <c r="T3369" s="6"/>
      <c r="U3369" s="8"/>
    </row>
    <row r="3370" spans="1:21" ht="15" customHeight="1">
      <c r="A3370" s="8" t="s">
        <v>18654</v>
      </c>
      <c r="B3370" s="16" t="s">
        <v>13621</v>
      </c>
      <c r="C3370" s="8" t="s">
        <v>20</v>
      </c>
      <c r="D3370" s="8" t="s">
        <v>37</v>
      </c>
      <c r="E3370" s="8" t="s">
        <v>18655</v>
      </c>
      <c r="F3370" s="17">
        <v>41303</v>
      </c>
      <c r="G3370" s="8" t="s">
        <v>18656</v>
      </c>
      <c r="H3370" s="8" t="s">
        <v>18657</v>
      </c>
      <c r="I3370" s="8" t="s">
        <v>399</v>
      </c>
      <c r="J3370" s="16" t="s">
        <v>18658</v>
      </c>
      <c r="K3370" s="2" t="s">
        <v>12427</v>
      </c>
      <c r="L3370" s="8" t="s">
        <v>18659</v>
      </c>
      <c r="M3370" s="8" t="s">
        <v>27</v>
      </c>
      <c r="N3370" s="8" t="s">
        <v>18660</v>
      </c>
      <c r="O3370" s="8" t="s">
        <v>554</v>
      </c>
      <c r="P3370" s="8" t="s">
        <v>405</v>
      </c>
      <c r="Q3370" s="12" t="s">
        <v>18661</v>
      </c>
      <c r="R3370" s="8" t="s">
        <v>29</v>
      </c>
      <c r="S3370" s="7" t="s">
        <v>28</v>
      </c>
      <c r="T3370" s="6"/>
      <c r="U3370" s="8"/>
    </row>
    <row r="3371" spans="1:21" ht="15" customHeight="1">
      <c r="A3371" s="8" t="s">
        <v>18675</v>
      </c>
      <c r="B3371" s="16">
        <v>38</v>
      </c>
      <c r="C3371" s="8" t="s">
        <v>20</v>
      </c>
      <c r="D3371" s="8" t="s">
        <v>85</v>
      </c>
      <c r="E3371" s="8" t="s">
        <v>18676</v>
      </c>
      <c r="F3371" s="17">
        <v>41302</v>
      </c>
      <c r="G3371" s="8" t="s">
        <v>18677</v>
      </c>
      <c r="H3371" s="8" t="s">
        <v>657</v>
      </c>
      <c r="I3371" s="8" t="s">
        <v>62</v>
      </c>
      <c r="J3371" s="16" t="s">
        <v>18678</v>
      </c>
      <c r="K3371" s="2" t="s">
        <v>658</v>
      </c>
      <c r="L3371" s="8" t="s">
        <v>659</v>
      </c>
      <c r="M3371" s="8" t="s">
        <v>27</v>
      </c>
      <c r="N3371" s="8" t="s">
        <v>18679</v>
      </c>
      <c r="O3371" s="8" t="s">
        <v>1018</v>
      </c>
      <c r="P3371" s="8" t="s">
        <v>405</v>
      </c>
      <c r="Q3371" s="12"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3371" s="8" t="s">
        <v>100</v>
      </c>
      <c r="S3371" s="7" t="s">
        <v>18</v>
      </c>
      <c r="T3371" s="6"/>
      <c r="U3371" s="8"/>
    </row>
    <row r="3372" spans="1:21" ht="15" customHeight="1">
      <c r="A3372" s="8" t="s">
        <v>18692</v>
      </c>
      <c r="B3372" s="16" t="s">
        <v>16077</v>
      </c>
      <c r="C3372" s="8" t="s">
        <v>20</v>
      </c>
      <c r="D3372" s="8" t="s">
        <v>37</v>
      </c>
      <c r="E3372" s="8" t="s">
        <v>18693</v>
      </c>
      <c r="F3372" s="17">
        <v>41302</v>
      </c>
      <c r="G3372" s="8" t="s">
        <v>18694</v>
      </c>
      <c r="H3372" s="8" t="s">
        <v>18695</v>
      </c>
      <c r="I3372" s="8" t="s">
        <v>272</v>
      </c>
      <c r="J3372" s="16" t="s">
        <v>18696</v>
      </c>
      <c r="K3372" s="2" t="s">
        <v>18697</v>
      </c>
      <c r="L3372" s="8" t="s">
        <v>6395</v>
      </c>
      <c r="M3372" s="8" t="s">
        <v>18698</v>
      </c>
      <c r="N3372" s="8" t="s">
        <v>18699</v>
      </c>
      <c r="O3372" s="8" t="s">
        <v>29</v>
      </c>
      <c r="P3372" s="8" t="s">
        <v>405</v>
      </c>
      <c r="Q3372" s="12" t="s">
        <v>18700</v>
      </c>
      <c r="R3372" s="8" t="s">
        <v>100</v>
      </c>
      <c r="S3372" s="7" t="s">
        <v>28</v>
      </c>
      <c r="T3372" s="6"/>
      <c r="U3372" s="8"/>
    </row>
    <row r="3373" spans="1:21" ht="15" customHeight="1">
      <c r="A3373" s="8" t="s">
        <v>18662</v>
      </c>
      <c r="B3373" s="16">
        <v>29</v>
      </c>
      <c r="C3373" s="8" t="s">
        <v>20</v>
      </c>
      <c r="D3373" s="8" t="s">
        <v>85</v>
      </c>
      <c r="E3373" s="8" t="s">
        <v>18663</v>
      </c>
      <c r="F3373" s="17">
        <v>41302</v>
      </c>
      <c r="G3373" s="8" t="s">
        <v>18664</v>
      </c>
      <c r="H3373" s="8" t="s">
        <v>12454</v>
      </c>
      <c r="I3373" s="8" t="s">
        <v>408</v>
      </c>
      <c r="J3373" s="16" t="s">
        <v>18665</v>
      </c>
      <c r="K3373" s="2" t="s">
        <v>4593</v>
      </c>
      <c r="L3373" s="8" t="s">
        <v>18666</v>
      </c>
      <c r="M3373" s="8" t="s">
        <v>27</v>
      </c>
      <c r="N3373" s="8" t="s">
        <v>18667</v>
      </c>
      <c r="O3373" s="8" t="s">
        <v>554</v>
      </c>
      <c r="P3373" s="8" t="s">
        <v>405</v>
      </c>
      <c r="Q3373" s="12" t="s">
        <v>18668</v>
      </c>
      <c r="R3373" s="8" t="s">
        <v>2224</v>
      </c>
      <c r="S3373" s="7" t="s">
        <v>28</v>
      </c>
      <c r="T3373" s="6"/>
      <c r="U3373" s="8"/>
    </row>
    <row r="3374" spans="1:21" ht="15" customHeight="1">
      <c r="A3374" s="8" t="s">
        <v>18669</v>
      </c>
      <c r="B3374" s="16">
        <v>24</v>
      </c>
      <c r="C3374" s="8" t="s">
        <v>20</v>
      </c>
      <c r="D3374" s="8" t="s">
        <v>85</v>
      </c>
      <c r="E3374" s="8" t="s">
        <v>18670</v>
      </c>
      <c r="F3374" s="17">
        <v>41302</v>
      </c>
      <c r="G3374" s="8" t="s">
        <v>18671</v>
      </c>
      <c r="H3374" s="8" t="s">
        <v>6506</v>
      </c>
      <c r="I3374" s="8" t="s">
        <v>62</v>
      </c>
      <c r="J3374" s="16" t="s">
        <v>18672</v>
      </c>
      <c r="K3374" s="2" t="s">
        <v>1134</v>
      </c>
      <c r="L3374" s="8" t="s">
        <v>6508</v>
      </c>
      <c r="M3374" s="8" t="s">
        <v>383</v>
      </c>
      <c r="N3374" s="8" t="s">
        <v>18673</v>
      </c>
      <c r="O3374" s="8" t="s">
        <v>1018</v>
      </c>
      <c r="P3374" s="8" t="s">
        <v>405</v>
      </c>
      <c r="Q3374" s="12" t="s">
        <v>18674</v>
      </c>
      <c r="R3374" s="8" t="s">
        <v>100</v>
      </c>
      <c r="S3374" s="7" t="s">
        <v>18</v>
      </c>
      <c r="T3374" s="6"/>
      <c r="U3374" s="8"/>
    </row>
    <row r="3375" spans="1:21" ht="15" customHeight="1">
      <c r="A3375" s="8" t="s">
        <v>18680</v>
      </c>
      <c r="B3375" s="16">
        <v>51</v>
      </c>
      <c r="C3375" s="8" t="s">
        <v>20</v>
      </c>
      <c r="D3375" s="8" t="s">
        <v>37</v>
      </c>
      <c r="E3375" s="8" t="s">
        <v>18681</v>
      </c>
      <c r="F3375" s="17">
        <v>41302</v>
      </c>
      <c r="G3375" s="8" t="s">
        <v>18682</v>
      </c>
      <c r="H3375" s="8" t="s">
        <v>203</v>
      </c>
      <c r="I3375" s="8" t="s">
        <v>45</v>
      </c>
      <c r="J3375" s="16" t="s">
        <v>13365</v>
      </c>
      <c r="K3375" s="2" t="s">
        <v>203</v>
      </c>
      <c r="L3375" s="8" t="s">
        <v>1614</v>
      </c>
      <c r="M3375" s="8" t="s">
        <v>27</v>
      </c>
      <c r="N3375" s="8" t="s">
        <v>18683</v>
      </c>
      <c r="O3375" s="8" t="s">
        <v>1018</v>
      </c>
      <c r="P3375" s="8" t="s">
        <v>405</v>
      </c>
      <c r="Q3375" s="12" t="s">
        <v>18684</v>
      </c>
      <c r="R3375" s="8" t="s">
        <v>559</v>
      </c>
      <c r="S3375" s="7" t="s">
        <v>28</v>
      </c>
      <c r="T3375" s="6"/>
      <c r="U3375" s="8"/>
    </row>
    <row r="3376" spans="1:21" ht="15" customHeight="1">
      <c r="A3376" s="8" t="s">
        <v>18685</v>
      </c>
      <c r="B3376" s="16">
        <v>50</v>
      </c>
      <c r="C3376" s="8" t="s">
        <v>20</v>
      </c>
      <c r="D3376" s="8" t="s">
        <v>37</v>
      </c>
      <c r="E3376" s="8" t="s">
        <v>18686</v>
      </c>
      <c r="F3376" s="17">
        <v>41302</v>
      </c>
      <c r="G3376" s="8" t="s">
        <v>18687</v>
      </c>
      <c r="H3376" s="8" t="s">
        <v>3826</v>
      </c>
      <c r="I3376" s="8" t="s">
        <v>435</v>
      </c>
      <c r="J3376" s="16" t="s">
        <v>18688</v>
      </c>
      <c r="K3376" s="2" t="s">
        <v>18689</v>
      </c>
      <c r="L3376" s="8" t="s">
        <v>10022</v>
      </c>
      <c r="M3376" s="8" t="s">
        <v>27</v>
      </c>
      <c r="N3376" s="8" t="s">
        <v>18690</v>
      </c>
      <c r="O3376" s="8" t="s">
        <v>554</v>
      </c>
      <c r="P3376" s="8" t="s">
        <v>405</v>
      </c>
      <c r="Q3376" s="12" t="s">
        <v>18691</v>
      </c>
      <c r="R3376" s="8" t="s">
        <v>972</v>
      </c>
      <c r="S3376" s="7" t="s">
        <v>28</v>
      </c>
      <c r="T3376" s="6"/>
      <c r="U3376" s="8"/>
    </row>
    <row r="3377" spans="1:34" ht="15" customHeight="1">
      <c r="A3377" s="8" t="s">
        <v>18701</v>
      </c>
      <c r="B3377" s="16">
        <v>30</v>
      </c>
      <c r="C3377" s="8" t="s">
        <v>20</v>
      </c>
      <c r="D3377" s="8" t="s">
        <v>30</v>
      </c>
      <c r="F3377" s="17">
        <v>41301</v>
      </c>
      <c r="G3377" s="8" t="s">
        <v>18702</v>
      </c>
      <c r="H3377" s="8" t="s">
        <v>18703</v>
      </c>
      <c r="I3377" s="8" t="s">
        <v>44</v>
      </c>
      <c r="J3377" s="16" t="s">
        <v>18704</v>
      </c>
      <c r="K3377" s="2" t="s">
        <v>88</v>
      </c>
      <c r="L3377" s="8" t="s">
        <v>4197</v>
      </c>
      <c r="M3377" s="8" t="s">
        <v>27</v>
      </c>
      <c r="N3377" s="8" t="s">
        <v>18705</v>
      </c>
      <c r="O3377" s="8" t="s">
        <v>1018</v>
      </c>
      <c r="P3377" s="8" t="s">
        <v>405</v>
      </c>
      <c r="Q3377" s="12" t="s">
        <v>18706</v>
      </c>
      <c r="R3377" s="8" t="s">
        <v>100</v>
      </c>
      <c r="S3377" s="7" t="s">
        <v>28</v>
      </c>
      <c r="T3377" s="6"/>
      <c r="U3377" s="8"/>
    </row>
    <row r="3378" spans="1:34" ht="15" customHeight="1">
      <c r="A3378" s="8" t="s">
        <v>18707</v>
      </c>
      <c r="B3378" s="16">
        <v>32</v>
      </c>
      <c r="C3378" s="8" t="s">
        <v>20</v>
      </c>
      <c r="D3378" s="8" t="s">
        <v>30</v>
      </c>
      <c r="F3378" s="17">
        <v>41301</v>
      </c>
      <c r="G3378" s="8" t="s">
        <v>18708</v>
      </c>
      <c r="H3378" s="8" t="s">
        <v>1220</v>
      </c>
      <c r="I3378" s="8" t="s">
        <v>306</v>
      </c>
      <c r="J3378" s="16" t="s">
        <v>18709</v>
      </c>
      <c r="K3378" s="2" t="s">
        <v>1221</v>
      </c>
      <c r="L3378" s="8" t="s">
        <v>1222</v>
      </c>
      <c r="M3378" s="8" t="s">
        <v>27</v>
      </c>
      <c r="N3378" s="8" t="s">
        <v>18710</v>
      </c>
      <c r="O3378" s="8" t="s">
        <v>1018</v>
      </c>
      <c r="P3378" s="8" t="s">
        <v>405</v>
      </c>
      <c r="Q3378" s="12" t="s">
        <v>18711</v>
      </c>
      <c r="R3378" s="8" t="s">
        <v>100</v>
      </c>
      <c r="S3378" s="7" t="s">
        <v>28</v>
      </c>
      <c r="T3378" s="6"/>
      <c r="U3378" s="8"/>
    </row>
    <row r="3379" spans="1:34" ht="15" customHeight="1">
      <c r="A3379" s="8" t="s">
        <v>18722</v>
      </c>
      <c r="B3379" s="16">
        <v>16</v>
      </c>
      <c r="C3379" s="8" t="s">
        <v>20</v>
      </c>
      <c r="D3379" s="8" t="s">
        <v>37</v>
      </c>
      <c r="E3379" s="8" t="s">
        <v>18723</v>
      </c>
      <c r="F3379" s="17">
        <v>41299</v>
      </c>
      <c r="G3379" s="8" t="s">
        <v>18724</v>
      </c>
      <c r="H3379" s="8" t="s">
        <v>3383</v>
      </c>
      <c r="I3379" s="8" t="s">
        <v>306</v>
      </c>
      <c r="J3379" s="16" t="s">
        <v>18725</v>
      </c>
      <c r="K3379" s="2" t="s">
        <v>574</v>
      </c>
      <c r="L3379" s="8" t="s">
        <v>5704</v>
      </c>
      <c r="M3379" s="8" t="s">
        <v>27</v>
      </c>
      <c r="N3379" s="8" t="s">
        <v>18726</v>
      </c>
      <c r="O3379" s="8" t="s">
        <v>554</v>
      </c>
      <c r="P3379" s="8" t="s">
        <v>405</v>
      </c>
      <c r="Q3379" s="12" t="s">
        <v>18727</v>
      </c>
      <c r="R3379" s="8" t="s">
        <v>100</v>
      </c>
      <c r="S3379" s="7" t="s">
        <v>28</v>
      </c>
      <c r="T3379" s="6"/>
      <c r="U3379" s="8"/>
    </row>
    <row r="3380" spans="1:34" ht="15" customHeight="1">
      <c r="A3380" s="8" t="s">
        <v>18712</v>
      </c>
      <c r="B3380" s="16">
        <v>41</v>
      </c>
      <c r="C3380" s="8" t="s">
        <v>20</v>
      </c>
      <c r="D3380" s="8" t="s">
        <v>85</v>
      </c>
      <c r="F3380" s="17">
        <v>41299</v>
      </c>
      <c r="G3380" s="8" t="s">
        <v>18713</v>
      </c>
      <c r="H3380" s="8" t="s">
        <v>1608</v>
      </c>
      <c r="I3380" s="8" t="s">
        <v>52</v>
      </c>
      <c r="J3380" s="16" t="s">
        <v>18714</v>
      </c>
      <c r="K3380" s="2" t="s">
        <v>4755</v>
      </c>
      <c r="L3380" s="8" t="s">
        <v>2799</v>
      </c>
      <c r="M3380" s="8" t="s">
        <v>27</v>
      </c>
      <c r="N3380" s="8" t="s">
        <v>18715</v>
      </c>
      <c r="O3380" s="8" t="s">
        <v>1018</v>
      </c>
      <c r="P3380" s="8" t="s">
        <v>405</v>
      </c>
      <c r="Q3380" s="12" t="s">
        <v>18716</v>
      </c>
      <c r="R3380" s="8" t="s">
        <v>100</v>
      </c>
      <c r="S3380" s="7" t="s">
        <v>28</v>
      </c>
      <c r="T3380" s="6"/>
      <c r="U3380" s="8"/>
    </row>
    <row r="3381" spans="1:34" ht="15" customHeight="1">
      <c r="A3381" s="8" t="s">
        <v>18717</v>
      </c>
      <c r="B3381" s="16" t="s">
        <v>16330</v>
      </c>
      <c r="C3381" s="8" t="s">
        <v>20</v>
      </c>
      <c r="D3381" s="8" t="s">
        <v>85</v>
      </c>
      <c r="E3381" s="8" t="s">
        <v>18718</v>
      </c>
      <c r="F3381" s="17">
        <v>41299</v>
      </c>
      <c r="G3381" s="8" t="s">
        <v>18719</v>
      </c>
      <c r="H3381" s="8" t="s">
        <v>565</v>
      </c>
      <c r="I3381" s="8" t="s">
        <v>124</v>
      </c>
      <c r="J3381" s="16">
        <v>85716</v>
      </c>
      <c r="K3381" s="2" t="s">
        <v>566</v>
      </c>
      <c r="L3381" s="8" t="s">
        <v>567</v>
      </c>
      <c r="M3381" s="8" t="s">
        <v>27</v>
      </c>
      <c r="N3381" s="8" t="s">
        <v>18720</v>
      </c>
      <c r="O3381" s="8" t="s">
        <v>29</v>
      </c>
      <c r="P3381" s="8" t="s">
        <v>405</v>
      </c>
      <c r="Q3381" s="12" t="s">
        <v>18721</v>
      </c>
      <c r="R3381" s="8" t="s">
        <v>100</v>
      </c>
      <c r="S3381" s="7" t="s">
        <v>28</v>
      </c>
      <c r="T3381" s="6"/>
      <c r="U3381" s="8"/>
    </row>
    <row r="3382" spans="1:34" ht="15" customHeight="1">
      <c r="A3382" s="8" t="s">
        <v>18734</v>
      </c>
      <c r="B3382" s="16">
        <v>60</v>
      </c>
      <c r="C3382" s="8" t="s">
        <v>115</v>
      </c>
      <c r="D3382" s="8" t="s">
        <v>85</v>
      </c>
      <c r="E3382" s="8" t="s">
        <v>18735</v>
      </c>
      <c r="F3382" s="17">
        <v>41298</v>
      </c>
      <c r="G3382" s="8" t="s">
        <v>18736</v>
      </c>
      <c r="H3382" s="8" t="s">
        <v>7111</v>
      </c>
      <c r="I3382" s="8" t="s">
        <v>25</v>
      </c>
      <c r="J3382" s="16" t="s">
        <v>7112</v>
      </c>
      <c r="K3382" s="2" t="s">
        <v>7113</v>
      </c>
      <c r="L3382" s="8" t="s">
        <v>18737</v>
      </c>
      <c r="M3382" s="8" t="s">
        <v>27</v>
      </c>
      <c r="N3382" s="8" t="s">
        <v>18738</v>
      </c>
      <c r="O3382" s="8" t="s">
        <v>18739</v>
      </c>
      <c r="P3382" s="8" t="s">
        <v>405</v>
      </c>
      <c r="Q3382" s="12" t="s">
        <v>18740</v>
      </c>
      <c r="R3382" s="8" t="s">
        <v>100</v>
      </c>
      <c r="S3382" s="7" t="s">
        <v>28</v>
      </c>
      <c r="T3382" s="6"/>
      <c r="U3382" s="8"/>
    </row>
    <row r="3383" spans="1:34" ht="15" customHeight="1">
      <c r="A3383" s="8" t="s">
        <v>18746</v>
      </c>
      <c r="B3383" s="16">
        <v>34</v>
      </c>
      <c r="C3383" s="8" t="s">
        <v>20</v>
      </c>
      <c r="D3383" s="8" t="s">
        <v>37</v>
      </c>
      <c r="E3383" s="8" t="s">
        <v>18747</v>
      </c>
      <c r="F3383" s="17">
        <v>41298</v>
      </c>
      <c r="G3383" s="8" t="s">
        <v>18748</v>
      </c>
      <c r="H3383" s="8" t="s">
        <v>2366</v>
      </c>
      <c r="I3383" s="8" t="s">
        <v>57</v>
      </c>
      <c r="J3383" s="16" t="s">
        <v>18749</v>
      </c>
      <c r="K3383" s="2" t="s">
        <v>2366</v>
      </c>
      <c r="L3383" s="8" t="s">
        <v>18750</v>
      </c>
      <c r="M3383" s="8" t="s">
        <v>27</v>
      </c>
      <c r="N3383" s="8" t="s">
        <v>18751</v>
      </c>
      <c r="O3383" s="8" t="s">
        <v>554</v>
      </c>
      <c r="P3383" s="8" t="s">
        <v>405</v>
      </c>
      <c r="Q3383" s="12" t="s">
        <v>18752</v>
      </c>
      <c r="R3383" s="8" t="s">
        <v>100</v>
      </c>
      <c r="S3383" s="7" t="s">
        <v>28</v>
      </c>
      <c r="T3383" s="6"/>
      <c r="U3383" s="8"/>
    </row>
    <row r="3384" spans="1:34" ht="15" customHeight="1">
      <c r="A3384" s="8" t="s">
        <v>18741</v>
      </c>
      <c r="B3384" s="16">
        <v>22</v>
      </c>
      <c r="C3384" s="8" t="s">
        <v>20</v>
      </c>
      <c r="D3384" s="8" t="s">
        <v>30</v>
      </c>
      <c r="F3384" s="17">
        <v>41298</v>
      </c>
      <c r="G3384" s="8" t="s">
        <v>18742</v>
      </c>
      <c r="H3384" s="8" t="s">
        <v>12558</v>
      </c>
      <c r="I3384" s="8" t="s">
        <v>73</v>
      </c>
      <c r="J3384" s="16" t="s">
        <v>18743</v>
      </c>
      <c r="K3384" s="2" t="s">
        <v>74</v>
      </c>
      <c r="L3384" s="8" t="s">
        <v>12560</v>
      </c>
      <c r="M3384" s="8" t="s">
        <v>27</v>
      </c>
      <c r="N3384" s="8" t="s">
        <v>18744</v>
      </c>
      <c r="O3384" s="8" t="s">
        <v>1018</v>
      </c>
      <c r="P3384" s="8" t="s">
        <v>405</v>
      </c>
      <c r="Q3384" s="12" t="s">
        <v>18745</v>
      </c>
      <c r="R3384" s="8" t="s">
        <v>100</v>
      </c>
      <c r="S3384" s="7" t="s">
        <v>28</v>
      </c>
      <c r="T3384" s="6"/>
      <c r="U3384" s="8"/>
    </row>
    <row r="3385" spans="1:34" ht="15" customHeight="1">
      <c r="A3385" s="8" t="s">
        <v>18728</v>
      </c>
      <c r="B3385" s="16">
        <v>22</v>
      </c>
      <c r="C3385" s="8" t="s">
        <v>20</v>
      </c>
      <c r="D3385" s="8" t="s">
        <v>85</v>
      </c>
      <c r="E3385" s="8" t="s">
        <v>18729</v>
      </c>
      <c r="F3385" s="17">
        <v>41298</v>
      </c>
      <c r="G3385" s="8" t="s">
        <v>18730</v>
      </c>
      <c r="H3385" s="8" t="s">
        <v>6022</v>
      </c>
      <c r="I3385" s="8" t="s">
        <v>370</v>
      </c>
      <c r="J3385" s="16" t="s">
        <v>18731</v>
      </c>
      <c r="K3385" s="2" t="s">
        <v>3187</v>
      </c>
      <c r="L3385" s="8" t="s">
        <v>6024</v>
      </c>
      <c r="M3385" s="8" t="s">
        <v>27</v>
      </c>
      <c r="N3385" s="8" t="s">
        <v>18732</v>
      </c>
      <c r="O3385" s="8" t="s">
        <v>554</v>
      </c>
      <c r="P3385" s="8" t="s">
        <v>405</v>
      </c>
      <c r="Q3385" s="12" t="s">
        <v>18733</v>
      </c>
      <c r="R3385" s="8" t="s">
        <v>100</v>
      </c>
      <c r="S3385" s="7" t="s">
        <v>28</v>
      </c>
      <c r="T3385" s="6"/>
      <c r="U3385" s="8"/>
    </row>
    <row r="3386" spans="1:34" ht="15" customHeight="1">
      <c r="A3386" s="8" t="s">
        <v>18753</v>
      </c>
      <c r="B3386" s="16" t="s">
        <v>16309</v>
      </c>
      <c r="C3386" s="8" t="s">
        <v>20</v>
      </c>
      <c r="D3386" s="8" t="s">
        <v>85</v>
      </c>
      <c r="E3386" s="8" t="s">
        <v>18754</v>
      </c>
      <c r="F3386" s="17">
        <v>41297</v>
      </c>
      <c r="G3386" s="8" t="s">
        <v>18755</v>
      </c>
      <c r="H3386" s="8" t="s">
        <v>18756</v>
      </c>
      <c r="I3386" s="8" t="s">
        <v>73</v>
      </c>
      <c r="J3386" s="16" t="s">
        <v>18757</v>
      </c>
      <c r="K3386" s="2" t="s">
        <v>1591</v>
      </c>
      <c r="L3386" s="8" t="s">
        <v>18758</v>
      </c>
      <c r="M3386" s="8" t="s">
        <v>27</v>
      </c>
      <c r="N3386" s="8" t="s">
        <v>18759</v>
      </c>
      <c r="O3386" s="8" t="s">
        <v>554</v>
      </c>
      <c r="P3386" s="8" t="s">
        <v>405</v>
      </c>
      <c r="Q3386" s="12" t="s">
        <v>18760</v>
      </c>
      <c r="R3386" s="8" t="s">
        <v>559</v>
      </c>
      <c r="S3386" s="7" t="s">
        <v>28</v>
      </c>
      <c r="T3386" s="6"/>
      <c r="U3386" s="8"/>
      <c r="Y3386" s="8"/>
      <c r="Z3386" s="8"/>
      <c r="AA3386" s="8"/>
      <c r="AB3386" s="8"/>
      <c r="AC3386" s="8"/>
      <c r="AD3386" s="8"/>
      <c r="AE3386" s="8"/>
      <c r="AF3386" s="8"/>
      <c r="AG3386" s="8"/>
      <c r="AH3386" s="8"/>
    </row>
    <row r="3387" spans="1:34" ht="15" customHeight="1">
      <c r="A3387" s="8" t="s">
        <v>18778</v>
      </c>
      <c r="B3387" s="16">
        <v>46</v>
      </c>
      <c r="C3387" s="8" t="s">
        <v>115</v>
      </c>
      <c r="D3387" s="8" t="s">
        <v>37</v>
      </c>
      <c r="E3387" s="8" t="s">
        <v>18779</v>
      </c>
      <c r="F3387" s="17">
        <v>41296</v>
      </c>
      <c r="G3387" s="8" t="s">
        <v>18775</v>
      </c>
      <c r="H3387" s="8" t="s">
        <v>3245</v>
      </c>
      <c r="I3387" s="8" t="s">
        <v>272</v>
      </c>
      <c r="J3387" s="16" t="s">
        <v>3246</v>
      </c>
      <c r="K3387" s="2" t="s">
        <v>574</v>
      </c>
      <c r="L3387" s="8" t="s">
        <v>575</v>
      </c>
      <c r="M3387" s="8" t="s">
        <v>27</v>
      </c>
      <c r="N3387" s="8" t="s">
        <v>18780</v>
      </c>
      <c r="O3387" s="8" t="s">
        <v>1170</v>
      </c>
      <c r="P3387" s="8" t="s">
        <v>1171</v>
      </c>
      <c r="Q3387" s="12" t="s">
        <v>18777</v>
      </c>
      <c r="R3387" s="8" t="s">
        <v>100</v>
      </c>
      <c r="S3387" s="7" t="s">
        <v>28</v>
      </c>
      <c r="T3387" s="6"/>
      <c r="U3387" s="8"/>
    </row>
    <row r="3388" spans="1:34" ht="15" customHeight="1">
      <c r="A3388" s="8" t="s">
        <v>18774</v>
      </c>
      <c r="B3388" s="16">
        <v>5</v>
      </c>
      <c r="C3388" s="8" t="s">
        <v>20</v>
      </c>
      <c r="D3388" s="8" t="s">
        <v>37</v>
      </c>
      <c r="F3388" s="17">
        <v>41296</v>
      </c>
      <c r="G3388" s="8" t="s">
        <v>18775</v>
      </c>
      <c r="H3388" s="8" t="s">
        <v>3245</v>
      </c>
      <c r="I3388" s="8" t="s">
        <v>272</v>
      </c>
      <c r="J3388" s="16" t="s">
        <v>3246</v>
      </c>
      <c r="K3388" s="2" t="s">
        <v>574</v>
      </c>
      <c r="L3388" s="8" t="s">
        <v>575</v>
      </c>
      <c r="M3388" s="8" t="s">
        <v>27</v>
      </c>
      <c r="N3388" s="8" t="s">
        <v>18776</v>
      </c>
      <c r="O3388" s="8" t="s">
        <v>1170</v>
      </c>
      <c r="P3388" s="8" t="s">
        <v>1171</v>
      </c>
      <c r="Q3388" s="12" t="s">
        <v>18777</v>
      </c>
      <c r="R3388" s="8" t="s">
        <v>100</v>
      </c>
      <c r="S3388" s="7" t="s">
        <v>28</v>
      </c>
      <c r="T3388" s="6"/>
      <c r="U3388" s="8"/>
    </row>
    <row r="3389" spans="1:34" ht="15" customHeight="1">
      <c r="A3389" s="8" t="s">
        <v>18766</v>
      </c>
      <c r="B3389" s="16">
        <v>20</v>
      </c>
      <c r="C3389" s="8" t="s">
        <v>20</v>
      </c>
      <c r="D3389" s="8" t="s">
        <v>30</v>
      </c>
      <c r="F3389" s="17">
        <v>41296</v>
      </c>
      <c r="G3389" s="8" t="s">
        <v>18767</v>
      </c>
      <c r="H3389" s="8" t="s">
        <v>18768</v>
      </c>
      <c r="I3389" s="8" t="s">
        <v>212</v>
      </c>
      <c r="J3389" s="16" t="s">
        <v>18769</v>
      </c>
      <c r="K3389" s="2" t="s">
        <v>18770</v>
      </c>
      <c r="L3389" s="8" t="s">
        <v>18771</v>
      </c>
      <c r="M3389" s="8" t="s">
        <v>27</v>
      </c>
      <c r="N3389" s="8" t="s">
        <v>18772</v>
      </c>
      <c r="O3389" s="8" t="s">
        <v>554</v>
      </c>
      <c r="P3389" s="8" t="s">
        <v>405</v>
      </c>
      <c r="Q3389" s="12" t="s">
        <v>18773</v>
      </c>
      <c r="R3389" s="8" t="s">
        <v>100</v>
      </c>
      <c r="S3389" s="7" t="s">
        <v>28</v>
      </c>
      <c r="T3389" s="6"/>
      <c r="U3389" s="8"/>
      <c r="V3389" s="8"/>
      <c r="W3389" s="8"/>
      <c r="X3389" s="8"/>
    </row>
    <row r="3390" spans="1:34" ht="15" customHeight="1">
      <c r="A3390" s="8" t="s">
        <v>18761</v>
      </c>
      <c r="B3390" s="16">
        <v>33</v>
      </c>
      <c r="C3390" s="8" t="s">
        <v>20</v>
      </c>
      <c r="D3390" s="8" t="s">
        <v>30</v>
      </c>
      <c r="F3390" s="17">
        <v>41296</v>
      </c>
      <c r="G3390" s="8" t="s">
        <v>18762</v>
      </c>
      <c r="H3390" s="8" t="s">
        <v>12710</v>
      </c>
      <c r="I3390" s="8" t="s">
        <v>198</v>
      </c>
      <c r="J3390" s="16" t="s">
        <v>18763</v>
      </c>
      <c r="K3390" s="2" t="s">
        <v>5808</v>
      </c>
      <c r="L3390" s="8" t="s">
        <v>12712</v>
      </c>
      <c r="M3390" s="8" t="s">
        <v>27</v>
      </c>
      <c r="N3390" s="8" t="s">
        <v>18764</v>
      </c>
      <c r="O3390" s="8" t="s">
        <v>1018</v>
      </c>
      <c r="P3390" s="8" t="s">
        <v>405</v>
      </c>
      <c r="Q3390" s="12" t="s">
        <v>18765</v>
      </c>
      <c r="R3390" s="8" t="s">
        <v>29</v>
      </c>
      <c r="S3390" s="7" t="s">
        <v>28</v>
      </c>
      <c r="T3390" s="6"/>
      <c r="U3390" s="8"/>
    </row>
    <row r="3391" spans="1:34" ht="15" customHeight="1">
      <c r="A3391" s="8" t="s">
        <v>18790</v>
      </c>
      <c r="B3391" s="16">
        <v>18</v>
      </c>
      <c r="C3391" s="8" t="s">
        <v>20</v>
      </c>
      <c r="D3391" s="8" t="s">
        <v>48</v>
      </c>
      <c r="E3391" s="8" t="s">
        <v>18791</v>
      </c>
      <c r="F3391" s="17">
        <v>41295</v>
      </c>
      <c r="G3391" s="8" t="s">
        <v>18792</v>
      </c>
      <c r="H3391" s="8" t="s">
        <v>16416</v>
      </c>
      <c r="I3391" s="8" t="s">
        <v>442</v>
      </c>
      <c r="J3391" s="16" t="s">
        <v>16417</v>
      </c>
      <c r="K3391" s="2" t="s">
        <v>16418</v>
      </c>
      <c r="L3391" s="8" t="s">
        <v>16419</v>
      </c>
      <c r="M3391" s="8" t="s">
        <v>27</v>
      </c>
      <c r="N3391" s="8" t="s">
        <v>18793</v>
      </c>
      <c r="O3391" s="8" t="s">
        <v>554</v>
      </c>
      <c r="P3391" s="8" t="s">
        <v>405</v>
      </c>
      <c r="Q3391" s="12" t="s">
        <v>18794</v>
      </c>
      <c r="R3391" s="8" t="s">
        <v>100</v>
      </c>
      <c r="S3391" s="7" t="s">
        <v>28</v>
      </c>
      <c r="T3391" s="6"/>
      <c r="U3391" s="8"/>
    </row>
    <row r="3392" spans="1:34" ht="15" customHeight="1">
      <c r="A3392" s="8" t="s">
        <v>18781</v>
      </c>
      <c r="B3392" s="16">
        <v>50</v>
      </c>
      <c r="C3392" s="8" t="s">
        <v>20</v>
      </c>
      <c r="D3392" s="8" t="s">
        <v>85</v>
      </c>
      <c r="E3392" s="8" t="s">
        <v>18782</v>
      </c>
      <c r="F3392" s="17">
        <v>41295</v>
      </c>
      <c r="G3392" s="8" t="s">
        <v>18783</v>
      </c>
      <c r="H3392" s="8" t="s">
        <v>18784</v>
      </c>
      <c r="I3392" s="8" t="s">
        <v>25</v>
      </c>
      <c r="J3392" s="16" t="s">
        <v>18785</v>
      </c>
      <c r="K3392" s="2" t="s">
        <v>18786</v>
      </c>
      <c r="L3392" s="8" t="s">
        <v>18787</v>
      </c>
      <c r="M3392" s="8" t="s">
        <v>27</v>
      </c>
      <c r="N3392" s="8" t="s">
        <v>18788</v>
      </c>
      <c r="O3392" s="8" t="s">
        <v>29</v>
      </c>
      <c r="P3392" s="8" t="s">
        <v>405</v>
      </c>
      <c r="Q3392" s="12" t="s">
        <v>18789</v>
      </c>
      <c r="R3392" s="8" t="s">
        <v>100</v>
      </c>
      <c r="S3392" s="7" t="s">
        <v>28</v>
      </c>
      <c r="T3392" s="6"/>
      <c r="U3392" s="8"/>
    </row>
    <row r="3393" spans="1:34" ht="15" customHeight="1">
      <c r="A3393" s="8" t="s">
        <v>18795</v>
      </c>
      <c r="B3393" s="16">
        <v>22</v>
      </c>
      <c r="C3393" s="8" t="s">
        <v>20</v>
      </c>
      <c r="D3393" s="8" t="s">
        <v>85</v>
      </c>
      <c r="F3393" s="17">
        <v>41293</v>
      </c>
      <c r="G3393" s="8" t="s">
        <v>18796</v>
      </c>
      <c r="H3393" s="8" t="s">
        <v>18796</v>
      </c>
      <c r="I3393" s="8" t="s">
        <v>435</v>
      </c>
      <c r="J3393" s="16" t="s">
        <v>11758</v>
      </c>
      <c r="K3393" s="2" t="s">
        <v>18797</v>
      </c>
      <c r="L3393" s="8" t="s">
        <v>4572</v>
      </c>
      <c r="M3393" s="8" t="s">
        <v>27</v>
      </c>
      <c r="N3393" s="8" t="s">
        <v>18798</v>
      </c>
      <c r="O3393" s="8" t="s">
        <v>554</v>
      </c>
      <c r="P3393" s="8" t="s">
        <v>405</v>
      </c>
      <c r="Q3393" s="12" t="s">
        <v>18799</v>
      </c>
      <c r="R3393" s="8" t="s">
        <v>100</v>
      </c>
      <c r="S3393" s="7" t="s">
        <v>18</v>
      </c>
      <c r="T3393" s="6"/>
      <c r="U3393" s="8"/>
    </row>
    <row r="3394" spans="1:34" ht="15" customHeight="1">
      <c r="A3394" s="8" t="s">
        <v>18815</v>
      </c>
      <c r="B3394" s="16">
        <v>50</v>
      </c>
      <c r="C3394" s="8" t="s">
        <v>20</v>
      </c>
      <c r="D3394" s="8" t="s">
        <v>37</v>
      </c>
      <c r="E3394" s="8" t="s">
        <v>18816</v>
      </c>
      <c r="F3394" s="17">
        <v>41292</v>
      </c>
      <c r="G3394" s="8" t="s">
        <v>18817</v>
      </c>
      <c r="H3394" s="8" t="s">
        <v>7907</v>
      </c>
      <c r="I3394" s="8" t="s">
        <v>94</v>
      </c>
      <c r="J3394" s="16" t="s">
        <v>18818</v>
      </c>
      <c r="K3394" s="2" t="s">
        <v>6179</v>
      </c>
      <c r="L3394" s="8" t="s">
        <v>18819</v>
      </c>
      <c r="M3394" s="8" t="s">
        <v>27</v>
      </c>
      <c r="N3394" s="8" t="s">
        <v>18820</v>
      </c>
      <c r="O3394" s="8" t="s">
        <v>29</v>
      </c>
      <c r="P3394" s="8" t="s">
        <v>405</v>
      </c>
      <c r="Q3394" s="12" t="s">
        <v>18821</v>
      </c>
      <c r="R3394" s="8" t="s">
        <v>100</v>
      </c>
      <c r="S3394" s="7" t="s">
        <v>28</v>
      </c>
      <c r="T3394" s="6"/>
      <c r="U3394" s="8"/>
    </row>
    <row r="3395" spans="1:34" ht="15" customHeight="1">
      <c r="A3395" s="8" t="s">
        <v>18831</v>
      </c>
      <c r="B3395" s="16">
        <v>21</v>
      </c>
      <c r="C3395" s="8" t="s">
        <v>20</v>
      </c>
      <c r="D3395" s="8" t="s">
        <v>37</v>
      </c>
      <c r="E3395" s="8" t="s">
        <v>18832</v>
      </c>
      <c r="F3395" s="17">
        <v>41292</v>
      </c>
      <c r="G3395" s="8" t="s">
        <v>18833</v>
      </c>
      <c r="H3395" s="8" t="s">
        <v>18834</v>
      </c>
      <c r="I3395" s="8" t="s">
        <v>367</v>
      </c>
      <c r="J3395" s="16" t="s">
        <v>18835</v>
      </c>
      <c r="K3395" s="2" t="s">
        <v>3324</v>
      </c>
      <c r="L3395" s="8" t="s">
        <v>18836</v>
      </c>
      <c r="M3395" s="8" t="s">
        <v>27</v>
      </c>
      <c r="N3395" s="8" t="s">
        <v>18837</v>
      </c>
      <c r="O3395" s="8" t="s">
        <v>554</v>
      </c>
      <c r="P3395" s="8" t="s">
        <v>405</v>
      </c>
      <c r="Q3395" s="12" t="s">
        <v>18838</v>
      </c>
      <c r="R3395" s="8" t="s">
        <v>29</v>
      </c>
      <c r="S3395" s="7" t="s">
        <v>28</v>
      </c>
      <c r="T3395" s="6"/>
      <c r="U3395" s="8"/>
    </row>
    <row r="3396" spans="1:34" ht="15" customHeight="1">
      <c r="A3396" s="8" t="s">
        <v>18822</v>
      </c>
      <c r="B3396" s="16">
        <v>41</v>
      </c>
      <c r="C3396" s="8" t="s">
        <v>20</v>
      </c>
      <c r="D3396" s="8" t="s">
        <v>37</v>
      </c>
      <c r="E3396" s="8" t="s">
        <v>18823</v>
      </c>
      <c r="F3396" s="17">
        <v>41292</v>
      </c>
      <c r="G3396" s="8" t="s">
        <v>18824</v>
      </c>
      <c r="H3396" s="8" t="s">
        <v>18825</v>
      </c>
      <c r="I3396" s="8" t="s">
        <v>45</v>
      </c>
      <c r="J3396" s="16" t="s">
        <v>18826</v>
      </c>
      <c r="K3396" s="2" t="s">
        <v>18827</v>
      </c>
      <c r="L3396" s="8" t="s">
        <v>18828</v>
      </c>
      <c r="M3396" s="8" t="s">
        <v>27</v>
      </c>
      <c r="N3396" s="8" t="s">
        <v>18829</v>
      </c>
      <c r="O3396" s="8" t="s">
        <v>554</v>
      </c>
      <c r="P3396" s="8" t="s">
        <v>405</v>
      </c>
      <c r="Q3396" s="12" t="s">
        <v>18830</v>
      </c>
      <c r="R3396" s="8" t="s">
        <v>100</v>
      </c>
      <c r="S3396" s="7" t="s">
        <v>28</v>
      </c>
      <c r="T3396" s="6"/>
      <c r="U3396" s="8"/>
    </row>
    <row r="3397" spans="1:34" ht="15" customHeight="1">
      <c r="A3397" s="8" t="s">
        <v>18800</v>
      </c>
      <c r="B3397" s="16">
        <v>20</v>
      </c>
      <c r="C3397" s="8" t="s">
        <v>20</v>
      </c>
      <c r="D3397" s="8" t="s">
        <v>85</v>
      </c>
      <c r="F3397" s="17">
        <v>41292</v>
      </c>
      <c r="G3397" s="8" t="s">
        <v>18801</v>
      </c>
      <c r="H3397" s="8" t="s">
        <v>18802</v>
      </c>
      <c r="I3397" s="8" t="s">
        <v>175</v>
      </c>
      <c r="J3397" s="16" t="s">
        <v>18803</v>
      </c>
      <c r="K3397" s="2" t="s">
        <v>1317</v>
      </c>
      <c r="L3397" s="8" t="s">
        <v>18804</v>
      </c>
      <c r="M3397" s="8" t="s">
        <v>27</v>
      </c>
      <c r="N3397" s="8" t="s">
        <v>18805</v>
      </c>
      <c r="O3397" s="8" t="s">
        <v>404</v>
      </c>
      <c r="P3397" s="8" t="s">
        <v>405</v>
      </c>
      <c r="Q3397" s="12" t="s">
        <v>18806</v>
      </c>
      <c r="R3397" s="8" t="s">
        <v>100</v>
      </c>
      <c r="S3397" s="7" t="s">
        <v>28</v>
      </c>
      <c r="T3397" s="6"/>
      <c r="U3397" s="8"/>
      <c r="Y3397" s="8"/>
      <c r="Z3397" s="8"/>
      <c r="AA3397" s="8"/>
      <c r="AB3397" s="8"/>
      <c r="AC3397" s="8"/>
      <c r="AD3397" s="8"/>
      <c r="AE3397" s="8"/>
      <c r="AF3397" s="8"/>
      <c r="AG3397" s="8"/>
      <c r="AH3397" s="8"/>
    </row>
    <row r="3398" spans="1:34" ht="15" customHeight="1">
      <c r="A3398" s="8" t="s">
        <v>18839</v>
      </c>
      <c r="B3398" s="16">
        <v>29</v>
      </c>
      <c r="C3398" s="8" t="s">
        <v>20</v>
      </c>
      <c r="D3398" s="8" t="s">
        <v>37</v>
      </c>
      <c r="E3398" s="8" t="s">
        <v>18840</v>
      </c>
      <c r="F3398" s="17">
        <v>41292</v>
      </c>
      <c r="G3398" s="8" t="s">
        <v>18841</v>
      </c>
      <c r="H3398" s="8" t="s">
        <v>3383</v>
      </c>
      <c r="I3398" s="8" t="s">
        <v>306</v>
      </c>
      <c r="J3398" s="16" t="s">
        <v>18842</v>
      </c>
      <c r="K3398" s="2" t="s">
        <v>574</v>
      </c>
      <c r="L3398" s="8" t="s">
        <v>5704</v>
      </c>
      <c r="M3398" s="8" t="s">
        <v>27</v>
      </c>
      <c r="N3398" s="8" t="s">
        <v>18843</v>
      </c>
      <c r="O3398" s="8" t="s">
        <v>1018</v>
      </c>
      <c r="P3398" s="8" t="s">
        <v>405</v>
      </c>
      <c r="Q3398" s="12" t="s">
        <v>18844</v>
      </c>
      <c r="R3398" s="8" t="s">
        <v>100</v>
      </c>
      <c r="S3398" s="7" t="s">
        <v>28</v>
      </c>
      <c r="T3398" s="6"/>
      <c r="U3398" s="8"/>
    </row>
    <row r="3399" spans="1:34" ht="15" customHeight="1">
      <c r="A3399" s="8" t="s">
        <v>18807</v>
      </c>
      <c r="B3399" s="16">
        <v>38</v>
      </c>
      <c r="C3399" s="8" t="s">
        <v>20</v>
      </c>
      <c r="D3399" s="8" t="s">
        <v>85</v>
      </c>
      <c r="E3399" s="8" t="s">
        <v>18808</v>
      </c>
      <c r="F3399" s="17">
        <v>41292</v>
      </c>
      <c r="G3399" s="8" t="s">
        <v>18809</v>
      </c>
      <c r="H3399" s="8" t="s">
        <v>18810</v>
      </c>
      <c r="I3399" s="8" t="s">
        <v>370</v>
      </c>
      <c r="J3399" s="16" t="s">
        <v>18811</v>
      </c>
      <c r="K3399" s="2" t="s">
        <v>2430</v>
      </c>
      <c r="L3399" s="8" t="s">
        <v>18812</v>
      </c>
      <c r="M3399" s="8" t="s">
        <v>27</v>
      </c>
      <c r="N3399" s="8" t="s">
        <v>18813</v>
      </c>
      <c r="O3399" s="8" t="s">
        <v>1018</v>
      </c>
      <c r="P3399" s="8" t="s">
        <v>405</v>
      </c>
      <c r="Q3399" s="12" t="s">
        <v>18814</v>
      </c>
      <c r="R3399" s="8" t="s">
        <v>100</v>
      </c>
      <c r="S3399" s="7" t="s">
        <v>28</v>
      </c>
      <c r="T3399" s="6"/>
      <c r="U3399" s="8"/>
    </row>
    <row r="3400" spans="1:34" ht="15" customHeight="1">
      <c r="A3400" s="8" t="s">
        <v>18849</v>
      </c>
      <c r="B3400" s="16">
        <v>27</v>
      </c>
      <c r="C3400" s="8" t="s">
        <v>20</v>
      </c>
      <c r="D3400" s="8" t="s">
        <v>48</v>
      </c>
      <c r="E3400" s="8" t="s">
        <v>18850</v>
      </c>
      <c r="F3400" s="17">
        <v>41291</v>
      </c>
      <c r="G3400" s="8" t="s">
        <v>18851</v>
      </c>
      <c r="H3400" s="8" t="s">
        <v>158</v>
      </c>
      <c r="I3400" s="8" t="s">
        <v>45</v>
      </c>
      <c r="J3400" s="16" t="s">
        <v>18852</v>
      </c>
      <c r="K3400" s="2" t="s">
        <v>158</v>
      </c>
      <c r="L3400" s="8" t="s">
        <v>159</v>
      </c>
      <c r="M3400" s="8" t="s">
        <v>27</v>
      </c>
      <c r="N3400" s="8" t="s">
        <v>18853</v>
      </c>
      <c r="O3400" s="8" t="s">
        <v>404</v>
      </c>
      <c r="P3400" s="8" t="s">
        <v>405</v>
      </c>
      <c r="Q3400" s="12" t="s">
        <v>18854</v>
      </c>
      <c r="R3400" s="8" t="s">
        <v>100</v>
      </c>
      <c r="S3400" s="7" t="s">
        <v>28</v>
      </c>
      <c r="T3400" s="6"/>
      <c r="U3400" s="8"/>
    </row>
    <row r="3401" spans="1:34" ht="15" customHeight="1">
      <c r="A3401" s="8" t="s">
        <v>18863</v>
      </c>
      <c r="B3401" s="16">
        <v>30</v>
      </c>
      <c r="C3401" s="8" t="s">
        <v>20</v>
      </c>
      <c r="D3401" s="8" t="s">
        <v>30</v>
      </c>
      <c r="F3401" s="17">
        <v>41291</v>
      </c>
      <c r="G3401" s="8" t="s">
        <v>18864</v>
      </c>
      <c r="H3401" s="8" t="s">
        <v>18865</v>
      </c>
      <c r="I3401" s="8" t="s">
        <v>57</v>
      </c>
      <c r="J3401" s="16" t="s">
        <v>18866</v>
      </c>
      <c r="K3401" s="2" t="s">
        <v>11421</v>
      </c>
      <c r="L3401" s="8" t="s">
        <v>18867</v>
      </c>
      <c r="M3401" s="8" t="s">
        <v>27</v>
      </c>
      <c r="N3401" s="8" t="s">
        <v>18868</v>
      </c>
      <c r="O3401" s="8" t="s">
        <v>554</v>
      </c>
      <c r="P3401" s="8" t="s">
        <v>405</v>
      </c>
      <c r="Q3401" s="12" t="s">
        <v>18869</v>
      </c>
      <c r="R3401" s="8" t="s">
        <v>100</v>
      </c>
      <c r="S3401" s="7" t="s">
        <v>28</v>
      </c>
      <c r="T3401" s="6"/>
      <c r="U3401" s="8"/>
    </row>
    <row r="3402" spans="1:34" ht="15" customHeight="1">
      <c r="A3402" s="8" t="s">
        <v>18870</v>
      </c>
      <c r="B3402" s="16">
        <v>83</v>
      </c>
      <c r="C3402" s="8" t="s">
        <v>20</v>
      </c>
      <c r="D3402" s="8" t="s">
        <v>37</v>
      </c>
      <c r="E3402" s="8" t="s">
        <v>18871</v>
      </c>
      <c r="F3402" s="17">
        <v>41291</v>
      </c>
      <c r="G3402" s="8" t="s">
        <v>18872</v>
      </c>
      <c r="H3402" s="8" t="s">
        <v>18873</v>
      </c>
      <c r="I3402" s="8" t="s">
        <v>135</v>
      </c>
      <c r="J3402" s="16" t="s">
        <v>18874</v>
      </c>
      <c r="K3402" s="2" t="s">
        <v>18875</v>
      </c>
      <c r="L3402" s="8" t="s">
        <v>18876</v>
      </c>
      <c r="M3402" s="8" t="s">
        <v>27</v>
      </c>
      <c r="N3402" s="8" t="s">
        <v>18877</v>
      </c>
      <c r="O3402" s="8" t="s">
        <v>554</v>
      </c>
      <c r="P3402" s="8" t="s">
        <v>405</v>
      </c>
      <c r="Q3402" s="12" t="s">
        <v>18878</v>
      </c>
      <c r="R3402" s="8" t="s">
        <v>559</v>
      </c>
      <c r="S3402" s="7" t="s">
        <v>28</v>
      </c>
      <c r="T3402" s="6"/>
      <c r="U3402" s="8"/>
    </row>
    <row r="3403" spans="1:34" ht="15" customHeight="1">
      <c r="A3403" s="8" t="s">
        <v>18855</v>
      </c>
      <c r="B3403" s="16">
        <v>44</v>
      </c>
      <c r="C3403" s="8" t="s">
        <v>20</v>
      </c>
      <c r="D3403" s="8" t="s">
        <v>48</v>
      </c>
      <c r="E3403" s="8" t="s">
        <v>18856</v>
      </c>
      <c r="F3403" s="17">
        <v>41291</v>
      </c>
      <c r="G3403" s="8" t="s">
        <v>18857</v>
      </c>
      <c r="H3403" s="8" t="s">
        <v>1175</v>
      </c>
      <c r="I3403" s="8" t="s">
        <v>45</v>
      </c>
      <c r="J3403" s="16" t="s">
        <v>18858</v>
      </c>
      <c r="K3403" s="2" t="s">
        <v>1175</v>
      </c>
      <c r="L3403" s="8" t="s">
        <v>18859</v>
      </c>
      <c r="M3403" s="8" t="s">
        <v>27</v>
      </c>
      <c r="N3403" s="8" t="s">
        <v>18860</v>
      </c>
      <c r="O3403" s="8" t="s">
        <v>554</v>
      </c>
      <c r="P3403" s="8" t="s">
        <v>405</v>
      </c>
      <c r="Q3403" s="12" t="s">
        <v>18861</v>
      </c>
      <c r="R3403" s="8" t="s">
        <v>29</v>
      </c>
      <c r="S3403" s="7" t="s">
        <v>28</v>
      </c>
      <c r="T3403" s="6"/>
      <c r="U3403" s="8"/>
    </row>
    <row r="3404" spans="1:34" ht="12" customHeight="1">
      <c r="A3404" s="8" t="s">
        <v>18845</v>
      </c>
      <c r="B3404" s="16" t="s">
        <v>10119</v>
      </c>
      <c r="C3404" s="8" t="s">
        <v>20</v>
      </c>
      <c r="D3404" s="8" t="s">
        <v>85</v>
      </c>
      <c r="E3404" s="8" t="s">
        <v>18846</v>
      </c>
      <c r="F3404" s="17">
        <v>41291</v>
      </c>
      <c r="G3404" s="8" t="s">
        <v>18847</v>
      </c>
      <c r="H3404" s="8" t="s">
        <v>1204</v>
      </c>
      <c r="I3404" s="8" t="s">
        <v>323</v>
      </c>
      <c r="J3404" s="16">
        <v>38118</v>
      </c>
      <c r="K3404" s="2" t="s">
        <v>1205</v>
      </c>
      <c r="L3404" s="8" t="s">
        <v>1206</v>
      </c>
      <c r="M3404" s="8" t="s">
        <v>27</v>
      </c>
      <c r="N3404" s="8" t="s">
        <v>18848</v>
      </c>
      <c r="O3404" s="8" t="s">
        <v>554</v>
      </c>
      <c r="P3404" s="8" t="s">
        <v>405</v>
      </c>
      <c r="Q3404" s="12" t="str">
        <f>HYPERLINK("http://wreg.com/2013/01/18/man-shot-killed-by-memphis-police/","http://wreg.com/2013/01/18/man-shot-killed-by-memphis-police/")</f>
        <v>http://wreg.com/2013/01/18/man-shot-killed-by-memphis-police/</v>
      </c>
      <c r="R3404" s="8" t="s">
        <v>100</v>
      </c>
      <c r="S3404" s="7" t="s">
        <v>35</v>
      </c>
      <c r="T3404" s="6"/>
      <c r="U3404" s="8"/>
    </row>
    <row r="3405" spans="1:34" ht="12" customHeight="1">
      <c r="A3405" s="8" t="s">
        <v>18888</v>
      </c>
      <c r="B3405" s="16">
        <v>48</v>
      </c>
      <c r="C3405" s="8" t="s">
        <v>20</v>
      </c>
      <c r="D3405" s="8" t="s">
        <v>30</v>
      </c>
      <c r="F3405" s="17">
        <v>41290</v>
      </c>
      <c r="G3405" s="8" t="s">
        <v>18889</v>
      </c>
      <c r="H3405" s="8" t="s">
        <v>6179</v>
      </c>
      <c r="I3405" s="8" t="s">
        <v>175</v>
      </c>
      <c r="J3405" s="16" t="s">
        <v>18890</v>
      </c>
      <c r="K3405" s="2" t="s">
        <v>18891</v>
      </c>
      <c r="L3405" s="8" t="s">
        <v>18892</v>
      </c>
      <c r="M3405" s="8" t="s">
        <v>27</v>
      </c>
      <c r="N3405" s="8" t="s">
        <v>18893</v>
      </c>
      <c r="O3405" s="8" t="s">
        <v>554</v>
      </c>
      <c r="P3405" s="8" t="s">
        <v>405</v>
      </c>
      <c r="Q3405" s="12" t="s">
        <v>18894</v>
      </c>
      <c r="R3405" s="8" t="s">
        <v>559</v>
      </c>
      <c r="S3405" s="7" t="s">
        <v>28</v>
      </c>
      <c r="T3405" s="6"/>
      <c r="U3405" s="8"/>
    </row>
    <row r="3406" spans="1:34" ht="12" customHeight="1">
      <c r="A3406" s="8" t="s">
        <v>18902</v>
      </c>
      <c r="B3406" s="16">
        <v>27</v>
      </c>
      <c r="C3406" s="8" t="s">
        <v>20</v>
      </c>
      <c r="D3406" s="8" t="s">
        <v>37</v>
      </c>
      <c r="E3406" s="8" t="s">
        <v>18903</v>
      </c>
      <c r="F3406" s="17">
        <v>41290</v>
      </c>
      <c r="G3406" s="8" t="s">
        <v>18904</v>
      </c>
      <c r="H3406" s="8" t="s">
        <v>638</v>
      </c>
      <c r="I3406" s="8" t="s">
        <v>124</v>
      </c>
      <c r="J3406" s="16" t="s">
        <v>18905</v>
      </c>
      <c r="K3406" s="2" t="s">
        <v>639</v>
      </c>
      <c r="L3406" s="8" t="s">
        <v>640</v>
      </c>
      <c r="M3406" s="8" t="s">
        <v>27</v>
      </c>
      <c r="N3406" s="8" t="s">
        <v>18906</v>
      </c>
      <c r="O3406" s="8" t="s">
        <v>554</v>
      </c>
      <c r="P3406" s="8" t="s">
        <v>405</v>
      </c>
      <c r="Q3406" s="12" t="s">
        <v>18907</v>
      </c>
      <c r="R3406" s="8" t="s">
        <v>100</v>
      </c>
      <c r="S3406" s="7" t="s">
        <v>28</v>
      </c>
      <c r="T3406" s="6"/>
      <c r="U3406" s="8"/>
    </row>
    <row r="3407" spans="1:34" ht="12" customHeight="1">
      <c r="A3407" s="8" t="s">
        <v>18895</v>
      </c>
      <c r="B3407" s="16">
        <v>21</v>
      </c>
      <c r="C3407" s="8" t="s">
        <v>20</v>
      </c>
      <c r="D3407" s="8" t="s">
        <v>37</v>
      </c>
      <c r="E3407" s="8" t="s">
        <v>18896</v>
      </c>
      <c r="F3407" s="17">
        <v>41290</v>
      </c>
      <c r="G3407" s="8" t="s">
        <v>18897</v>
      </c>
      <c r="H3407" s="8" t="s">
        <v>18898</v>
      </c>
      <c r="I3407" s="8" t="s">
        <v>124</v>
      </c>
      <c r="J3407" s="16">
        <v>85326</v>
      </c>
      <c r="K3407" s="2" t="s">
        <v>639</v>
      </c>
      <c r="L3407" s="8" t="s">
        <v>18899</v>
      </c>
      <c r="M3407" s="8" t="s">
        <v>27</v>
      </c>
      <c r="N3407" s="8" t="s">
        <v>18900</v>
      </c>
      <c r="O3407" s="8" t="s">
        <v>29</v>
      </c>
      <c r="P3407" s="8" t="s">
        <v>405</v>
      </c>
      <c r="Q3407" s="12" t="s">
        <v>18901</v>
      </c>
      <c r="R3407" s="8" t="s">
        <v>100</v>
      </c>
      <c r="S3407" s="7" t="s">
        <v>28</v>
      </c>
      <c r="T3407" s="6"/>
      <c r="U3407" s="8"/>
    </row>
    <row r="3408" spans="1:34" ht="12" customHeight="1">
      <c r="A3408" s="8" t="s">
        <v>18884</v>
      </c>
      <c r="B3408" s="16" t="s">
        <v>11195</v>
      </c>
      <c r="C3408" s="8" t="s">
        <v>20</v>
      </c>
      <c r="D3408" s="8" t="s">
        <v>30</v>
      </c>
      <c r="F3408" s="17">
        <v>41290</v>
      </c>
      <c r="G3408" s="8" t="s">
        <v>18885</v>
      </c>
      <c r="H3408" s="8" t="s">
        <v>1311</v>
      </c>
      <c r="I3408" s="8" t="s">
        <v>212</v>
      </c>
      <c r="J3408" s="16" t="s">
        <v>8908</v>
      </c>
      <c r="K3408" s="2" t="s">
        <v>1311</v>
      </c>
      <c r="L3408" s="8" t="s">
        <v>1312</v>
      </c>
      <c r="M3408" s="8" t="s">
        <v>27</v>
      </c>
      <c r="N3408" s="8" t="s">
        <v>18886</v>
      </c>
      <c r="O3408" s="8" t="s">
        <v>554</v>
      </c>
      <c r="P3408" s="8" t="s">
        <v>405</v>
      </c>
      <c r="Q3408" s="12" t="s">
        <v>18887</v>
      </c>
      <c r="R3408" s="8" t="s">
        <v>100</v>
      </c>
      <c r="S3408" s="7" t="s">
        <v>28</v>
      </c>
      <c r="T3408" s="6"/>
      <c r="U3408" s="8"/>
    </row>
    <row r="3409" spans="1:34" ht="12" customHeight="1">
      <c r="A3409" s="8" t="s">
        <v>18879</v>
      </c>
      <c r="B3409" s="16">
        <v>19</v>
      </c>
      <c r="C3409" s="8" t="s">
        <v>20</v>
      </c>
      <c r="D3409" s="8" t="s">
        <v>85</v>
      </c>
      <c r="E3409" s="8" t="s">
        <v>18880</v>
      </c>
      <c r="F3409" s="17">
        <v>41290</v>
      </c>
      <c r="G3409" s="8" t="s">
        <v>18881</v>
      </c>
      <c r="H3409" s="8" t="s">
        <v>1069</v>
      </c>
      <c r="I3409" s="8" t="s">
        <v>62</v>
      </c>
      <c r="J3409" s="16" t="s">
        <v>7588</v>
      </c>
      <c r="K3409" s="2" t="s">
        <v>1070</v>
      </c>
      <c r="L3409" s="8" t="s">
        <v>1071</v>
      </c>
      <c r="M3409" s="8" t="s">
        <v>27</v>
      </c>
      <c r="N3409" s="8" t="s">
        <v>18882</v>
      </c>
      <c r="O3409" s="8" t="s">
        <v>1018</v>
      </c>
      <c r="P3409" s="8" t="s">
        <v>405</v>
      </c>
      <c r="Q3409" s="12" t="s">
        <v>18883</v>
      </c>
      <c r="R3409" s="8" t="s">
        <v>100</v>
      </c>
      <c r="S3409" s="7" t="s">
        <v>28</v>
      </c>
      <c r="T3409" s="6"/>
      <c r="U3409" s="8"/>
    </row>
    <row r="3410" spans="1:34" ht="12" customHeight="1">
      <c r="A3410" s="8" t="s">
        <v>18923</v>
      </c>
      <c r="B3410" s="16">
        <v>30</v>
      </c>
      <c r="C3410" s="8" t="s">
        <v>20</v>
      </c>
      <c r="D3410" s="8" t="s">
        <v>37</v>
      </c>
      <c r="E3410" s="8" t="s">
        <v>18924</v>
      </c>
      <c r="F3410" s="17">
        <v>41289</v>
      </c>
      <c r="G3410" s="8" t="s">
        <v>18925</v>
      </c>
      <c r="H3410" s="8" t="s">
        <v>565</v>
      </c>
      <c r="I3410" s="8" t="s">
        <v>124</v>
      </c>
      <c r="J3410" s="16" t="s">
        <v>18926</v>
      </c>
      <c r="K3410" s="2" t="s">
        <v>566</v>
      </c>
      <c r="L3410" s="8" t="s">
        <v>567</v>
      </c>
      <c r="M3410" s="8" t="s">
        <v>27</v>
      </c>
      <c r="N3410" s="8" t="s">
        <v>18927</v>
      </c>
      <c r="O3410" s="8" t="s">
        <v>1018</v>
      </c>
      <c r="P3410" s="8" t="s">
        <v>405</v>
      </c>
      <c r="Q3410" s="12" t="s">
        <v>18928</v>
      </c>
      <c r="R3410" s="8" t="s">
        <v>559</v>
      </c>
      <c r="S3410" s="7" t="s">
        <v>28</v>
      </c>
      <c r="T3410" s="6"/>
      <c r="U3410" s="8"/>
    </row>
    <row r="3411" spans="1:34" ht="12" customHeight="1">
      <c r="A3411" s="8" t="s">
        <v>18912</v>
      </c>
      <c r="B3411" s="16">
        <v>22</v>
      </c>
      <c r="C3411" s="8" t="s">
        <v>20</v>
      </c>
      <c r="D3411" s="8" t="s">
        <v>37</v>
      </c>
      <c r="E3411" s="8" t="s">
        <v>18913</v>
      </c>
      <c r="F3411" s="17">
        <v>41289</v>
      </c>
      <c r="G3411" s="8" t="s">
        <v>18914</v>
      </c>
      <c r="H3411" s="8" t="s">
        <v>2388</v>
      </c>
      <c r="I3411" s="8" t="s">
        <v>878</v>
      </c>
      <c r="J3411" s="16" t="s">
        <v>8354</v>
      </c>
      <c r="K3411" s="2" t="s">
        <v>2388</v>
      </c>
      <c r="L3411" s="8" t="s">
        <v>3626</v>
      </c>
      <c r="M3411" s="8" t="s">
        <v>27</v>
      </c>
      <c r="N3411" s="8" t="s">
        <v>18915</v>
      </c>
      <c r="O3411" s="8" t="s">
        <v>1018</v>
      </c>
      <c r="P3411" s="8" t="s">
        <v>405</v>
      </c>
      <c r="Q3411" s="12" t="s">
        <v>18916</v>
      </c>
      <c r="R3411" s="8" t="s">
        <v>100</v>
      </c>
      <c r="S3411" s="7" t="s">
        <v>28</v>
      </c>
      <c r="T3411" s="6"/>
      <c r="U3411" s="8"/>
    </row>
    <row r="3412" spans="1:34" ht="12" customHeight="1">
      <c r="A3412" s="8" t="s">
        <v>18908</v>
      </c>
      <c r="B3412" s="16" t="s">
        <v>13608</v>
      </c>
      <c r="C3412" s="8" t="s">
        <v>20</v>
      </c>
      <c r="D3412" s="8" t="s">
        <v>30</v>
      </c>
      <c r="F3412" s="17">
        <v>41289</v>
      </c>
      <c r="G3412" s="8" t="s">
        <v>18909</v>
      </c>
      <c r="H3412" s="8" t="s">
        <v>203</v>
      </c>
      <c r="I3412" s="8" t="s">
        <v>45</v>
      </c>
      <c r="J3412" s="16">
        <v>93728</v>
      </c>
      <c r="K3412" s="2" t="s">
        <v>203</v>
      </c>
      <c r="L3412" s="8" t="s">
        <v>204</v>
      </c>
      <c r="M3412" s="8" t="s">
        <v>27</v>
      </c>
      <c r="N3412" s="8" t="s">
        <v>18910</v>
      </c>
      <c r="O3412" s="8" t="s">
        <v>29</v>
      </c>
      <c r="P3412" s="8" t="s">
        <v>405</v>
      </c>
      <c r="Q3412" s="12" t="s">
        <v>18911</v>
      </c>
      <c r="R3412" s="8" t="s">
        <v>972</v>
      </c>
      <c r="S3412" s="7" t="s">
        <v>28</v>
      </c>
      <c r="T3412" s="6"/>
      <c r="U3412" s="8"/>
    </row>
    <row r="3413" spans="1:34" ht="12" customHeight="1">
      <c r="A3413" s="8" t="s">
        <v>18917</v>
      </c>
      <c r="B3413" s="16">
        <v>38</v>
      </c>
      <c r="C3413" s="8" t="s">
        <v>20</v>
      </c>
      <c r="D3413" s="8" t="s">
        <v>37</v>
      </c>
      <c r="E3413" s="8" t="s">
        <v>18918</v>
      </c>
      <c r="F3413" s="17">
        <v>41289</v>
      </c>
      <c r="G3413" s="8" t="s">
        <v>18919</v>
      </c>
      <c r="H3413" s="8" t="s">
        <v>434</v>
      </c>
      <c r="I3413" s="8" t="s">
        <v>435</v>
      </c>
      <c r="J3413" s="16" t="s">
        <v>18920</v>
      </c>
      <c r="K3413" s="2" t="s">
        <v>437</v>
      </c>
      <c r="L3413" s="8" t="s">
        <v>438</v>
      </c>
      <c r="M3413" s="8" t="s">
        <v>27</v>
      </c>
      <c r="N3413" s="8" t="s">
        <v>18921</v>
      </c>
      <c r="O3413" s="8" t="s">
        <v>1018</v>
      </c>
      <c r="P3413" s="8" t="s">
        <v>405</v>
      </c>
      <c r="Q3413" s="12" t="s">
        <v>18922</v>
      </c>
      <c r="R3413" s="8" t="s">
        <v>100</v>
      </c>
      <c r="S3413" s="7" t="s">
        <v>28</v>
      </c>
      <c r="T3413" s="6"/>
      <c r="U3413" s="8"/>
    </row>
    <row r="3414" spans="1:34" ht="12" customHeight="1">
      <c r="A3414" s="8" t="s">
        <v>18935</v>
      </c>
      <c r="B3414" s="16">
        <v>32</v>
      </c>
      <c r="C3414" s="8" t="s">
        <v>20</v>
      </c>
      <c r="D3414" s="8" t="s">
        <v>30</v>
      </c>
      <c r="F3414" s="17">
        <v>41288</v>
      </c>
      <c r="G3414" s="8" t="s">
        <v>18936</v>
      </c>
      <c r="H3414" s="8" t="s">
        <v>18937</v>
      </c>
      <c r="I3414" s="8" t="s">
        <v>81</v>
      </c>
      <c r="J3414" s="16" t="s">
        <v>13298</v>
      </c>
      <c r="K3414" s="2" t="s">
        <v>532</v>
      </c>
      <c r="L3414" s="8" t="s">
        <v>18938</v>
      </c>
      <c r="M3414" s="8" t="s">
        <v>27</v>
      </c>
      <c r="N3414" s="8" t="s">
        <v>18939</v>
      </c>
      <c r="O3414" s="8" t="s">
        <v>1018</v>
      </c>
      <c r="P3414" s="8" t="s">
        <v>405</v>
      </c>
      <c r="Q3414" s="12" t="s">
        <v>18940</v>
      </c>
      <c r="R3414" s="8" t="s">
        <v>100</v>
      </c>
      <c r="S3414" s="7" t="s">
        <v>28</v>
      </c>
      <c r="T3414" s="6"/>
      <c r="U3414" s="8"/>
    </row>
    <row r="3415" spans="1:34" ht="12" customHeight="1">
      <c r="A3415" s="8" t="s">
        <v>18929</v>
      </c>
      <c r="B3415" s="16">
        <v>45</v>
      </c>
      <c r="C3415" s="8" t="s">
        <v>20</v>
      </c>
      <c r="D3415" s="8" t="s">
        <v>30</v>
      </c>
      <c r="F3415" s="17">
        <v>41288</v>
      </c>
      <c r="G3415" s="8" t="s">
        <v>18930</v>
      </c>
      <c r="H3415" s="8" t="s">
        <v>12364</v>
      </c>
      <c r="I3415" s="8" t="s">
        <v>212</v>
      </c>
      <c r="J3415" s="16" t="s">
        <v>18931</v>
      </c>
      <c r="K3415" s="2" t="s">
        <v>1941</v>
      </c>
      <c r="L3415" s="8" t="s">
        <v>18932</v>
      </c>
      <c r="M3415" s="8" t="s">
        <v>27</v>
      </c>
      <c r="N3415" s="8" t="s">
        <v>18933</v>
      </c>
      <c r="O3415" s="8" t="s">
        <v>554</v>
      </c>
      <c r="P3415" s="8" t="s">
        <v>405</v>
      </c>
      <c r="Q3415" s="12" t="s">
        <v>18934</v>
      </c>
      <c r="R3415" s="8" t="s">
        <v>972</v>
      </c>
      <c r="S3415" s="7" t="s">
        <v>28</v>
      </c>
      <c r="T3415" s="6"/>
      <c r="U3415" s="8"/>
      <c r="Y3415" s="8"/>
      <c r="Z3415" s="8"/>
      <c r="AA3415" s="8"/>
      <c r="AB3415" s="8"/>
      <c r="AC3415" s="8"/>
      <c r="AD3415" s="8"/>
      <c r="AE3415" s="8"/>
      <c r="AF3415" s="8"/>
      <c r="AG3415" s="8"/>
      <c r="AH3415" s="8"/>
    </row>
    <row r="3416" spans="1:34" ht="12" customHeight="1">
      <c r="A3416" s="8" t="s">
        <v>18941</v>
      </c>
      <c r="B3416" s="16">
        <v>31</v>
      </c>
      <c r="C3416" s="8" t="s">
        <v>20</v>
      </c>
      <c r="D3416" s="8" t="s">
        <v>30</v>
      </c>
      <c r="F3416" s="17">
        <v>41288</v>
      </c>
      <c r="G3416" s="8" t="s">
        <v>18942</v>
      </c>
      <c r="H3416" s="8" t="s">
        <v>33</v>
      </c>
      <c r="I3416" s="8" t="s">
        <v>32</v>
      </c>
      <c r="J3416" s="16" t="s">
        <v>18943</v>
      </c>
      <c r="K3416" s="2" t="s">
        <v>33</v>
      </c>
      <c r="L3416" s="8" t="s">
        <v>34</v>
      </c>
      <c r="M3416" s="8" t="s">
        <v>27</v>
      </c>
      <c r="N3416" s="8" t="s">
        <v>18944</v>
      </c>
      <c r="O3416" s="8" t="s">
        <v>554</v>
      </c>
      <c r="P3416" s="8" t="s">
        <v>405</v>
      </c>
      <c r="Q3416" s="12" t="s">
        <v>18945</v>
      </c>
      <c r="R3416" s="8" t="s">
        <v>100</v>
      </c>
      <c r="S3416" s="7" t="s">
        <v>28</v>
      </c>
      <c r="T3416" s="6"/>
      <c r="U3416" s="8"/>
      <c r="Y3416" s="8"/>
      <c r="Z3416" s="8"/>
      <c r="AA3416" s="8"/>
      <c r="AB3416" s="8"/>
      <c r="AC3416" s="8"/>
      <c r="AD3416" s="8"/>
      <c r="AE3416" s="8"/>
      <c r="AF3416" s="8"/>
      <c r="AG3416" s="8"/>
      <c r="AH3416" s="8"/>
    </row>
    <row r="3417" spans="1:34" ht="12" customHeight="1">
      <c r="A3417" s="8" t="s">
        <v>18966</v>
      </c>
      <c r="B3417" s="16">
        <v>40</v>
      </c>
      <c r="C3417" s="8" t="s">
        <v>20</v>
      </c>
      <c r="D3417" s="8" t="s">
        <v>30</v>
      </c>
      <c r="F3417" s="17">
        <v>41287</v>
      </c>
      <c r="G3417" s="8" t="s">
        <v>18967</v>
      </c>
      <c r="H3417" s="8" t="s">
        <v>18968</v>
      </c>
      <c r="I3417" s="8" t="s">
        <v>62</v>
      </c>
      <c r="J3417" s="16" t="s">
        <v>18969</v>
      </c>
      <c r="K3417" s="2" t="s">
        <v>1786</v>
      </c>
      <c r="L3417" s="8" t="s">
        <v>3813</v>
      </c>
      <c r="M3417" s="8" t="s">
        <v>27</v>
      </c>
      <c r="N3417" s="8" t="s">
        <v>18970</v>
      </c>
      <c r="O3417" s="8" t="s">
        <v>554</v>
      </c>
      <c r="P3417" s="8" t="s">
        <v>405</v>
      </c>
      <c r="Q3417" s="12" t="s">
        <v>18971</v>
      </c>
      <c r="R3417" s="8" t="s">
        <v>29</v>
      </c>
      <c r="S3417" s="7" t="s">
        <v>28</v>
      </c>
      <c r="T3417" s="6"/>
      <c r="U3417" s="8"/>
    </row>
    <row r="3418" spans="1:34" ht="12" customHeight="1">
      <c r="A3418" s="8" t="s">
        <v>18952</v>
      </c>
      <c r="B3418" s="16" t="s">
        <v>13974</v>
      </c>
      <c r="C3418" s="8" t="s">
        <v>20</v>
      </c>
      <c r="D3418" s="8" t="s">
        <v>85</v>
      </c>
      <c r="E3418" s="8" t="s">
        <v>18953</v>
      </c>
      <c r="F3418" s="17">
        <v>41287</v>
      </c>
      <c r="G3418" s="8" t="s">
        <v>18954</v>
      </c>
      <c r="H3418" s="8" t="s">
        <v>18955</v>
      </c>
      <c r="I3418" s="8" t="s">
        <v>247</v>
      </c>
      <c r="J3418" s="16" t="s">
        <v>18956</v>
      </c>
      <c r="K3418" s="2" t="s">
        <v>12025</v>
      </c>
      <c r="L3418" s="8" t="s">
        <v>18957</v>
      </c>
      <c r="M3418" s="8" t="s">
        <v>27</v>
      </c>
      <c r="N3418" s="8" t="s">
        <v>18958</v>
      </c>
      <c r="O3418" s="8" t="s">
        <v>554</v>
      </c>
      <c r="P3418" s="8" t="s">
        <v>405</v>
      </c>
      <c r="Q3418" s="12" t="s">
        <v>18959</v>
      </c>
      <c r="R3418" s="8" t="s">
        <v>100</v>
      </c>
      <c r="S3418" s="7" t="s">
        <v>28</v>
      </c>
      <c r="T3418" s="6"/>
      <c r="U3418" s="8"/>
    </row>
    <row r="3419" spans="1:34" ht="12" customHeight="1">
      <c r="A3419" s="8" t="s">
        <v>18972</v>
      </c>
      <c r="C3419" s="8" t="s">
        <v>20</v>
      </c>
      <c r="D3419" s="8" t="s">
        <v>30</v>
      </c>
      <c r="F3419" s="17">
        <v>41287</v>
      </c>
      <c r="G3419" s="8" t="s">
        <v>18973</v>
      </c>
      <c r="H3419" s="8" t="s">
        <v>18974</v>
      </c>
      <c r="I3419" s="8" t="s">
        <v>435</v>
      </c>
      <c r="J3419" s="16" t="s">
        <v>18975</v>
      </c>
      <c r="K3419" s="2" t="s">
        <v>6001</v>
      </c>
      <c r="L3419" s="8" t="s">
        <v>18976</v>
      </c>
      <c r="M3419" s="8" t="s">
        <v>27</v>
      </c>
      <c r="N3419" s="8" t="s">
        <v>18977</v>
      </c>
      <c r="O3419" s="8" t="s">
        <v>1018</v>
      </c>
      <c r="P3419" s="8" t="s">
        <v>405</v>
      </c>
      <c r="Q3419" s="12" t="s">
        <v>18978</v>
      </c>
      <c r="R3419" s="8" t="s">
        <v>29</v>
      </c>
      <c r="S3419" s="7" t="s">
        <v>28</v>
      </c>
      <c r="T3419" s="6"/>
      <c r="U3419" s="8"/>
    </row>
    <row r="3420" spans="1:34" ht="12" customHeight="1">
      <c r="A3420" s="8" t="s">
        <v>18946</v>
      </c>
      <c r="B3420" s="16">
        <v>43</v>
      </c>
      <c r="C3420" s="8" t="s">
        <v>20</v>
      </c>
      <c r="D3420" s="8" t="s">
        <v>85</v>
      </c>
      <c r="F3420" s="17">
        <v>41287</v>
      </c>
      <c r="G3420" s="8" t="s">
        <v>18947</v>
      </c>
      <c r="H3420" s="8" t="s">
        <v>638</v>
      </c>
      <c r="I3420" s="8" t="s">
        <v>124</v>
      </c>
      <c r="J3420" s="16" t="s">
        <v>18948</v>
      </c>
      <c r="K3420" s="2" t="s">
        <v>639</v>
      </c>
      <c r="L3420" s="8" t="s">
        <v>18949</v>
      </c>
      <c r="M3420" s="8" t="s">
        <v>27</v>
      </c>
      <c r="N3420" s="8" t="s">
        <v>18950</v>
      </c>
      <c r="O3420" s="8" t="s">
        <v>554</v>
      </c>
      <c r="P3420" s="8" t="s">
        <v>405</v>
      </c>
      <c r="Q3420" s="12" t="s">
        <v>18951</v>
      </c>
      <c r="R3420" s="8" t="s">
        <v>100</v>
      </c>
      <c r="S3420" s="7" t="s">
        <v>18</v>
      </c>
      <c r="T3420" s="6"/>
      <c r="U3420" s="8"/>
      <c r="Y3420" s="8"/>
      <c r="Z3420" s="8"/>
      <c r="AA3420" s="8"/>
      <c r="AB3420" s="8"/>
      <c r="AC3420" s="8"/>
      <c r="AD3420" s="8"/>
      <c r="AE3420" s="8"/>
      <c r="AF3420" s="8"/>
      <c r="AG3420" s="8"/>
      <c r="AH3420" s="8"/>
    </row>
    <row r="3421" spans="1:34" ht="12" customHeight="1">
      <c r="A3421" s="8" t="s">
        <v>18960</v>
      </c>
      <c r="B3421" s="16">
        <v>50</v>
      </c>
      <c r="C3421" s="8" t="s">
        <v>20</v>
      </c>
      <c r="D3421" s="8" t="s">
        <v>48</v>
      </c>
      <c r="E3421" s="8" t="s">
        <v>18961</v>
      </c>
      <c r="F3421" s="17">
        <v>41287</v>
      </c>
      <c r="G3421" s="8" t="s">
        <v>18962</v>
      </c>
      <c r="H3421" s="8" t="s">
        <v>1968</v>
      </c>
      <c r="I3421" s="8" t="s">
        <v>45</v>
      </c>
      <c r="J3421" s="16" t="s">
        <v>18963</v>
      </c>
      <c r="K3421" s="2" t="s">
        <v>1970</v>
      </c>
      <c r="L3421" s="8" t="s">
        <v>1971</v>
      </c>
      <c r="M3421" s="8" t="s">
        <v>27</v>
      </c>
      <c r="N3421" s="8" t="s">
        <v>18964</v>
      </c>
      <c r="O3421" s="8" t="s">
        <v>554</v>
      </c>
      <c r="P3421" s="8" t="s">
        <v>405</v>
      </c>
      <c r="Q3421" s="12" t="s">
        <v>18965</v>
      </c>
      <c r="R3421" s="8" t="s">
        <v>29</v>
      </c>
      <c r="S3421" s="7" t="s">
        <v>28</v>
      </c>
      <c r="T3421" s="6"/>
      <c r="U3421" s="8"/>
    </row>
    <row r="3422" spans="1:34" ht="12" customHeight="1">
      <c r="A3422" s="8" t="s">
        <v>18990</v>
      </c>
      <c r="B3422" s="16">
        <v>33</v>
      </c>
      <c r="C3422" s="8" t="s">
        <v>20</v>
      </c>
      <c r="D3422" s="8" t="s">
        <v>30</v>
      </c>
      <c r="F3422" s="17">
        <v>41286</v>
      </c>
      <c r="G3422" s="8" t="s">
        <v>18991</v>
      </c>
      <c r="H3422" s="8" t="s">
        <v>18992</v>
      </c>
      <c r="I3422" s="8" t="s">
        <v>94</v>
      </c>
      <c r="J3422" s="16" t="s">
        <v>18993</v>
      </c>
      <c r="K3422" s="2" t="s">
        <v>5608</v>
      </c>
      <c r="L3422" s="8" t="s">
        <v>7811</v>
      </c>
      <c r="M3422" s="8" t="s">
        <v>27</v>
      </c>
      <c r="N3422" s="8" t="s">
        <v>18994</v>
      </c>
      <c r="O3422" s="8" t="s">
        <v>1018</v>
      </c>
      <c r="P3422" s="8" t="s">
        <v>405</v>
      </c>
      <c r="Q3422" s="12" t="s">
        <v>18995</v>
      </c>
      <c r="R3422" s="8" t="s">
        <v>29</v>
      </c>
      <c r="S3422" s="7" t="s">
        <v>28</v>
      </c>
      <c r="T3422" s="6"/>
      <c r="U3422" s="8"/>
    </row>
    <row r="3423" spans="1:34" ht="12" customHeight="1">
      <c r="A3423" s="8" t="s">
        <v>19002</v>
      </c>
      <c r="B3423" s="16">
        <v>31</v>
      </c>
      <c r="C3423" s="8" t="s">
        <v>20</v>
      </c>
      <c r="D3423" s="8" t="s">
        <v>37</v>
      </c>
      <c r="E3423" s="8" t="s">
        <v>19003</v>
      </c>
      <c r="F3423" s="17">
        <v>41286</v>
      </c>
      <c r="G3423" s="8" t="s">
        <v>19004</v>
      </c>
      <c r="H3423" s="8" t="s">
        <v>547</v>
      </c>
      <c r="I3423" s="8" t="s">
        <v>152</v>
      </c>
      <c r="J3423" s="16" t="s">
        <v>548</v>
      </c>
      <c r="K3423" s="2" t="s">
        <v>2933</v>
      </c>
      <c r="L3423" s="8" t="s">
        <v>19005</v>
      </c>
      <c r="M3423" s="8" t="s">
        <v>27</v>
      </c>
      <c r="N3423" s="8" t="s">
        <v>19006</v>
      </c>
      <c r="O3423" s="8" t="s">
        <v>1018</v>
      </c>
      <c r="P3423" s="8" t="s">
        <v>405</v>
      </c>
      <c r="Q3423" s="12" t="s">
        <v>19007</v>
      </c>
      <c r="R3423" s="8" t="s">
        <v>29</v>
      </c>
      <c r="S3423" s="7" t="s">
        <v>28</v>
      </c>
      <c r="T3423" s="6"/>
      <c r="U3423" s="8"/>
    </row>
    <row r="3424" spans="1:34" ht="12" customHeight="1">
      <c r="A3424" s="8" t="s">
        <v>18979</v>
      </c>
      <c r="B3424" s="16">
        <v>21</v>
      </c>
      <c r="C3424" s="8" t="s">
        <v>20</v>
      </c>
      <c r="D3424" s="8" t="s">
        <v>48</v>
      </c>
      <c r="F3424" s="17">
        <v>41286</v>
      </c>
      <c r="G3424" s="8" t="s">
        <v>18980</v>
      </c>
      <c r="H3424" s="8" t="s">
        <v>158</v>
      </c>
      <c r="I3424" s="8" t="s">
        <v>45</v>
      </c>
      <c r="J3424" s="16" t="s">
        <v>16925</v>
      </c>
      <c r="K3424" s="2" t="s">
        <v>158</v>
      </c>
      <c r="L3424" s="8" t="s">
        <v>159</v>
      </c>
      <c r="M3424" s="8" t="s">
        <v>27</v>
      </c>
      <c r="N3424" s="8" t="s">
        <v>18981</v>
      </c>
      <c r="O3424" s="8" t="s">
        <v>554</v>
      </c>
      <c r="P3424" s="8" t="s">
        <v>405</v>
      </c>
      <c r="Q3424" s="12" t="s">
        <v>18982</v>
      </c>
      <c r="R3424" s="8" t="s">
        <v>100</v>
      </c>
      <c r="S3424" s="7" t="s">
        <v>28</v>
      </c>
      <c r="T3424" s="6"/>
      <c r="U3424" s="8"/>
    </row>
    <row r="3425" spans="1:39" ht="12" customHeight="1">
      <c r="A3425" s="8" t="s">
        <v>18983</v>
      </c>
      <c r="B3425" s="16">
        <v>49</v>
      </c>
      <c r="C3425" s="8" t="s">
        <v>20</v>
      </c>
      <c r="D3425" s="8" t="s">
        <v>30</v>
      </c>
      <c r="F3425" s="17">
        <v>41286</v>
      </c>
      <c r="G3425" s="8" t="s">
        <v>18984</v>
      </c>
      <c r="H3425" s="8" t="s">
        <v>18985</v>
      </c>
      <c r="I3425" s="8" t="s">
        <v>152</v>
      </c>
      <c r="J3425" s="16" t="s">
        <v>18986</v>
      </c>
      <c r="K3425" s="2" t="s">
        <v>923</v>
      </c>
      <c r="L3425" s="8" t="s">
        <v>18987</v>
      </c>
      <c r="M3425" s="8" t="s">
        <v>27</v>
      </c>
      <c r="N3425" s="8" t="s">
        <v>18988</v>
      </c>
      <c r="O3425" s="8" t="s">
        <v>554</v>
      </c>
      <c r="P3425" s="8" t="s">
        <v>405</v>
      </c>
      <c r="Q3425" s="12" t="s">
        <v>18989</v>
      </c>
      <c r="R3425" s="8" t="s">
        <v>29</v>
      </c>
      <c r="S3425" s="7" t="s">
        <v>28</v>
      </c>
      <c r="T3425" s="6"/>
      <c r="U3425" s="8"/>
    </row>
    <row r="3426" spans="1:39" ht="12" customHeight="1">
      <c r="A3426" s="8" t="s">
        <v>18996</v>
      </c>
      <c r="B3426" s="16" t="s">
        <v>8868</v>
      </c>
      <c r="C3426" s="8" t="s">
        <v>20</v>
      </c>
      <c r="D3426" s="8" t="s">
        <v>37</v>
      </c>
      <c r="E3426" s="8" t="s">
        <v>18997</v>
      </c>
      <c r="F3426" s="17">
        <v>41286</v>
      </c>
      <c r="G3426" s="8" t="s">
        <v>18998</v>
      </c>
      <c r="H3426" s="8" t="s">
        <v>3136</v>
      </c>
      <c r="I3426" s="8" t="s">
        <v>52</v>
      </c>
      <c r="J3426" s="16" t="s">
        <v>18999</v>
      </c>
      <c r="K3426" s="2" t="s">
        <v>3136</v>
      </c>
      <c r="L3426" s="8" t="s">
        <v>3137</v>
      </c>
      <c r="M3426" s="8" t="s">
        <v>8585</v>
      </c>
      <c r="N3426" s="8" t="s">
        <v>19000</v>
      </c>
      <c r="O3426" s="8" t="s">
        <v>554</v>
      </c>
      <c r="P3426" s="8" t="s">
        <v>405</v>
      </c>
      <c r="Q3426" s="12" t="s">
        <v>19001</v>
      </c>
      <c r="R3426" s="8" t="s">
        <v>100</v>
      </c>
      <c r="S3426" s="7" t="s">
        <v>28</v>
      </c>
      <c r="T3426" s="6"/>
      <c r="U3426" s="8"/>
    </row>
    <row r="3427" spans="1:39" ht="12" customHeight="1">
      <c r="A3427" s="8" t="s">
        <v>19008</v>
      </c>
      <c r="B3427" s="16">
        <v>39</v>
      </c>
      <c r="C3427" s="8" t="s">
        <v>20</v>
      </c>
      <c r="D3427" s="8" t="s">
        <v>21</v>
      </c>
      <c r="E3427" s="8" t="s">
        <v>19009</v>
      </c>
      <c r="F3427" s="17">
        <v>41285</v>
      </c>
      <c r="G3427" s="8" t="s">
        <v>19010</v>
      </c>
      <c r="H3427" s="8" t="s">
        <v>3736</v>
      </c>
      <c r="I3427" s="8" t="s">
        <v>45</v>
      </c>
      <c r="J3427" s="16" t="s">
        <v>4053</v>
      </c>
      <c r="K3427" s="2" t="s">
        <v>1070</v>
      </c>
      <c r="L3427" s="8" t="s">
        <v>3738</v>
      </c>
      <c r="M3427" s="8" t="s">
        <v>27</v>
      </c>
      <c r="N3427" s="8" t="s">
        <v>19011</v>
      </c>
      <c r="O3427" s="8" t="s">
        <v>554</v>
      </c>
      <c r="P3427" s="8" t="s">
        <v>405</v>
      </c>
      <c r="Q3427" s="12" t="s">
        <v>19012</v>
      </c>
      <c r="R3427" s="8" t="s">
        <v>100</v>
      </c>
      <c r="S3427" s="7" t="s">
        <v>28</v>
      </c>
      <c r="T3427" s="6"/>
      <c r="U3427" s="8"/>
      <c r="AI3427" s="8"/>
      <c r="AJ3427" s="8"/>
      <c r="AK3427" s="8"/>
      <c r="AL3427" s="8"/>
      <c r="AM3427" s="8"/>
    </row>
    <row r="3428" spans="1:39" ht="12" customHeight="1">
      <c r="A3428" s="8" t="s">
        <v>19018</v>
      </c>
      <c r="B3428" s="16">
        <v>34</v>
      </c>
      <c r="C3428" s="8" t="s">
        <v>20</v>
      </c>
      <c r="D3428" s="8" t="s">
        <v>37</v>
      </c>
      <c r="E3428" s="8" t="s">
        <v>19019</v>
      </c>
      <c r="F3428" s="17">
        <v>41285</v>
      </c>
      <c r="G3428" s="8" t="s">
        <v>19020</v>
      </c>
      <c r="H3428" s="8" t="s">
        <v>5226</v>
      </c>
      <c r="I3428" s="8" t="s">
        <v>175</v>
      </c>
      <c r="J3428" s="16">
        <v>31326</v>
      </c>
      <c r="K3428" s="2" t="s">
        <v>19021</v>
      </c>
      <c r="L3428" s="8" t="s">
        <v>19022</v>
      </c>
      <c r="M3428" s="8" t="s">
        <v>27</v>
      </c>
      <c r="N3428" s="8" t="s">
        <v>19023</v>
      </c>
      <c r="O3428" s="8" t="s">
        <v>554</v>
      </c>
      <c r="P3428" s="8" t="s">
        <v>405</v>
      </c>
      <c r="Q3428" s="12" t="s">
        <v>19024</v>
      </c>
      <c r="R3428" s="8" t="s">
        <v>100</v>
      </c>
      <c r="S3428" s="7" t="s">
        <v>28</v>
      </c>
      <c r="T3428" s="6"/>
      <c r="U3428" s="8"/>
    </row>
    <row r="3429" spans="1:39" ht="12" customHeight="1">
      <c r="A3429" s="8" t="s">
        <v>19025</v>
      </c>
      <c r="B3429" s="16" t="s">
        <v>18862</v>
      </c>
      <c r="C3429" s="8" t="s">
        <v>20</v>
      </c>
      <c r="D3429" s="8" t="s">
        <v>37</v>
      </c>
      <c r="E3429" s="8" t="s">
        <v>19026</v>
      </c>
      <c r="F3429" s="17">
        <v>41285</v>
      </c>
      <c r="G3429" s="8" t="s">
        <v>19027</v>
      </c>
      <c r="H3429" s="8" t="s">
        <v>1204</v>
      </c>
      <c r="I3429" s="8" t="s">
        <v>323</v>
      </c>
      <c r="J3429" s="16">
        <v>38126</v>
      </c>
      <c r="K3429" s="2" t="s">
        <v>1205</v>
      </c>
      <c r="L3429" s="8" t="s">
        <v>1206</v>
      </c>
      <c r="M3429" s="8" t="s">
        <v>27</v>
      </c>
      <c r="N3429" s="8" t="s">
        <v>19028</v>
      </c>
      <c r="O3429" s="8" t="s">
        <v>29</v>
      </c>
      <c r="P3429" s="8" t="s">
        <v>405</v>
      </c>
      <c r="Q3429" s="12" t="s">
        <v>19029</v>
      </c>
      <c r="R3429" s="8" t="s">
        <v>559</v>
      </c>
      <c r="S3429" s="7" t="s">
        <v>28</v>
      </c>
      <c r="T3429" s="6"/>
      <c r="U3429" s="8"/>
    </row>
    <row r="3430" spans="1:39" ht="12" customHeight="1">
      <c r="A3430" s="8" t="s">
        <v>19013</v>
      </c>
      <c r="B3430" s="16">
        <v>25</v>
      </c>
      <c r="C3430" s="8" t="s">
        <v>20</v>
      </c>
      <c r="D3430" s="8" t="s">
        <v>85</v>
      </c>
      <c r="E3430" s="8" t="s">
        <v>19014</v>
      </c>
      <c r="F3430" s="17">
        <v>41285</v>
      </c>
      <c r="G3430" s="8" t="s">
        <v>19015</v>
      </c>
      <c r="H3430" s="8" t="s">
        <v>9858</v>
      </c>
      <c r="I3430" s="8" t="s">
        <v>334</v>
      </c>
      <c r="J3430" s="16" t="s">
        <v>15672</v>
      </c>
      <c r="K3430" s="2" t="s">
        <v>2521</v>
      </c>
      <c r="L3430" s="8" t="s">
        <v>9860</v>
      </c>
      <c r="M3430" s="8" t="s">
        <v>27</v>
      </c>
      <c r="N3430" s="8" t="s">
        <v>19016</v>
      </c>
      <c r="O3430" s="8" t="s">
        <v>1018</v>
      </c>
      <c r="P3430" s="8" t="s">
        <v>405</v>
      </c>
      <c r="Q3430" s="12" t="s">
        <v>19017</v>
      </c>
      <c r="R3430" s="8" t="s">
        <v>100</v>
      </c>
      <c r="S3430" s="7" t="s">
        <v>28</v>
      </c>
      <c r="T3430" s="6"/>
      <c r="U3430" s="8"/>
    </row>
    <row r="3431" spans="1:39" ht="12" customHeight="1">
      <c r="A3431" s="8" t="s">
        <v>19036</v>
      </c>
      <c r="B3431" s="16">
        <v>19</v>
      </c>
      <c r="C3431" s="8" t="s">
        <v>20</v>
      </c>
      <c r="D3431" s="8" t="s">
        <v>37</v>
      </c>
      <c r="E3431" s="8" t="s">
        <v>19037</v>
      </c>
      <c r="F3431" s="17">
        <v>41284</v>
      </c>
      <c r="G3431" s="8" t="s">
        <v>19038</v>
      </c>
      <c r="H3431" s="8" t="s">
        <v>19039</v>
      </c>
      <c r="I3431" s="8" t="s">
        <v>52</v>
      </c>
      <c r="J3431" s="16" t="s">
        <v>19040</v>
      </c>
      <c r="K3431" s="2" t="s">
        <v>3136</v>
      </c>
      <c r="L3431" s="8" t="s">
        <v>3137</v>
      </c>
      <c r="M3431" s="8" t="s">
        <v>27</v>
      </c>
      <c r="N3431" s="8" t="s">
        <v>19041</v>
      </c>
      <c r="O3431" s="8" t="s">
        <v>554</v>
      </c>
      <c r="P3431" s="8" t="s">
        <v>405</v>
      </c>
      <c r="Q3431" s="12" t="s">
        <v>19042</v>
      </c>
      <c r="R3431" s="8" t="s">
        <v>100</v>
      </c>
      <c r="S3431" s="7" t="s">
        <v>28</v>
      </c>
      <c r="T3431" s="6"/>
      <c r="U3431" s="8"/>
    </row>
    <row r="3432" spans="1:39" ht="12" customHeight="1">
      <c r="A3432" s="8" t="s">
        <v>19043</v>
      </c>
      <c r="B3432" s="16">
        <v>37</v>
      </c>
      <c r="C3432" s="8" t="s">
        <v>20</v>
      </c>
      <c r="D3432" s="8" t="s">
        <v>37</v>
      </c>
      <c r="E3432" s="8" t="s">
        <v>19044</v>
      </c>
      <c r="F3432" s="17">
        <v>41284</v>
      </c>
      <c r="G3432" s="8" t="s">
        <v>19045</v>
      </c>
      <c r="H3432" s="8" t="s">
        <v>19046</v>
      </c>
      <c r="I3432" s="8" t="s">
        <v>152</v>
      </c>
      <c r="J3432" s="16" t="s">
        <v>19047</v>
      </c>
      <c r="K3432" s="2" t="s">
        <v>998</v>
      </c>
      <c r="L3432" s="8" t="s">
        <v>17722</v>
      </c>
      <c r="M3432" s="8" t="s">
        <v>27</v>
      </c>
      <c r="N3432" s="8" t="s">
        <v>19048</v>
      </c>
      <c r="O3432" s="8" t="s">
        <v>29</v>
      </c>
      <c r="P3432" s="8" t="s">
        <v>405</v>
      </c>
      <c r="Q3432" s="12" t="s">
        <v>19049</v>
      </c>
      <c r="R3432" s="8" t="s">
        <v>559</v>
      </c>
      <c r="S3432" s="7" t="s">
        <v>28</v>
      </c>
      <c r="T3432" s="6"/>
      <c r="U3432" s="8"/>
    </row>
    <row r="3433" spans="1:39" ht="12" customHeight="1">
      <c r="A3433" s="8" t="s">
        <v>19030</v>
      </c>
      <c r="B3433" s="16">
        <v>18</v>
      </c>
      <c r="C3433" s="8" t="s">
        <v>20</v>
      </c>
      <c r="D3433" s="8" t="s">
        <v>37</v>
      </c>
      <c r="E3433" s="8" t="s">
        <v>19031</v>
      </c>
      <c r="F3433" s="17">
        <v>41284</v>
      </c>
      <c r="G3433" s="8" t="s">
        <v>19032</v>
      </c>
      <c r="H3433" s="8" t="s">
        <v>569</v>
      </c>
      <c r="I3433" s="8" t="s">
        <v>399</v>
      </c>
      <c r="J3433" s="16" t="s">
        <v>19033</v>
      </c>
      <c r="K3433" s="2" t="s">
        <v>570</v>
      </c>
      <c r="L3433" s="8" t="s">
        <v>571</v>
      </c>
      <c r="M3433" s="8" t="s">
        <v>27</v>
      </c>
      <c r="N3433" s="8" t="s">
        <v>19034</v>
      </c>
      <c r="O3433" s="8" t="s">
        <v>554</v>
      </c>
      <c r="P3433" s="8" t="s">
        <v>405</v>
      </c>
      <c r="Q3433" s="12" t="s">
        <v>19035</v>
      </c>
      <c r="R3433" s="8" t="s">
        <v>29</v>
      </c>
      <c r="S3433" s="7" t="s">
        <v>28</v>
      </c>
      <c r="T3433" s="6"/>
      <c r="U3433" s="8"/>
    </row>
    <row r="3434" spans="1:39" ht="15" customHeight="1">
      <c r="A3434" s="8" t="s">
        <v>19060</v>
      </c>
      <c r="B3434" s="16">
        <v>38</v>
      </c>
      <c r="C3434" s="8" t="s">
        <v>115</v>
      </c>
      <c r="D3434" s="8" t="s">
        <v>37</v>
      </c>
      <c r="E3434" s="8" t="s">
        <v>19061</v>
      </c>
      <c r="F3434" s="17">
        <v>41283</v>
      </c>
      <c r="G3434" s="8" t="s">
        <v>19062</v>
      </c>
      <c r="H3434" s="8" t="s">
        <v>242</v>
      </c>
      <c r="I3434" s="8" t="s">
        <v>243</v>
      </c>
      <c r="J3434" s="16" t="s">
        <v>19063</v>
      </c>
      <c r="K3434" s="2" t="s">
        <v>617</v>
      </c>
      <c r="L3434" s="8" t="s">
        <v>17956</v>
      </c>
      <c r="M3434" s="8" t="s">
        <v>27</v>
      </c>
      <c r="N3434" s="8" t="s">
        <v>19064</v>
      </c>
      <c r="O3434" s="8" t="s">
        <v>554</v>
      </c>
      <c r="P3434" s="8" t="s">
        <v>405</v>
      </c>
      <c r="Q3434" s="12" t="s">
        <v>19065</v>
      </c>
      <c r="R3434" s="8" t="s">
        <v>100</v>
      </c>
      <c r="S3434" s="7" t="s">
        <v>28</v>
      </c>
      <c r="T3434" s="6"/>
      <c r="U3434" s="8"/>
    </row>
    <row r="3435" spans="1:39" ht="15" customHeight="1">
      <c r="A3435" s="8" t="s">
        <v>19054</v>
      </c>
      <c r="B3435" s="16">
        <v>60</v>
      </c>
      <c r="C3435" s="8" t="s">
        <v>115</v>
      </c>
      <c r="D3435" s="8" t="s">
        <v>30</v>
      </c>
      <c r="F3435" s="17">
        <v>41283</v>
      </c>
      <c r="G3435" s="8" t="s">
        <v>19055</v>
      </c>
      <c r="H3435" s="8" t="s">
        <v>19056</v>
      </c>
      <c r="I3435" s="8" t="s">
        <v>62</v>
      </c>
      <c r="J3435" s="16" t="s">
        <v>19057</v>
      </c>
      <c r="K3435" s="2" t="s">
        <v>1134</v>
      </c>
      <c r="L3435" s="8" t="s">
        <v>4438</v>
      </c>
      <c r="M3435" s="8" t="s">
        <v>27</v>
      </c>
      <c r="N3435" s="8" t="s">
        <v>19058</v>
      </c>
      <c r="O3435" s="8" t="s">
        <v>1018</v>
      </c>
      <c r="P3435" s="8" t="s">
        <v>405</v>
      </c>
      <c r="Q3435" s="12" t="s">
        <v>19059</v>
      </c>
      <c r="R3435" s="8" t="s">
        <v>559</v>
      </c>
      <c r="S3435" s="7" t="s">
        <v>28</v>
      </c>
      <c r="T3435" s="6"/>
      <c r="U3435" s="8"/>
    </row>
    <row r="3436" spans="1:39" ht="15" customHeight="1">
      <c r="A3436" s="8" t="s">
        <v>19050</v>
      </c>
      <c r="B3436" s="16">
        <v>31</v>
      </c>
      <c r="C3436" s="8" t="s">
        <v>20</v>
      </c>
      <c r="D3436" s="8" t="s">
        <v>85</v>
      </c>
      <c r="E3436" s="8" t="str">
        <f>HYPERLINK("http://www.baynews9.com/content/dam/news/images/2012/12/Suspect-killed-110.jpg","http://www.baynews9.com/content/dam/news/images/2012/12/Suspect-killed-110.jpg")</f>
        <v>http://www.baynews9.com/content/dam/news/images/2012/12/Suspect-killed-110.jpg</v>
      </c>
      <c r="F3436" s="17">
        <v>41283</v>
      </c>
      <c r="G3436" s="8" t="s">
        <v>19051</v>
      </c>
      <c r="H3436" s="8" t="s">
        <v>1583</v>
      </c>
      <c r="I3436" s="8" t="s">
        <v>62</v>
      </c>
      <c r="J3436" s="16" t="s">
        <v>19052</v>
      </c>
      <c r="K3436" s="2" t="s">
        <v>644</v>
      </c>
      <c r="L3436" s="8" t="s">
        <v>645</v>
      </c>
      <c r="M3436" s="8" t="s">
        <v>27</v>
      </c>
      <c r="N3436" s="8" t="s">
        <v>19053</v>
      </c>
      <c r="O3436" s="8" t="s">
        <v>1018</v>
      </c>
      <c r="P3436" s="8" t="s">
        <v>405</v>
      </c>
      <c r="Q3436" s="12"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3436" s="8" t="s">
        <v>100</v>
      </c>
      <c r="S3436" s="7" t="s">
        <v>28</v>
      </c>
      <c r="T3436" s="6"/>
      <c r="U3436" s="8"/>
    </row>
    <row r="3437" spans="1:39" ht="15" customHeight="1">
      <c r="A3437" s="8" t="s">
        <v>19072</v>
      </c>
      <c r="B3437" s="16">
        <v>24</v>
      </c>
      <c r="C3437" s="8" t="s">
        <v>115</v>
      </c>
      <c r="D3437" s="8" t="s">
        <v>37</v>
      </c>
      <c r="E3437" s="8" t="s">
        <v>19073</v>
      </c>
      <c r="F3437" s="17">
        <v>41282</v>
      </c>
      <c r="G3437" s="8" t="s">
        <v>19074</v>
      </c>
      <c r="H3437" s="8" t="s">
        <v>19075</v>
      </c>
      <c r="I3437" s="8" t="s">
        <v>62</v>
      </c>
      <c r="J3437" s="16" t="s">
        <v>19076</v>
      </c>
      <c r="K3437" s="2" t="s">
        <v>5387</v>
      </c>
      <c r="L3437" s="8" t="s">
        <v>63</v>
      </c>
      <c r="M3437" s="8" t="s">
        <v>27</v>
      </c>
      <c r="N3437" s="8" t="s">
        <v>19077</v>
      </c>
      <c r="O3437" s="8" t="s">
        <v>29</v>
      </c>
      <c r="P3437" s="8" t="s">
        <v>405</v>
      </c>
      <c r="Q3437" s="12" t="s">
        <v>19078</v>
      </c>
      <c r="R3437" s="8" t="s">
        <v>29</v>
      </c>
      <c r="S3437" s="7" t="s">
        <v>28</v>
      </c>
      <c r="T3437" s="6"/>
      <c r="U3437" s="8"/>
    </row>
    <row r="3438" spans="1:39" ht="15" customHeight="1">
      <c r="A3438" s="8" t="s">
        <v>19066</v>
      </c>
      <c r="B3438" s="16">
        <v>54</v>
      </c>
      <c r="C3438" s="8" t="s">
        <v>20</v>
      </c>
      <c r="D3438" s="8" t="s">
        <v>37</v>
      </c>
      <c r="E3438" s="8" t="s">
        <v>19067</v>
      </c>
      <c r="F3438" s="17">
        <v>41282</v>
      </c>
      <c r="G3438" s="8" t="s">
        <v>19068</v>
      </c>
      <c r="H3438" s="8" t="s">
        <v>3559</v>
      </c>
      <c r="I3438" s="8" t="s">
        <v>124</v>
      </c>
      <c r="J3438" s="16" t="s">
        <v>19069</v>
      </c>
      <c r="K3438" s="2" t="s">
        <v>639</v>
      </c>
      <c r="L3438" s="8" t="s">
        <v>1910</v>
      </c>
      <c r="M3438" s="8" t="s">
        <v>27</v>
      </c>
      <c r="N3438" s="8" t="s">
        <v>19070</v>
      </c>
      <c r="O3438" s="8" t="s">
        <v>554</v>
      </c>
      <c r="P3438" s="8" t="s">
        <v>405</v>
      </c>
      <c r="Q3438" s="12" t="s">
        <v>19071</v>
      </c>
      <c r="R3438" s="8" t="s">
        <v>559</v>
      </c>
      <c r="S3438" s="7" t="s">
        <v>28</v>
      </c>
      <c r="T3438" s="6"/>
      <c r="U3438" s="8"/>
    </row>
    <row r="3439" spans="1:39" ht="15" customHeight="1">
      <c r="A3439" s="8" t="s">
        <v>19084</v>
      </c>
      <c r="B3439" s="16">
        <v>17</v>
      </c>
      <c r="C3439" s="8" t="s">
        <v>20</v>
      </c>
      <c r="D3439" s="8" t="s">
        <v>30</v>
      </c>
      <c r="F3439" s="17">
        <v>41281</v>
      </c>
      <c r="G3439" s="8" t="s">
        <v>19085</v>
      </c>
      <c r="H3439" s="8" t="s">
        <v>87</v>
      </c>
      <c r="I3439" s="8" t="s">
        <v>44</v>
      </c>
      <c r="J3439" s="16" t="s">
        <v>1693</v>
      </c>
      <c r="K3439" s="2" t="s">
        <v>88</v>
      </c>
      <c r="L3439" s="8" t="s">
        <v>89</v>
      </c>
      <c r="M3439" s="8" t="s">
        <v>27</v>
      </c>
      <c r="N3439" s="8" t="s">
        <v>19086</v>
      </c>
      <c r="O3439" s="8" t="s">
        <v>1018</v>
      </c>
      <c r="P3439" s="8" t="s">
        <v>405</v>
      </c>
      <c r="Q3439" s="12" t="s">
        <v>19087</v>
      </c>
      <c r="R3439" s="8" t="s">
        <v>100</v>
      </c>
      <c r="S3439" s="7" t="s">
        <v>18</v>
      </c>
      <c r="T3439" s="6"/>
      <c r="U3439" s="8"/>
    </row>
    <row r="3440" spans="1:39" ht="15" customHeight="1">
      <c r="A3440" s="8" t="s">
        <v>19088</v>
      </c>
      <c r="B3440" s="16">
        <v>44</v>
      </c>
      <c r="C3440" s="8" t="s">
        <v>20</v>
      </c>
      <c r="D3440" s="8" t="s">
        <v>37</v>
      </c>
      <c r="E3440" s="8" t="s">
        <v>19089</v>
      </c>
      <c r="F3440" s="17">
        <v>41281</v>
      </c>
      <c r="G3440" s="8" t="s">
        <v>19090</v>
      </c>
      <c r="H3440" s="8" t="s">
        <v>19091</v>
      </c>
      <c r="I3440" s="8" t="s">
        <v>152</v>
      </c>
      <c r="J3440" s="16" t="s">
        <v>19092</v>
      </c>
      <c r="K3440" s="2" t="s">
        <v>19093</v>
      </c>
      <c r="L3440" s="8" t="s">
        <v>17722</v>
      </c>
      <c r="M3440" s="8" t="s">
        <v>27</v>
      </c>
      <c r="N3440" s="8" t="s">
        <v>19094</v>
      </c>
      <c r="O3440" s="8" t="s">
        <v>554</v>
      </c>
      <c r="P3440" s="8" t="s">
        <v>405</v>
      </c>
      <c r="Q3440" s="12" t="s">
        <v>19095</v>
      </c>
      <c r="R3440" s="8" t="s">
        <v>559</v>
      </c>
      <c r="S3440" s="7" t="s">
        <v>28</v>
      </c>
      <c r="T3440" s="6"/>
      <c r="U3440" s="8"/>
    </row>
    <row r="3441" spans="1:39" ht="15" customHeight="1">
      <c r="A3441" s="8" t="s">
        <v>19079</v>
      </c>
      <c r="B3441" s="16" t="s">
        <v>13608</v>
      </c>
      <c r="C3441" s="8" t="s">
        <v>20</v>
      </c>
      <c r="D3441" s="8" t="s">
        <v>48</v>
      </c>
      <c r="E3441" s="8" t="s">
        <v>19080</v>
      </c>
      <c r="F3441" s="17">
        <v>41281</v>
      </c>
      <c r="G3441" s="8" t="s">
        <v>19081</v>
      </c>
      <c r="H3441" s="8" t="s">
        <v>638</v>
      </c>
      <c r="I3441" s="8" t="s">
        <v>124</v>
      </c>
      <c r="J3441" s="16">
        <v>85009</v>
      </c>
      <c r="K3441" s="2" t="s">
        <v>639</v>
      </c>
      <c r="L3441" s="8" t="s">
        <v>640</v>
      </c>
      <c r="M3441" s="8" t="s">
        <v>27</v>
      </c>
      <c r="N3441" s="8" t="s">
        <v>19082</v>
      </c>
      <c r="O3441" s="8" t="s">
        <v>29</v>
      </c>
      <c r="P3441" s="8" t="s">
        <v>405</v>
      </c>
      <c r="Q3441" s="12" t="s">
        <v>19083</v>
      </c>
      <c r="R3441" s="8" t="s">
        <v>100</v>
      </c>
      <c r="S3441" s="7" t="s">
        <v>28</v>
      </c>
      <c r="T3441" s="6"/>
      <c r="U3441" s="8"/>
    </row>
    <row r="3442" spans="1:39" ht="15" customHeight="1">
      <c r="A3442" s="8" t="s">
        <v>19114</v>
      </c>
      <c r="B3442" s="16">
        <v>31</v>
      </c>
      <c r="C3442" s="8" t="s">
        <v>20</v>
      </c>
      <c r="D3442" s="8" t="s">
        <v>37</v>
      </c>
      <c r="E3442" s="8" t="s">
        <v>19115</v>
      </c>
      <c r="F3442" s="17">
        <v>41280</v>
      </c>
      <c r="G3442" s="8" t="s">
        <v>19116</v>
      </c>
      <c r="H3442" s="8" t="s">
        <v>19117</v>
      </c>
      <c r="I3442" s="8" t="s">
        <v>408</v>
      </c>
      <c r="J3442" s="16" t="s">
        <v>19118</v>
      </c>
      <c r="K3442" s="2" t="s">
        <v>1115</v>
      </c>
      <c r="L3442" s="8" t="s">
        <v>19119</v>
      </c>
      <c r="M3442" s="8" t="s">
        <v>27</v>
      </c>
      <c r="N3442" s="8" t="s">
        <v>19120</v>
      </c>
      <c r="O3442" s="8" t="s">
        <v>1018</v>
      </c>
      <c r="P3442" s="8" t="s">
        <v>405</v>
      </c>
      <c r="Q3442" s="12" t="s">
        <v>19121</v>
      </c>
      <c r="R3442" s="8" t="s">
        <v>100</v>
      </c>
      <c r="S3442" s="7" t="s">
        <v>28</v>
      </c>
      <c r="T3442" s="6"/>
      <c r="U3442" s="8"/>
    </row>
    <row r="3443" spans="1:39" ht="15" customHeight="1">
      <c r="A3443" s="8" t="s">
        <v>19096</v>
      </c>
      <c r="B3443" s="16">
        <v>29</v>
      </c>
      <c r="C3443" s="8" t="s">
        <v>20</v>
      </c>
      <c r="D3443" s="8" t="s">
        <v>37</v>
      </c>
      <c r="E3443" s="8" t="s">
        <v>19097</v>
      </c>
      <c r="F3443" s="17">
        <v>41280</v>
      </c>
      <c r="G3443" s="8" t="s">
        <v>19098</v>
      </c>
      <c r="H3443" s="8" t="s">
        <v>4629</v>
      </c>
      <c r="I3443" s="8" t="s">
        <v>862</v>
      </c>
      <c r="J3443" s="16" t="s">
        <v>4630</v>
      </c>
      <c r="K3443" s="2" t="s">
        <v>4631</v>
      </c>
      <c r="L3443" s="8" t="s">
        <v>10560</v>
      </c>
      <c r="M3443" s="8" t="s">
        <v>27</v>
      </c>
      <c r="N3443" s="8" t="s">
        <v>19099</v>
      </c>
      <c r="O3443" s="8" t="s">
        <v>554</v>
      </c>
      <c r="P3443" s="8" t="s">
        <v>405</v>
      </c>
      <c r="Q3443" s="12" t="s">
        <v>19100</v>
      </c>
      <c r="R3443" s="8" t="s">
        <v>100</v>
      </c>
      <c r="S3443" s="7" t="s">
        <v>28</v>
      </c>
      <c r="T3443" s="6"/>
      <c r="U3443" s="8"/>
    </row>
    <row r="3444" spans="1:39" ht="15" customHeight="1">
      <c r="A3444" s="8" t="s">
        <v>19107</v>
      </c>
      <c r="B3444" s="16">
        <v>38</v>
      </c>
      <c r="C3444" s="8" t="s">
        <v>20</v>
      </c>
      <c r="D3444" s="8" t="s">
        <v>37</v>
      </c>
      <c r="F3444" s="17">
        <v>41280</v>
      </c>
      <c r="G3444" s="8" t="s">
        <v>19108</v>
      </c>
      <c r="H3444" s="8" t="s">
        <v>19109</v>
      </c>
      <c r="I3444" s="8" t="s">
        <v>57</v>
      </c>
      <c r="J3444" s="16" t="s">
        <v>19110</v>
      </c>
      <c r="K3444" s="2" t="s">
        <v>607</v>
      </c>
      <c r="L3444" s="8" t="s">
        <v>19111</v>
      </c>
      <c r="M3444" s="8" t="s">
        <v>27</v>
      </c>
      <c r="N3444" s="8" t="s">
        <v>19112</v>
      </c>
      <c r="O3444" s="8" t="s">
        <v>554</v>
      </c>
      <c r="P3444" s="8" t="s">
        <v>405</v>
      </c>
      <c r="Q3444" s="12" t="s">
        <v>19113</v>
      </c>
      <c r="R3444" s="8" t="s">
        <v>559</v>
      </c>
      <c r="S3444" s="7" t="s">
        <v>28</v>
      </c>
      <c r="T3444" s="6"/>
      <c r="U3444" s="8"/>
    </row>
    <row r="3445" spans="1:39" ht="15" customHeight="1">
      <c r="A3445" s="8" t="s">
        <v>19101</v>
      </c>
      <c r="B3445" s="16">
        <v>55</v>
      </c>
      <c r="C3445" s="8" t="s">
        <v>20</v>
      </c>
      <c r="D3445" s="8" t="s">
        <v>37</v>
      </c>
      <c r="E3445" s="8" t="s">
        <v>19102</v>
      </c>
      <c r="F3445" s="17">
        <v>41280</v>
      </c>
      <c r="G3445" s="8" t="s">
        <v>19103</v>
      </c>
      <c r="H3445" s="8" t="s">
        <v>4243</v>
      </c>
      <c r="I3445" s="8" t="s">
        <v>370</v>
      </c>
      <c r="J3445" s="16" t="s">
        <v>19104</v>
      </c>
      <c r="K3445" s="2" t="s">
        <v>4245</v>
      </c>
      <c r="L3445" s="8" t="s">
        <v>4246</v>
      </c>
      <c r="M3445" s="8" t="s">
        <v>27</v>
      </c>
      <c r="N3445" s="8" t="s">
        <v>19105</v>
      </c>
      <c r="O3445" s="8" t="s">
        <v>1018</v>
      </c>
      <c r="P3445" s="8" t="s">
        <v>405</v>
      </c>
      <c r="Q3445" s="12" t="s">
        <v>19106</v>
      </c>
      <c r="R3445" s="8" t="s">
        <v>100</v>
      </c>
      <c r="S3445" s="7" t="s">
        <v>28</v>
      </c>
      <c r="T3445" s="6"/>
      <c r="U3445" s="8"/>
    </row>
    <row r="3446" spans="1:39" ht="15" customHeight="1">
      <c r="A3446" s="8" t="s">
        <v>19122</v>
      </c>
      <c r="B3446" s="16">
        <v>27</v>
      </c>
      <c r="C3446" s="8" t="s">
        <v>20</v>
      </c>
      <c r="D3446" s="8" t="s">
        <v>21</v>
      </c>
      <c r="E3446" s="8" t="s">
        <v>19123</v>
      </c>
      <c r="F3446" s="17">
        <v>41279</v>
      </c>
      <c r="G3446" s="8" t="s">
        <v>19124</v>
      </c>
      <c r="H3446" s="8" t="s">
        <v>19125</v>
      </c>
      <c r="I3446" s="8" t="s">
        <v>81</v>
      </c>
      <c r="J3446" s="16" t="s">
        <v>19126</v>
      </c>
      <c r="K3446" s="2" t="s">
        <v>19127</v>
      </c>
      <c r="L3446" s="8" t="s">
        <v>19128</v>
      </c>
      <c r="M3446" s="8" t="s">
        <v>27</v>
      </c>
      <c r="N3446" s="8" t="s">
        <v>19129</v>
      </c>
      <c r="O3446" s="8" t="s">
        <v>1170</v>
      </c>
      <c r="P3446" s="8" t="s">
        <v>1171</v>
      </c>
      <c r="Q3446" s="12" t="s">
        <v>19130</v>
      </c>
      <c r="R3446" s="8" t="s">
        <v>100</v>
      </c>
      <c r="S3446" s="7" t="s">
        <v>28</v>
      </c>
      <c r="T3446" s="6"/>
      <c r="U3446" s="8"/>
      <c r="AI3446" s="8"/>
      <c r="AJ3446" s="8"/>
      <c r="AK3446" s="8"/>
      <c r="AL3446" s="8"/>
      <c r="AM3446" s="8"/>
    </row>
    <row r="3447" spans="1:39" ht="15" customHeight="1">
      <c r="A3447" s="8" t="s">
        <v>19140</v>
      </c>
      <c r="B3447" s="16">
        <v>55</v>
      </c>
      <c r="C3447" s="8" t="s">
        <v>20</v>
      </c>
      <c r="D3447" s="8" t="s">
        <v>37</v>
      </c>
      <c r="E3447" s="8" t="s">
        <v>19141</v>
      </c>
      <c r="F3447" s="17">
        <v>41279</v>
      </c>
      <c r="G3447" s="8" t="s">
        <v>19142</v>
      </c>
      <c r="H3447" s="8" t="s">
        <v>19143</v>
      </c>
      <c r="I3447" s="8" t="s">
        <v>57</v>
      </c>
      <c r="J3447" s="16" t="s">
        <v>19144</v>
      </c>
      <c r="K3447" s="2" t="s">
        <v>10134</v>
      </c>
      <c r="L3447" s="8" t="s">
        <v>19145</v>
      </c>
      <c r="M3447" s="8" t="s">
        <v>27</v>
      </c>
      <c r="N3447" s="8" t="s">
        <v>19146</v>
      </c>
      <c r="O3447" s="8" t="s">
        <v>554</v>
      </c>
      <c r="P3447" s="8" t="s">
        <v>405</v>
      </c>
      <c r="Q3447" s="12" t="s">
        <v>19147</v>
      </c>
      <c r="R3447" s="8" t="s">
        <v>29</v>
      </c>
      <c r="S3447" s="7" t="s">
        <v>28</v>
      </c>
      <c r="T3447" s="6"/>
      <c r="U3447" s="8"/>
    </row>
    <row r="3448" spans="1:39" ht="15" customHeight="1">
      <c r="A3448" s="8" t="s">
        <v>19131</v>
      </c>
      <c r="B3448" s="16">
        <v>39</v>
      </c>
      <c r="C3448" s="8" t="s">
        <v>20</v>
      </c>
      <c r="D3448" s="8" t="s">
        <v>30</v>
      </c>
      <c r="F3448" s="17">
        <v>41279</v>
      </c>
      <c r="G3448" s="8" t="s">
        <v>19132</v>
      </c>
      <c r="H3448" s="8" t="s">
        <v>638</v>
      </c>
      <c r="I3448" s="8" t="s">
        <v>124</v>
      </c>
      <c r="J3448" s="16" t="s">
        <v>7931</v>
      </c>
      <c r="K3448" s="2" t="s">
        <v>639</v>
      </c>
      <c r="L3448" s="8" t="s">
        <v>640</v>
      </c>
      <c r="M3448" s="8" t="s">
        <v>27</v>
      </c>
      <c r="N3448" s="8" t="s">
        <v>19133</v>
      </c>
      <c r="O3448" s="8" t="s">
        <v>1018</v>
      </c>
      <c r="P3448" s="8" t="s">
        <v>405</v>
      </c>
      <c r="Q3448" s="12" t="s">
        <v>19134</v>
      </c>
      <c r="R3448" s="8" t="s">
        <v>100</v>
      </c>
      <c r="S3448" s="7" t="s">
        <v>28</v>
      </c>
      <c r="T3448" s="6"/>
      <c r="U3448" s="8"/>
    </row>
    <row r="3449" spans="1:39" ht="15" customHeight="1">
      <c r="A3449" s="8" t="s">
        <v>19153</v>
      </c>
      <c r="B3449" s="16">
        <v>52</v>
      </c>
      <c r="C3449" s="8" t="s">
        <v>20</v>
      </c>
      <c r="D3449" s="8" t="s">
        <v>37</v>
      </c>
      <c r="E3449" s="8" t="s">
        <v>19154</v>
      </c>
      <c r="F3449" s="17">
        <v>41279</v>
      </c>
      <c r="G3449" s="8" t="s">
        <v>19155</v>
      </c>
      <c r="H3449" s="8" t="s">
        <v>19156</v>
      </c>
      <c r="I3449" s="8" t="s">
        <v>124</v>
      </c>
      <c r="J3449" s="16" t="s">
        <v>19157</v>
      </c>
      <c r="K3449" s="2" t="s">
        <v>639</v>
      </c>
      <c r="L3449" s="8" t="s">
        <v>19158</v>
      </c>
      <c r="M3449" s="8" t="s">
        <v>27</v>
      </c>
      <c r="N3449" s="8" t="s">
        <v>19159</v>
      </c>
      <c r="O3449" s="8" t="s">
        <v>1018</v>
      </c>
      <c r="P3449" s="8" t="s">
        <v>405</v>
      </c>
      <c r="Q3449" s="12" t="s">
        <v>19160</v>
      </c>
      <c r="R3449" s="8" t="s">
        <v>559</v>
      </c>
      <c r="S3449" s="7" t="s">
        <v>28</v>
      </c>
      <c r="T3449" s="6"/>
      <c r="U3449" s="8"/>
    </row>
    <row r="3450" spans="1:39" ht="15" customHeight="1">
      <c r="A3450" s="8" t="s">
        <v>19135</v>
      </c>
      <c r="B3450" s="16">
        <v>33</v>
      </c>
      <c r="C3450" s="8" t="s">
        <v>20</v>
      </c>
      <c r="D3450" s="8" t="s">
        <v>37</v>
      </c>
      <c r="E3450" s="8" t="s">
        <v>19136</v>
      </c>
      <c r="F3450" s="17">
        <v>41279</v>
      </c>
      <c r="G3450" s="8" t="s">
        <v>19137</v>
      </c>
      <c r="H3450" s="8" t="s">
        <v>3871</v>
      </c>
      <c r="I3450" s="8" t="s">
        <v>212</v>
      </c>
      <c r="J3450" s="16" t="s">
        <v>9458</v>
      </c>
      <c r="K3450" s="2" t="s">
        <v>3873</v>
      </c>
      <c r="L3450" s="8" t="s">
        <v>3874</v>
      </c>
      <c r="M3450" s="8" t="s">
        <v>27</v>
      </c>
      <c r="N3450" s="8" t="s">
        <v>19138</v>
      </c>
      <c r="O3450" s="8" t="s">
        <v>1018</v>
      </c>
      <c r="P3450" s="8" t="s">
        <v>405</v>
      </c>
      <c r="Q3450" s="12" t="s">
        <v>19139</v>
      </c>
      <c r="R3450" s="8" t="s">
        <v>100</v>
      </c>
      <c r="S3450" s="7" t="s">
        <v>28</v>
      </c>
      <c r="T3450" s="6"/>
      <c r="U3450" s="8"/>
      <c r="Y3450" s="8"/>
      <c r="Z3450" s="8"/>
      <c r="AA3450" s="8"/>
      <c r="AB3450" s="8"/>
      <c r="AC3450" s="8"/>
      <c r="AD3450" s="8"/>
      <c r="AE3450" s="8"/>
      <c r="AF3450" s="8"/>
      <c r="AG3450" s="8"/>
      <c r="AH3450" s="8"/>
    </row>
    <row r="3451" spans="1:39" ht="15" customHeight="1">
      <c r="A3451" s="8" t="s">
        <v>19148</v>
      </c>
      <c r="B3451" s="16">
        <v>58</v>
      </c>
      <c r="C3451" s="8" t="s">
        <v>20</v>
      </c>
      <c r="D3451" s="8" t="s">
        <v>37</v>
      </c>
      <c r="E3451" s="8" t="s">
        <v>19149</v>
      </c>
      <c r="F3451" s="17">
        <v>41279</v>
      </c>
      <c r="G3451" s="8" t="s">
        <v>19150</v>
      </c>
      <c r="H3451" s="8" t="s">
        <v>3271</v>
      </c>
      <c r="I3451" s="8" t="s">
        <v>45</v>
      </c>
      <c r="J3451" s="16" t="s">
        <v>14540</v>
      </c>
      <c r="K3451" s="2" t="s">
        <v>3271</v>
      </c>
      <c r="L3451" s="8" t="s">
        <v>965</v>
      </c>
      <c r="M3451" s="8" t="s">
        <v>27</v>
      </c>
      <c r="N3451" s="8" t="s">
        <v>19151</v>
      </c>
      <c r="O3451" s="8" t="s">
        <v>554</v>
      </c>
      <c r="P3451" s="8" t="s">
        <v>405</v>
      </c>
      <c r="Q3451" s="12" t="s">
        <v>19152</v>
      </c>
      <c r="R3451" s="8" t="s">
        <v>29</v>
      </c>
      <c r="S3451" s="7" t="s">
        <v>28</v>
      </c>
      <c r="T3451" s="6"/>
      <c r="U3451" s="8"/>
    </row>
    <row r="3452" spans="1:39" ht="15" customHeight="1">
      <c r="A3452" s="8" t="s">
        <v>19178</v>
      </c>
      <c r="B3452" s="16">
        <v>51</v>
      </c>
      <c r="C3452" s="8" t="s">
        <v>20</v>
      </c>
      <c r="D3452" s="8" t="s">
        <v>37</v>
      </c>
      <c r="E3452" s="8" t="s">
        <v>19179</v>
      </c>
      <c r="F3452" s="17">
        <v>41278</v>
      </c>
      <c r="G3452" s="8" t="s">
        <v>19180</v>
      </c>
      <c r="H3452" s="8" t="s">
        <v>19181</v>
      </c>
      <c r="I3452" s="8" t="s">
        <v>44</v>
      </c>
      <c r="J3452" s="16" t="s">
        <v>19182</v>
      </c>
      <c r="K3452" s="2" t="s">
        <v>2179</v>
      </c>
      <c r="L3452" s="8" t="s">
        <v>7076</v>
      </c>
      <c r="M3452" s="8" t="s">
        <v>27</v>
      </c>
      <c r="N3452" s="8" t="s">
        <v>19183</v>
      </c>
      <c r="O3452" s="8" t="s">
        <v>554</v>
      </c>
      <c r="P3452" s="8" t="s">
        <v>405</v>
      </c>
      <c r="Q3452" s="12" t="s">
        <v>19184</v>
      </c>
      <c r="R3452" s="8" t="s">
        <v>972</v>
      </c>
      <c r="S3452" s="7" t="s">
        <v>28</v>
      </c>
      <c r="T3452" s="6"/>
      <c r="U3452" s="8"/>
    </row>
    <row r="3453" spans="1:39" ht="15" customHeight="1">
      <c r="A3453" s="8" t="s">
        <v>19167</v>
      </c>
      <c r="B3453" s="16" t="s">
        <v>13766</v>
      </c>
      <c r="C3453" s="8" t="s">
        <v>20</v>
      </c>
      <c r="D3453" s="8" t="s">
        <v>85</v>
      </c>
      <c r="F3453" s="17">
        <v>41278</v>
      </c>
      <c r="G3453" s="8" t="s">
        <v>19168</v>
      </c>
      <c r="H3453" s="8" t="s">
        <v>1110</v>
      </c>
      <c r="I3453" s="8" t="s">
        <v>408</v>
      </c>
      <c r="J3453" s="16">
        <v>19132</v>
      </c>
      <c r="K3453" s="2" t="s">
        <v>1110</v>
      </c>
      <c r="L3453" s="8" t="s">
        <v>1111</v>
      </c>
      <c r="M3453" s="8" t="s">
        <v>27</v>
      </c>
      <c r="N3453" s="8" t="s">
        <v>19169</v>
      </c>
      <c r="O3453" s="8" t="s">
        <v>29</v>
      </c>
      <c r="P3453" s="8" t="s">
        <v>405</v>
      </c>
      <c r="Q3453" s="12" t="s">
        <v>19170</v>
      </c>
      <c r="R3453" s="8" t="s">
        <v>100</v>
      </c>
      <c r="S3453" s="7" t="s">
        <v>28</v>
      </c>
      <c r="T3453" s="6"/>
      <c r="U3453" s="8"/>
    </row>
    <row r="3454" spans="1:39" ht="15" customHeight="1">
      <c r="A3454" s="8" t="s">
        <v>19171</v>
      </c>
      <c r="B3454" s="16">
        <v>21</v>
      </c>
      <c r="C3454" s="8" t="s">
        <v>20</v>
      </c>
      <c r="D3454" s="8" t="s">
        <v>37</v>
      </c>
      <c r="E3454" s="8" t="s">
        <v>19172</v>
      </c>
      <c r="F3454" s="17">
        <v>41278</v>
      </c>
      <c r="G3454" s="8" t="s">
        <v>19173</v>
      </c>
      <c r="H3454" s="8" t="s">
        <v>19174</v>
      </c>
      <c r="I3454" s="8" t="s">
        <v>62</v>
      </c>
      <c r="J3454" s="16" t="s">
        <v>19175</v>
      </c>
      <c r="K3454" s="2" t="s">
        <v>5608</v>
      </c>
      <c r="L3454" s="8" t="s">
        <v>7811</v>
      </c>
      <c r="M3454" s="8" t="s">
        <v>27</v>
      </c>
      <c r="N3454" s="8" t="s">
        <v>19176</v>
      </c>
      <c r="O3454" s="8" t="s">
        <v>554</v>
      </c>
      <c r="P3454" s="8" t="s">
        <v>405</v>
      </c>
      <c r="Q3454" s="12" t="s">
        <v>19177</v>
      </c>
      <c r="R3454" s="8" t="s">
        <v>29</v>
      </c>
      <c r="S3454" s="7" t="s">
        <v>28</v>
      </c>
      <c r="T3454" s="6"/>
      <c r="U3454" s="8"/>
    </row>
    <row r="3455" spans="1:39" ht="15" customHeight="1">
      <c r="A3455" s="8" t="s">
        <v>19185</v>
      </c>
      <c r="B3455" s="16">
        <v>26</v>
      </c>
      <c r="C3455" s="8" t="s">
        <v>20</v>
      </c>
      <c r="D3455" s="8" t="s">
        <v>37</v>
      </c>
      <c r="E3455" s="8" t="s">
        <v>19186</v>
      </c>
      <c r="F3455" s="17">
        <v>41278</v>
      </c>
      <c r="G3455" s="8" t="s">
        <v>19187</v>
      </c>
      <c r="H3455" s="8" t="s">
        <v>19188</v>
      </c>
      <c r="I3455" s="8" t="s">
        <v>408</v>
      </c>
      <c r="J3455" s="16" t="s">
        <v>19189</v>
      </c>
      <c r="K3455" s="2" t="s">
        <v>12138</v>
      </c>
      <c r="L3455" s="8" t="s">
        <v>9453</v>
      </c>
      <c r="M3455" s="8" t="s">
        <v>27</v>
      </c>
      <c r="N3455" s="8" t="s">
        <v>19190</v>
      </c>
      <c r="O3455" s="8" t="s">
        <v>554</v>
      </c>
      <c r="P3455" s="8" t="s">
        <v>405</v>
      </c>
      <c r="Q3455" s="12" t="s">
        <v>19191</v>
      </c>
      <c r="R3455" s="8" t="s">
        <v>559</v>
      </c>
      <c r="S3455" s="7" t="s">
        <v>28</v>
      </c>
      <c r="T3455" s="6"/>
      <c r="U3455" s="8"/>
    </row>
    <row r="3456" spans="1:39" ht="15" customHeight="1">
      <c r="A3456" s="8" t="s">
        <v>19161</v>
      </c>
      <c r="B3456" s="16">
        <v>31</v>
      </c>
      <c r="C3456" s="8" t="s">
        <v>20</v>
      </c>
      <c r="D3456" s="8" t="s">
        <v>85</v>
      </c>
      <c r="F3456" s="17">
        <v>41278</v>
      </c>
      <c r="G3456" s="8" t="s">
        <v>19162</v>
      </c>
      <c r="H3456" s="8" t="s">
        <v>19163</v>
      </c>
      <c r="I3456" s="8" t="s">
        <v>62</v>
      </c>
      <c r="J3456" s="16" t="s">
        <v>12805</v>
      </c>
      <c r="K3456" s="2" t="s">
        <v>163</v>
      </c>
      <c r="L3456" s="8" t="s">
        <v>164</v>
      </c>
      <c r="M3456" s="8" t="s">
        <v>27</v>
      </c>
      <c r="N3456" s="8" t="s">
        <v>19164</v>
      </c>
      <c r="O3456" s="8" t="s">
        <v>1018</v>
      </c>
      <c r="P3456" s="8" t="s">
        <v>405</v>
      </c>
      <c r="Q3456" s="12" t="str">
        <f>HYPERLINK("http://miami.cbslocal.com/2013/01/07/family-of-man-killed-in-police-involved-shooting-demands-answers/","http://miami.cbslocal.com/2013/01/07/family-of-man-killed-in-police-involved-shooting-demands-answers/")</f>
        <v>http://miami.cbslocal.com/2013/01/07/family-of-man-killed-in-police-involved-shooting-demands-answers/</v>
      </c>
      <c r="R3456" s="8" t="s">
        <v>100</v>
      </c>
      <c r="S3456" s="7" t="s">
        <v>18</v>
      </c>
      <c r="T3456" s="6"/>
      <c r="U3456" s="8"/>
      <c r="V3456" s="8"/>
      <c r="W3456" s="8"/>
      <c r="X3456" s="8"/>
    </row>
    <row r="3457" spans="1:34" ht="15" customHeight="1">
      <c r="A3457" s="8" t="s">
        <v>19165</v>
      </c>
      <c r="B3457" s="16">
        <v>34</v>
      </c>
      <c r="C3457" s="8" t="s">
        <v>115</v>
      </c>
      <c r="D3457" s="8" t="s">
        <v>85</v>
      </c>
      <c r="F3457" s="17">
        <v>41278</v>
      </c>
      <c r="G3457" s="8" t="s">
        <v>19162</v>
      </c>
      <c r="H3457" s="8" t="s">
        <v>19163</v>
      </c>
      <c r="I3457" s="8" t="s">
        <v>62</v>
      </c>
      <c r="J3457" s="16" t="s">
        <v>12805</v>
      </c>
      <c r="K3457" s="2" t="s">
        <v>163</v>
      </c>
      <c r="L3457" s="8" t="s">
        <v>164</v>
      </c>
      <c r="M3457" s="8" t="s">
        <v>27</v>
      </c>
      <c r="N3457" s="8" t="s">
        <v>19164</v>
      </c>
      <c r="O3457" s="8" t="s">
        <v>1018</v>
      </c>
      <c r="P3457" s="8" t="s">
        <v>405</v>
      </c>
      <c r="Q3457" s="12" t="s">
        <v>19166</v>
      </c>
      <c r="R3457" s="8" t="s">
        <v>100</v>
      </c>
      <c r="S3457" s="7" t="s">
        <v>383</v>
      </c>
      <c r="T3457" s="6"/>
      <c r="U3457" s="8"/>
      <c r="V3457" s="8"/>
      <c r="W3457" s="8"/>
      <c r="X3457" s="8"/>
    </row>
    <row r="3458" spans="1:34" ht="15" customHeight="1">
      <c r="A3458" s="8" t="s">
        <v>19197</v>
      </c>
      <c r="B3458" s="16">
        <v>21</v>
      </c>
      <c r="C3458" s="8" t="s">
        <v>115</v>
      </c>
      <c r="D3458" s="8" t="s">
        <v>85</v>
      </c>
      <c r="E3458" s="8" t="s">
        <v>19198</v>
      </c>
      <c r="F3458" s="17">
        <v>41277</v>
      </c>
      <c r="G3458" s="8" t="s">
        <v>19199</v>
      </c>
      <c r="H3458" s="8" t="s">
        <v>6544</v>
      </c>
      <c r="I3458" s="8" t="s">
        <v>370</v>
      </c>
      <c r="J3458" s="16" t="s">
        <v>10838</v>
      </c>
      <c r="K3458" s="2" t="s">
        <v>653</v>
      </c>
      <c r="L3458" s="8" t="s">
        <v>10989</v>
      </c>
      <c r="M3458" s="8" t="s">
        <v>383</v>
      </c>
      <c r="N3458" s="8" t="s">
        <v>19200</v>
      </c>
      <c r="O3458" s="8" t="s">
        <v>1018</v>
      </c>
      <c r="P3458" s="8" t="s">
        <v>405</v>
      </c>
      <c r="Q3458" s="12" t="s">
        <v>19201</v>
      </c>
      <c r="R3458" s="8" t="s">
        <v>100</v>
      </c>
      <c r="S3458" s="7" t="s">
        <v>28</v>
      </c>
      <c r="T3458" s="6"/>
      <c r="U3458" s="8"/>
      <c r="Y3458" s="8"/>
      <c r="Z3458" s="8"/>
      <c r="AA3458" s="8"/>
      <c r="AB3458" s="8"/>
      <c r="AC3458" s="8"/>
      <c r="AD3458" s="8"/>
      <c r="AE3458" s="8"/>
      <c r="AF3458" s="8"/>
      <c r="AG3458" s="8"/>
      <c r="AH3458" s="8"/>
    </row>
    <row r="3459" spans="1:34" ht="15" customHeight="1">
      <c r="A3459" s="8" t="s">
        <v>19202</v>
      </c>
      <c r="B3459" s="16">
        <v>20</v>
      </c>
      <c r="C3459" s="8" t="s">
        <v>20</v>
      </c>
      <c r="D3459" s="8" t="s">
        <v>37</v>
      </c>
      <c r="E3459" s="8" t="s">
        <v>19203</v>
      </c>
      <c r="F3459" s="17">
        <v>41277</v>
      </c>
      <c r="G3459" s="8" t="s">
        <v>19204</v>
      </c>
      <c r="H3459" s="8" t="s">
        <v>1656</v>
      </c>
      <c r="I3459" s="8" t="s">
        <v>45</v>
      </c>
      <c r="J3459" s="16" t="s">
        <v>1657</v>
      </c>
      <c r="K3459" s="2" t="s">
        <v>1658</v>
      </c>
      <c r="L3459" s="8" t="s">
        <v>1659</v>
      </c>
      <c r="M3459" s="8" t="s">
        <v>27</v>
      </c>
      <c r="N3459" s="8" t="s">
        <v>19205</v>
      </c>
      <c r="O3459" s="8" t="s">
        <v>1018</v>
      </c>
      <c r="P3459" s="8" t="s">
        <v>405</v>
      </c>
      <c r="Q3459" s="12" t="s">
        <v>19206</v>
      </c>
      <c r="R3459" s="8" t="s">
        <v>100</v>
      </c>
      <c r="S3459" s="7" t="s">
        <v>28</v>
      </c>
      <c r="T3459" s="6"/>
      <c r="U3459" s="8"/>
    </row>
    <row r="3460" spans="1:34" ht="15" customHeight="1">
      <c r="A3460" s="8" t="s">
        <v>19192</v>
      </c>
      <c r="B3460" s="16">
        <v>37</v>
      </c>
      <c r="C3460" s="8" t="s">
        <v>20</v>
      </c>
      <c r="D3460" s="8" t="s">
        <v>85</v>
      </c>
      <c r="E3460" s="8" t="str">
        <f>HYPERLINK("http://www.trbimg.com/img-50e7a90e/turbine/peter-jourdan-of-allentown.jpg-20130104/600","http://www.trbimg.com/img-50e7a90e/turbine/peter-jourdan-of-allentown.jpg-20130104/600")</f>
        <v>http://www.trbimg.com/img-50e7a90e/turbine/peter-jourdan-of-allentown.jpg-20130104/600</v>
      </c>
      <c r="F3460" s="17">
        <v>41277</v>
      </c>
      <c r="G3460" s="8" t="s">
        <v>19193</v>
      </c>
      <c r="H3460" s="8" t="s">
        <v>1727</v>
      </c>
      <c r="I3460" s="8" t="s">
        <v>427</v>
      </c>
      <c r="J3460" s="16" t="s">
        <v>19194</v>
      </c>
      <c r="K3460" s="2" t="s">
        <v>1729</v>
      </c>
      <c r="L3460" s="8" t="s">
        <v>586</v>
      </c>
      <c r="M3460" s="8" t="s">
        <v>27</v>
      </c>
      <c r="N3460" s="8" t="s">
        <v>19195</v>
      </c>
      <c r="O3460" s="8" t="s">
        <v>554</v>
      </c>
      <c r="P3460" s="8" t="s">
        <v>405</v>
      </c>
      <c r="Q3460" s="12" t="s">
        <v>19196</v>
      </c>
      <c r="R3460" s="8" t="s">
        <v>100</v>
      </c>
      <c r="S3460" s="7" t="s">
        <v>28</v>
      </c>
      <c r="T3460" s="6"/>
      <c r="U3460" s="8"/>
    </row>
    <row r="3461" spans="1:34" ht="15" customHeight="1">
      <c r="A3461" s="8" t="s">
        <v>19207</v>
      </c>
      <c r="B3461" s="16">
        <v>52</v>
      </c>
      <c r="C3461" s="8" t="s">
        <v>20</v>
      </c>
      <c r="D3461" s="8" t="s">
        <v>30</v>
      </c>
      <c r="F3461" s="17">
        <v>41276</v>
      </c>
      <c r="G3461" s="8" t="s">
        <v>19208</v>
      </c>
      <c r="H3461" s="8" t="s">
        <v>19209</v>
      </c>
      <c r="I3461" s="8" t="s">
        <v>62</v>
      </c>
      <c r="J3461" s="16" t="s">
        <v>19210</v>
      </c>
      <c r="K3461" s="2" t="s">
        <v>3940</v>
      </c>
      <c r="L3461" s="8" t="s">
        <v>264</v>
      </c>
      <c r="M3461" s="8" t="s">
        <v>27</v>
      </c>
      <c r="N3461" s="8" t="s">
        <v>19211</v>
      </c>
      <c r="O3461" s="8" t="s">
        <v>1018</v>
      </c>
      <c r="P3461" s="8" t="s">
        <v>405</v>
      </c>
      <c r="Q3461" s="12" t="s">
        <v>19212</v>
      </c>
      <c r="R3461" s="8" t="s">
        <v>596</v>
      </c>
      <c r="S3461" s="7" t="s">
        <v>28</v>
      </c>
      <c r="T3461" s="6"/>
      <c r="U3461" s="8"/>
    </row>
    <row r="3462" spans="1:34" ht="15" customHeight="1">
      <c r="A3462" s="8" t="s">
        <v>19219</v>
      </c>
      <c r="B3462" s="16">
        <v>26</v>
      </c>
      <c r="C3462" s="8" t="s">
        <v>20</v>
      </c>
      <c r="D3462" s="8" t="s">
        <v>48</v>
      </c>
      <c r="E3462" s="8" t="s">
        <v>19220</v>
      </c>
      <c r="F3462" s="17">
        <v>41275</v>
      </c>
      <c r="G3462" s="8" t="s">
        <v>19221</v>
      </c>
      <c r="H3462" s="8" t="s">
        <v>686</v>
      </c>
      <c r="I3462" s="8" t="s">
        <v>45</v>
      </c>
      <c r="J3462" s="16" t="s">
        <v>16276</v>
      </c>
      <c r="K3462" s="2" t="s">
        <v>687</v>
      </c>
      <c r="L3462" s="8" t="s">
        <v>688</v>
      </c>
      <c r="M3462" s="8" t="s">
        <v>27</v>
      </c>
      <c r="N3462" s="8" t="s">
        <v>19222</v>
      </c>
      <c r="O3462" s="8" t="s">
        <v>554</v>
      </c>
      <c r="P3462" s="8" t="s">
        <v>405</v>
      </c>
      <c r="Q3462" s="12" t="s">
        <v>19223</v>
      </c>
      <c r="R3462" s="8" t="s">
        <v>100</v>
      </c>
      <c r="S3462" s="7" t="s">
        <v>28</v>
      </c>
      <c r="T3462" s="6"/>
      <c r="U3462" s="8"/>
    </row>
    <row r="3463" spans="1:34" ht="15" customHeight="1">
      <c r="A3463" s="8" t="s">
        <v>19234</v>
      </c>
      <c r="B3463" s="16">
        <v>21</v>
      </c>
      <c r="C3463" s="8" t="s">
        <v>20</v>
      </c>
      <c r="D3463" s="8" t="s">
        <v>37</v>
      </c>
      <c r="E3463" s="8" t="s">
        <v>19235</v>
      </c>
      <c r="F3463" s="17">
        <v>41275</v>
      </c>
      <c r="G3463" s="8" t="s">
        <v>19236</v>
      </c>
      <c r="H3463" s="8" t="s">
        <v>18891</v>
      </c>
      <c r="I3463" s="8" t="s">
        <v>442</v>
      </c>
      <c r="J3463" s="16" t="s">
        <v>19237</v>
      </c>
      <c r="K3463" s="2" t="s">
        <v>946</v>
      </c>
      <c r="L3463" s="8" t="s">
        <v>1645</v>
      </c>
      <c r="M3463" s="8" t="s">
        <v>27</v>
      </c>
      <c r="N3463" s="8" t="s">
        <v>19238</v>
      </c>
      <c r="O3463" s="8" t="s">
        <v>554</v>
      </c>
      <c r="P3463" s="8" t="s">
        <v>405</v>
      </c>
      <c r="Q3463" s="12" t="s">
        <v>19239</v>
      </c>
      <c r="R3463" s="8" t="s">
        <v>972</v>
      </c>
      <c r="S3463" s="7" t="s">
        <v>28</v>
      </c>
      <c r="T3463" s="6"/>
      <c r="U3463" s="8"/>
    </row>
    <row r="3464" spans="1:34" ht="15" customHeight="1">
      <c r="A3464" s="8" t="s">
        <v>19240</v>
      </c>
      <c r="B3464" s="16">
        <v>26</v>
      </c>
      <c r="C3464" s="8" t="s">
        <v>20</v>
      </c>
      <c r="D3464" s="8" t="s">
        <v>37</v>
      </c>
      <c r="E3464" s="8" t="s">
        <v>19241</v>
      </c>
      <c r="F3464" s="17">
        <v>41275</v>
      </c>
      <c r="G3464" s="8" t="s">
        <v>19242</v>
      </c>
      <c r="H3464" s="8" t="s">
        <v>18873</v>
      </c>
      <c r="I3464" s="8" t="s">
        <v>135</v>
      </c>
      <c r="J3464" s="16" t="s">
        <v>19243</v>
      </c>
      <c r="K3464" s="2" t="s">
        <v>19244</v>
      </c>
      <c r="L3464" s="8" t="s">
        <v>19245</v>
      </c>
      <c r="M3464" s="8" t="s">
        <v>1706</v>
      </c>
      <c r="N3464" s="8" t="s">
        <v>19246</v>
      </c>
      <c r="O3464" s="8" t="s">
        <v>1018</v>
      </c>
      <c r="P3464" s="8" t="s">
        <v>405</v>
      </c>
      <c r="Q3464" s="12" t="s">
        <v>19247</v>
      </c>
      <c r="R3464" s="8" t="s">
        <v>100</v>
      </c>
      <c r="S3464" s="7" t="s">
        <v>28</v>
      </c>
      <c r="T3464" s="6"/>
      <c r="U3464" s="8"/>
    </row>
    <row r="3465" spans="1:34" ht="15" customHeight="1">
      <c r="A3465" s="8" t="s">
        <v>19228</v>
      </c>
      <c r="B3465" s="16">
        <v>21</v>
      </c>
      <c r="C3465" s="8" t="s">
        <v>20</v>
      </c>
      <c r="D3465" s="8" t="s">
        <v>48</v>
      </c>
      <c r="E3465" s="8" t="s">
        <v>19229</v>
      </c>
      <c r="F3465" s="17">
        <v>41275</v>
      </c>
      <c r="G3465" s="8" t="s">
        <v>19230</v>
      </c>
      <c r="H3465" s="8" t="s">
        <v>4738</v>
      </c>
      <c r="I3465" s="8" t="s">
        <v>212</v>
      </c>
      <c r="J3465" s="16" t="s">
        <v>19231</v>
      </c>
      <c r="K3465" s="2" t="s">
        <v>4738</v>
      </c>
      <c r="L3465" s="8" t="s">
        <v>4740</v>
      </c>
      <c r="M3465" s="8" t="s">
        <v>27</v>
      </c>
      <c r="N3465" s="8" t="s">
        <v>19232</v>
      </c>
      <c r="O3465" s="8" t="s">
        <v>554</v>
      </c>
      <c r="P3465" s="8" t="s">
        <v>405</v>
      </c>
      <c r="Q3465" s="12" t="s">
        <v>19233</v>
      </c>
      <c r="R3465" s="8" t="s">
        <v>100</v>
      </c>
      <c r="S3465" s="7" t="s">
        <v>28</v>
      </c>
      <c r="T3465" s="6"/>
      <c r="U3465" s="8"/>
    </row>
    <row r="3466" spans="1:34" ht="15" customHeight="1">
      <c r="A3466" s="8" t="s">
        <v>19224</v>
      </c>
      <c r="B3466" s="16">
        <v>49</v>
      </c>
      <c r="C3466" s="8" t="s">
        <v>20</v>
      </c>
      <c r="D3466" s="8" t="s">
        <v>48</v>
      </c>
      <c r="E3466" s="8" t="str">
        <f>HYPERLINK("http://www.tricitytribuneusa.com/wp-content/uploads/Chavez_Mug0642-300x300.jpg","http://www.tricitytribuneusa.com/wp-content/uploads/Chavez_Mug0642-300x300.jpg")</f>
        <v>http://www.tricitytribuneusa.com/wp-content/uploads/Chavez_Mug0642-300x300.jpg</v>
      </c>
      <c r="F3466" s="17">
        <v>41275</v>
      </c>
      <c r="G3466" s="8" t="s">
        <v>19225</v>
      </c>
      <c r="H3466" s="8" t="s">
        <v>12710</v>
      </c>
      <c r="I3466" s="8" t="s">
        <v>198</v>
      </c>
      <c r="J3466" s="16" t="s">
        <v>18763</v>
      </c>
      <c r="K3466" s="2" t="s">
        <v>5808</v>
      </c>
      <c r="L3466" s="8" t="s">
        <v>12712</v>
      </c>
      <c r="M3466" s="8" t="s">
        <v>27</v>
      </c>
      <c r="N3466" s="8" t="s">
        <v>19226</v>
      </c>
      <c r="O3466" s="8" t="s">
        <v>1018</v>
      </c>
      <c r="P3466" s="8" t="s">
        <v>405</v>
      </c>
      <c r="Q3466" s="12" t="s">
        <v>19227</v>
      </c>
      <c r="R3466" s="8" t="s">
        <v>100</v>
      </c>
      <c r="S3466" s="7" t="s">
        <v>28</v>
      </c>
      <c r="T3466" s="6"/>
      <c r="U3466" s="8"/>
    </row>
    <row r="3467" spans="1:34" ht="15" customHeight="1">
      <c r="A3467" s="8" t="s">
        <v>19213</v>
      </c>
      <c r="B3467" s="16">
        <v>31</v>
      </c>
      <c r="C3467" s="8" t="s">
        <v>20</v>
      </c>
      <c r="D3467" s="8" t="s">
        <v>85</v>
      </c>
      <c r="E3467" s="8" t="s">
        <v>19214</v>
      </c>
      <c r="F3467" s="17">
        <v>41275</v>
      </c>
      <c r="G3467" s="8" t="s">
        <v>19215</v>
      </c>
      <c r="H3467" s="8" t="s">
        <v>1643</v>
      </c>
      <c r="I3467" s="8" t="s">
        <v>467</v>
      </c>
      <c r="J3467" s="16" t="s">
        <v>19216</v>
      </c>
      <c r="K3467" s="2" t="s">
        <v>946</v>
      </c>
      <c r="L3467" s="8" t="s">
        <v>2273</v>
      </c>
      <c r="M3467" s="8" t="s">
        <v>27</v>
      </c>
      <c r="N3467" s="8" t="s">
        <v>19217</v>
      </c>
      <c r="O3467" s="8" t="s">
        <v>554</v>
      </c>
      <c r="P3467" s="8" t="s">
        <v>405</v>
      </c>
      <c r="Q3467" s="12" t="s">
        <v>19218</v>
      </c>
      <c r="R3467" s="8" t="s">
        <v>559</v>
      </c>
      <c r="S3467" s="7" t="s">
        <v>28</v>
      </c>
      <c r="T3467" s="6"/>
      <c r="U3467" s="8"/>
    </row>
  </sheetData>
  <sortState ref="A2:AW3467">
    <sortCondition descending="1" ref="F2:F3467"/>
  </sortState>
  <hyperlinks>
    <hyperlink ref="E216" r:id="rId1"/>
    <hyperlink ref="E221" r:id="rId2"/>
    <hyperlink ref="E223" r:id="rId3"/>
    <hyperlink ref="E225" r:id="rId4"/>
    <hyperlink ref="E229" r:id="rId5"/>
    <hyperlink ref="E231" r:id="rId6"/>
    <hyperlink ref="E230" r:id="rId7"/>
    <hyperlink ref="E232" r:id="rId8"/>
    <hyperlink ref="Q238" r:id="rId9"/>
    <hyperlink ref="E234" r:id="rId10"/>
    <hyperlink ref="E239" r:id="rId11"/>
    <hyperlink ref="E242" r:id="rId12"/>
    <hyperlink ref="Q287" r:id="rId13" display="http://www.pe.com/articles/camacho-780442-anda-police.html"/>
    <hyperlink ref="Q290" r:id="rId14" display="http://www.local10.com/news/man-killed-in-policeinvolved-shooting-in-sw-miamidade/35298042"/>
    <hyperlink ref="Q292" r:id="rId15" display="http://www.vvng.com/barstow-man-killed-in-officer-involved-shooting/"/>
    <hyperlink ref="Q293" r:id="rId16" display="http://abc7.com/news/suspect-killed-in-panorama-city-officer-involved-shooting/986303/"/>
    <hyperlink ref="Q296" r:id="rId17" display="http://ksn.com/2015/09/14/inmate-death-reported-at-hutchinson-correctional-facility/"/>
    <hyperlink ref="Q295" r:id="rId18" display="http://wncn.com/2015/09/14/man-dies-while-in-custody-of-raleigh-police-investigation-underway/"/>
    <hyperlink ref="Q299" r:id="rId19" display="http://www.kwwl.com/story/30019391/2015/09/13/officer-involved-shooting-near-wellman-leaves-one-person-dead"/>
    <hyperlink ref="Q298" r:id="rId20" display="http://www.courier-journal.com/story/news/local/2015/09/14/ky-trooper-shot-western-kentucky-after-chase/72241764/"/>
    <hyperlink ref="Q297" r:id="rId21" display="http://www.tylerpaper.com/TP-Breaking+Silent/224089/jeffrey-brooks-fugitive-shot-and-killed-by-law-enforcement-officers-near-clute"/>
    <hyperlink ref="Q317" r:id="rId22" display="http://wreg.com/2015/09/24/paris-police-officer-charged-for-murdering-his-own-son/"/>
    <hyperlink ref="Q323" r:id="rId23" display="http://www.omaha.com/news/metro/man-who-had-trouble-breathing-while-being-arrested-has-died/article_6868fb7c-54f8-11e5-bf00-0f25174cd9cb.html"/>
    <hyperlink ref="Q339" r:id="rId24" display="http://www.kltv.com/story/29931923/man-shot-by-longview-officer-dies"/>
    <hyperlink ref="E450" r:id="rId25" display="http://www.killedbypolice.net/victims/150680.jpg"/>
    <hyperlink ref="Q450" r:id="rId26" display="http://www.koat.com/news/police-ask-residents-to-avoid-garfield-at-edith/34474822"/>
    <hyperlink ref="E449" r:id="rId27" display="http://www.star-telegram.com/news/local/community/fort-worth/rat54p/picture29706625/ALTERNATES/FREE_640/Flip Vallejo"/>
    <hyperlink ref="Q449" r:id="rId28" display="http://fox13now.com/2015/07/07/carjacking-suspect-in-custody-after-assaulting-woman-being-tased-having-heart-attack/"/>
    <hyperlink ref="Q447" r:id="rId29" location=".Vb0ENTBVikr" display="http://www.kob.com/article/stories/s3867548.shtml - .Vb0ENTBVikr"/>
    <hyperlink ref="E448" r:id="rId30" display="http://media.graytvinc.com/images/Mark+Perkins.jpg"/>
    <hyperlink ref="Q448" r:id="rId31" display="http://www.mynews4.com/news/local/story/Douglas-County-Sheriffs-Office-releases-names-of/4wNW73lzxEuxndl3bbvVUw.cspx"/>
    <hyperlink ref="Q451" r:id="rId32" display="http://www.sfgate.com/crime/article/Dead-body-probe-on-Lombard-Street-in-S-F-6414831.php"/>
    <hyperlink ref="E453" r:id="rId33" display="http://media.masslive.com/mass_river_worcester_news/photo/screen-shot-2015-07-30-at-14303-pmpng-3c8d20217be5ac12.png"/>
    <hyperlink ref="E452" r:id="rId34" display="http://www.killedbypolice.net/victims/150676.jpg"/>
    <hyperlink ref="Q452" r:id="rId35" display="http://www.siskiyoudaily.com/article/20150730/NEWS/150739965"/>
    <hyperlink ref="Q456" r:id="rId36" display="http://homicide.latimes.com/post/oscar-lotari-romero/"/>
    <hyperlink ref="Q455" r:id="rId37" display="http://www.lcsun-news.com/las_cruces-news/ci_28562671/officials-identify-man-shot-by-sheriffs-detective"/>
    <hyperlink ref="Q459" r:id="rId38" display="http://www.arkansasonline.com/news/2015/jul/29/one-dead-officer-involved-shooting-mississippi-cou/?f=news-arkansas"/>
    <hyperlink ref="Q457" r:id="rId39" display="http://www.timesfreepress.com/news/local/story/2015/jul/28/bradley-county-deputy-shoots-and-kills-man-her-home/316874/"/>
    <hyperlink ref="E458" r:id="rId40" display="http://bloximages.chicago2.vip.townnews.com/news.hjnews.com/content/tncms/assets/v3/editorial/c/a4/ca4f81e2-cf7d-5033-933f-f993eb1d4c29/55ba527445ee0.image.jpg"/>
    <hyperlink ref="Q458" r:id="rId41" display="http://www.13newsnow.com/story/news/local/mycity/newport-news/2015/07/04/deadly-officer-involved-shooting-in-newport-news/29692873/"/>
    <hyperlink ref="E461" r:id="rId42" display="http://images1.westword.com/imager/u/745xauto/6970529/sam.forgy.portrait.800.cropped.jpg"/>
    <hyperlink ref="Q461" r:id="rId43" display="http://www.thedenverchannel.com/news/local-news/naked-man-shot-and-killed-by-boulder-police-was-reportedly-high-on-lsd"/>
    <hyperlink ref="E460" r:id="rId44" display="http://bayoutimelive.com/wp-content/uploads/2013/04/Jean-P.-Falgout.jpg"/>
    <hyperlink ref="Q460" r:id="rId45" display="http://www.houmatoday.com/article/20150728/ARTICLES/150729727/1319?p=1&amp;tc=pg"/>
    <hyperlink ref="Q462" r:id="rId46" display="http://www.wistv.com/story/29644189/sled-investigating-deputy-involved-shooting-in-lexington-county"/>
    <hyperlink ref="Q463" r:id="rId47" display="http://www.ksla.com/story/29634844/spd-officers-involved-in-shooting-while-responding-to-hostage-situation"/>
    <hyperlink ref="E464" r:id="rId48" display="http://www.independent.co.uk/incoming/article10446695.ece/alternates/w620/Zach-hammond.jpg"/>
    <hyperlink ref="Q464" r:id="rId49" display="http://www.independentmail.com/news/man-killed-by-seneca-police-officer"/>
    <hyperlink ref="Q467" r:id="rId50" display="http://www.miamiherald.com/news/local/crime/article28915918.html"/>
    <hyperlink ref="Q465" r:id="rId51" display="http://www.reviewjournal.com/news/las-vegas/metro-officer-wounded-suspect-shot-death"/>
    <hyperlink ref="Q468" r:id="rId52" display="http://www.walb.com/story/29631891/1-dead-after-officer-involved-shooting-in-decatur-co"/>
    <hyperlink ref="Q466" r:id="rId53" location="incart_river" display="http://www.nola.com/crime/index.ssf/2015/07/breaking_new_orleans_police_sh.html - incart_river"/>
    <hyperlink ref="E470" r:id="rId54" display="http://cdn.abclocal.go.com/content/kabc/images/cms/889902_1280x720.jpg"/>
    <hyperlink ref="Q470" r:id="rId55" display="http://www.latimes.com/local/lanow/la-me-ln-report-of-gunman-opening-fire-bring-lapd-swarm-in-studio-city-20150724-story.html"/>
    <hyperlink ref="Q473" r:id="rId56" display="http://www.wcpo.com/news/region-north-cincinnati/report-man-killed-in-deputy-involved-shooting-in-montgomery-county"/>
    <hyperlink ref="E475" r:id="rId57" display="http://www.killedbypolice.net/victims/2664.jpg"/>
    <hyperlink ref="Q475" r:id="rId58" display="http://www.wesh.com/news/bicyclist-struck-by-police-cruiser-has-died/34321568"/>
    <hyperlink ref="Q476" r:id="rId59" display="http://www.sacbee.com/news/local/crime/article28452859.html"/>
    <hyperlink ref="Q471" r:id="rId60" location=".VdshGfZVikr" display="http://www.carolinalive.com/news/story.aspx?id=1234584 - .VdshGfZVikr"/>
    <hyperlink ref="Q474" r:id="rId61" display="http://www.wyff4.com/news/police-man-killed-after-shootout-with-officers/33901040"/>
    <hyperlink ref="E480" r:id="rId62" display="http://ksla.images.worldnow.com/images/8474631_G.jpg"/>
    <hyperlink ref="Q480" r:id="rId63" display="http://www.wmcactionnews5.com/story/29700419/bi-state-jail-inmate-found-dead-laid-to-rest"/>
    <hyperlink ref="Q477" r:id="rId64" display="http://www.koco.com/news/okc-police-investigating-officerinvolved-shooting-on-northeast-side/34302646"/>
    <hyperlink ref="Q478" r:id="rId65" display="http://philadelphia.cbslocal.com/2014/09/16/police-id-suspect-in-shooting-death-of-pregnant-woman-unborn-child/"/>
    <hyperlink ref="Q481" r:id="rId66" display="http://www.wdtv.com/wdtv.cfm?func=view&amp;section=5-News&amp;item=EXCLUSIVE-Weston-Man-Dead-Police-Officer-on-Administrative-Leave-24479"/>
    <hyperlink ref="E479" r:id="rId67" display="http://www.killedbypolice.net/victims/150651.jpg"/>
    <hyperlink ref="Q482" r:id="rId68" display="http://www.ajc.com/news/news/crime-law/gbi-identifies-stick-carrying-man-killed-by-bartow/nm44J/"/>
    <hyperlink ref="Q484" r:id="rId69" display="http://www.sun-sentinel.com/local/broward/oakland-park/fl-shooting-deputy-oakland-park-20150721-story.html"/>
    <hyperlink ref="Q483" r:id="rId70" display="http://www.thepress-sentinel.com/view/full_story_free/26766255/article-Man-shot-by-deputy-is-identified?instance=lead_story"/>
    <hyperlink ref="E485" r:id="rId71" display="http://www.killedbypolice.net/victims/150637.jpg"/>
    <hyperlink ref="Q485" r:id="rId72" display="http://www.12newsnow.com/story/29588216/chambers-county-deputy-involved-shooting-near-winnie"/>
    <hyperlink ref="E486" r:id="rId73" display="http://www.killedbypolice.net/victims/150642.jpg"/>
    <hyperlink ref="Q488" r:id="rId74" display="http://dfw.cbslocal.com/2015/07/31/police-officer-shoots-kills-armed-man-in-downtown-fort-worth/"/>
    <hyperlink ref="Q490" r:id="rId75" display="http://www.mercurynews.com/crime-courts/ci_28681936/fremont-man-dies-from-gunshot-wounds-officer-involved"/>
    <hyperlink ref="Q489" r:id="rId76" display="http://www.news9.com/story/29591603/one-injured-in-home-invasion-shooting-police-said"/>
    <hyperlink ref="Q487" r:id="rId77" display="http://www.houstonchronicle.com/news/houston-texas/houston/article/Man-shot-and-killed-by-deputy-outside-club-6400462.php"/>
    <hyperlink ref="Q491" r:id="rId78" display="http://www.cincinnati.com/story/news/2015/07/29/publish/30830777/"/>
    <hyperlink ref="Q494" r:id="rId79" display="http://www.visaliatimesdelta.com/story/news/local/2015/07/22/single-bullet-killed-farmersville-man/30501679/"/>
    <hyperlink ref="Q495" r:id="rId80" display="http://www.azcentral.com/story/news/local/phoenix/2015/07/18/west-phoenix-fatal-officer-involved-shooting-abrk/30349421/"/>
    <hyperlink ref="Q493" r:id="rId81" display="http://www.thedenverchannel.com/news/local-news/man-dead-shot-by-fort-collins-officers-after-suspect-tried-to-attack-them-with-knife"/>
    <hyperlink ref="Q492" r:id="rId82" display="http://www.kake.com/home/headlines/KBI-investigating-officer-involved-shooting-in-northwest-Kansas-316960821.html"/>
    <hyperlink ref="Q497" r:id="rId83" display="http://www.orlandosentinel.com/news/breaking-news/os-orlando-police-suspect-shooting-20150717-story.html"/>
    <hyperlink ref="Q498" r:id="rId84" display="http://www.wmcactionnews5.com/story/29578116/man-dead-after-struggle-with-mpd-officer"/>
    <hyperlink ref="Q500" r:id="rId85" display="http://www.click2houston.com/news/hpd-investigating-after-possible-incustody-death-in-southeast-houston/34238632"/>
    <hyperlink ref="Q499" r:id="rId86" display="http://www.sbsun.com/general-news/20150718/sheriffs-deputies-shoot-kill-highland-man-in-needles"/>
    <hyperlink ref="Q501" r:id="rId87" display="http://fox6now.com/2015/07/17/friend-of-wauwatosa-man-shot-by-police-says-he-was-a-good-man-he-started-getting-violent-hes-never-done-that-before/"/>
    <hyperlink ref="Q505" r:id="rId88" display="http://www.cnn.com/2015/07/17/us/tennessee-shooter-mohammad-youssuf-abdulazeez/"/>
    <hyperlink ref="Q504" r:id="rId89" display="http://www.miamiherald.com/news/local/crime/article27524482.html"/>
    <hyperlink ref="E503" r:id="rId90" display="https://localtvwiti.files.wordpress.com/2015/07/antonio-gonzales2.jpeg"/>
    <hyperlink ref="Q503" r:id="rId91" display="http://www.nbc15.com/home/headlines/Reports-of-shooting-in-Monroe-318229761.html"/>
    <hyperlink ref="E508" r:id="rId92" display="http://media.graytvinc.com/images/saige+hack+2.jpg"/>
    <hyperlink ref="Q508" r:id="rId93" display="http://trib.com/news/local/crime-and-courts/authorities-identify-man-killed-in-law-enforcement-shooting/article_6d603afc-e1e5-5d5c-a156-708cc4078263.html"/>
    <hyperlink ref="Q507" r:id="rId94" display="http://www.myfoxal.com/story/29566625/man-in-opp-officer-involved-shooting-dies"/>
    <hyperlink ref="Q506" r:id="rId95" display="http://www.kmbc.com/news/armed-man-shot-and-killed-by-police-on-i35-identified/34224622?absolute=true"/>
    <hyperlink ref="Q510" r:id="rId96" display="http://homicide.latimes.com/post/jason-charles-davis/"/>
    <hyperlink ref="E509" r:id="rId97" display="http://media.mlive.com/grpress/news_impact/photo/eugene-kailingjpg-1325419215b33c26.jpg"/>
    <hyperlink ref="Q511" r:id="rId98" display="http://www.clickorlando.com/news/1-dead-in-deputyinvolved-shooting-in-lake-county/34153664"/>
    <hyperlink ref="Q512" r:id="rId99" display="http://wkbn.com/2015/07/14/man-dies-in-shootout-with-police-in-southington/"/>
    <hyperlink ref="Q517" r:id="rId100" location=".Vao7U4FnKBE.twitter" display="http://www.brownsvilleherald.com/news/local/article_d17faf7e-2cfe-11e5-b74c-2b2b278cba62.html - .Vao7U4FnKBE.twitter"/>
    <hyperlink ref="E515" r:id="rId101" display="http://www.dispatch.com/content/graphics/2015/07/13/nyal-brown.jpg"/>
    <hyperlink ref="Q515" r:id="rId102" display="http://www.dispatch.com/content/stories/local/2015/07/13/fatal-crash-on-hilltop.html"/>
    <hyperlink ref="E523" r:id="rId103" display="http://www.trbimg.com/img-55a686d0/turbine/fl-plantation-cop-homeless-shooting-id-2015071-001/304/304x171"/>
    <hyperlink ref="Q523" r:id="rId104" display="http://www.sun-sentinel.com/local/broward/fl-plantation-cop-homeless-shooting-id-20150715-story.html"/>
    <hyperlink ref="Q522" r:id="rId105" display="http://www.rawstory.com/2015/07/denver-police-shoot-and-kill-a-mentally-ill-native-american-man-holding-a-knife-to-his-own-throat/"/>
    <hyperlink ref="Q520" r:id="rId106" display="http://www.ajc.com/news/news/crime-law/suspect-dead-officer-in-serious-condition-after-de/nmxbc/"/>
    <hyperlink ref="Q521" r:id="rId107" display="http://www.oakpark.com/News/Articles/7-13-2015/Three-injured,-two-killed-in-River-Forest/"/>
    <hyperlink ref="E519" r:id="rId108" display="http://media.cmgdigital.com/shared/lt/lt_cache/thumbnail/600/img/photos/2015/07/13/35/c5/DavidLepine_1.jpg"/>
    <hyperlink ref="Q519" r:id="rId109" display="http://www.statesman.com/news/news/crime-law/man-killed-by-austin-police-officer-sunday-had-a-v/nmyKL/"/>
    <hyperlink ref="E518" r:id="rId110" display="http://wac.450f.edgecastcdn.net/80450F/k2radio.com/files/2015/07/chris-benton.jpg"/>
    <hyperlink ref="Q518" r:id="rId111" location=".Vdo9r_ZVikq" display="http://www.wyomingnews.com/articles/2015/07/16/breaking_news/01breaking_7-16-15.txt - .Vdo9r_ZVikq"/>
    <hyperlink ref="Q525" r:id="rId112" display="http://www.11alive.com/story/news/local/lawrenceville/2015/07/14/family-questions-procedures-in-gwinnett-police-taser-death/30160171/"/>
    <hyperlink ref="E524" r:id="rId113" display="http://bloximages.newyork1.vip.townnews.com/appeal-democrat.com/content/tncms/assets/v3/editorial/a/50/a5039184-2b6b-11e5-b28b-c7b5c40fdd3d/55a726cc3856f.image.jpg?resize=631%2C760"/>
    <hyperlink ref="Q526" r:id="rId114" display="http://www.al.com/news/tuscaloosa/index.ssf/2015/07/tuscaloosa_police_release_more.html"/>
    <hyperlink ref="Q527" r:id="rId115" display="http://www.ajc.com/news/news/crime-law/man-dies-after-being-shot-by-newton-deputies/nmxjG/"/>
    <hyperlink ref="Q528" r:id="rId116" display="http://lasvegassun.com/news/2015/jul/15/police-body-cam-video-shows-traffic-stop-turn-dead/"/>
    <hyperlink ref="Q531" r:id="rId117" display="http://chicago.suntimes.com/crime/7/71/759984/chicago-police-involved-grand-crossing-shooting"/>
    <hyperlink ref="Q532" r:id="rId118" display="http://www.scpr.org/news/2015/07/10/53025/mid-wilshire-police-shooting-suspect-in-skateboard/"/>
    <hyperlink ref="Q533" r:id="rId119" display="http://www.azcentral.com/story/news/local/phoenix/2015/07/10/phoenix-police-shooting-suspect-cactus-abrk/29978125/"/>
    <hyperlink ref="Q529" r:id="rId120" display="http://www.santacruzsentinel.com/20150714/memorial-fund-started-for-boulder-creek-teen-killed-by-deputies"/>
    <hyperlink ref="E534" r:id="rId121" display="http://matchbin-assets.s3.amazonaws.com/public/sites/990/assets/26J5_1625924_profile_pic.jpg"/>
    <hyperlink ref="Q534" r:id="rId122" location=".VbobCM2hNfs.twitter" display="http://www.cachevalleydaily.com/news/local/article_95847b98-36af-11e5-a21d-5381b6067a1e.html - .VbobCM2hNfs.twitter"/>
    <hyperlink ref="E536" r:id="rId123" display="http://www.gannett-cdn.com/-mm-/444b6b00164f56950327b2368f293f2ce83db955/c=0-295-1304-1032&amp;r=x633&amp;c=1200x630/local/-/media/2015/07/10/JacksonMS/JacksonMS/635721442175293352-IMG-0825.JPG.jpg"/>
    <hyperlink ref="E537" r:id="rId124" display="http://media.oregonlive.com/beaverton_news/photo/westrichjpg-51507199625e81e6.jpg"/>
    <hyperlink ref="Q537" r:id="rId125" display="http://www.kgw.com/story/news/local/washington-county/2015/07/08/beaverton-officer-shot-trailer-hidden-estate/29857719/"/>
    <hyperlink ref="Q542" r:id="rId126" display="http://www.chron.com/news/houston-texas/houston/article/New-details-emerge-in-HPD-shooting-and-chase-6373997.php"/>
    <hyperlink ref="Q538" r:id="rId127" display="http://www.bakersfield.com/news/2015/07/09/bakersfield-police-man-fatally-shot-tuesday-pointed-gun-at-officers.html"/>
    <hyperlink ref="Q540" r:id="rId128" display="http://www.themonitor.com/news/local/authorities-armed-man-in-edinburg-standoff-killed-in-officer-involved/article_62b2b456-24f2-11e5-b79b-6b2f14f63dc2.html"/>
    <hyperlink ref="Q544" r:id="rId129" display="http://www.pressofatlanticcity.com/eedition/news/grand-jury-may-decide-fate-of-cop/article_d75e1ab1-8f1e-5086-b543-3243f95fc088.html"/>
    <hyperlink ref="Q541" r:id="rId130" display="http://www.wlky.com/news/man-dies-after-being-shot-by-elizabethtown-police/34052212"/>
    <hyperlink ref="E543" r:id="rId131" display="http://www.kansascity.com/news/local/crime/iwklhy/picture26752486/ALTERNATES/FREE_640/Booth"/>
    <hyperlink ref="E539" r:id="rId132" display="http://www.homefacts.com/images/offenders/texas/thumb/01958213.jpg"/>
    <hyperlink ref="Q539" r:id="rId133" display="http://crimeblog.dallasnews.com/2015/07/authorities-man-shot-by-dallas-police-was-racist-killer-rapist-family-he-was-kind-loving.html/"/>
    <hyperlink ref="Q548" r:id="rId134" display="http://homicide.latimes.com/post/jason-m-hendley/"/>
    <hyperlink ref="Q546" r:id="rId135" display="http://www.mercedsunstar.com/news/local/crime/article26705443.html"/>
    <hyperlink ref="Q545" r:id="rId136" display="http://www.fox10phoenix.com/story/29484924/2015/07/06/suspect-hospitalized-after-officer-involved-shooting-in-mesa"/>
    <hyperlink ref="Q549" r:id="rId137" display="http://homicide.latimes.com/post/john-leonard-berry/"/>
    <hyperlink ref="E551" r:id="rId138" display="https://localtvkfor.files.wordpress.com/2015/07/rogers-tyler.jpg"/>
    <hyperlink ref="Q551" r:id="rId139" display="http://kfor.com/2015/07/06/one-dead-in-officer-involved-shooting-overnight/"/>
    <hyperlink ref="E550" r:id="rId140" display="https://localtvkstu.files.wordpress.com/2015/07/gormley.jpg"/>
    <hyperlink ref="Q550" r:id="rId141" display="http://www.thespectrum.com/story/news/local/cedar-city/2015/07/15/family-friends-speak-man-killed-officer-involved-shooting/30219883/"/>
    <hyperlink ref="Q553" r:id="rId142" display="http://www.loscerritosnews.net/2015/07/12/hundreds-protest-johnny-ray-andersons-shooting-death-in-hawaiian-gardens/"/>
    <hyperlink ref="E552" r:id="rId143" display="http://cdn.patch.com/users/1372433/2015/07/T800x600/201507559ff12e799d0.png"/>
    <hyperlink ref="Q552" r:id="rId144" display="http://www.mercurynews.com/crime-courts/ci_28445274/pleasanton-investigation-continues-into-fatal-police-shooting-19"/>
    <hyperlink ref="E554" r:id="rId145" display="https://media.licdn.com/media/p/3/000/0d2/16d/29b38bd.jpg"/>
    <hyperlink ref="Q554" r:id="rId146" display="http://www.dallasnews.com/news/crime/headlines/20150706-austin-police-id-gunman-victim-at-sundays-hotel-shooting.ece"/>
    <hyperlink ref="Q556" r:id="rId147" display="http://kxan.com/2015/07/06/police-say-man-killed-in-north-austin-aimed-a-bb-pistol-at-officers/"/>
    <hyperlink ref="Q559" r:id="rId148" display="http://www.miamiherald.com/news/local/community/miami-dade/little-havana/article26604022.html"/>
    <hyperlink ref="E561" r:id="rId149" display="http://kwtv.images.worldnow.com/images/8241047_G.jpg"/>
    <hyperlink ref="Q561" r:id="rId150" location="thumbnail-modal" display="http://kfor.com/2015/07/06/alleged-suspects-identity-released-in-deadly-officer-involved-shooting/ - thumbnail-modal"/>
    <hyperlink ref="E558" r:id="rId151" display="http://i.guim.co.uk/img/media/6b8d2e8197fcd13bf1efa55dde76f7af6401fdfb/0_188_600_360/master/600.jpg?w=620&amp;q=85&amp;auto=format&amp;sharp=10&amp;s=cd2d313d4e808218cd2fff1e044bc896"/>
    <hyperlink ref="Q558" r:id="rId152" display="http://www.king5.com/story/news/crime/2015/07/17/ravenna-spd-cruiser-rammed/30286759/"/>
    <hyperlink ref="Q557" r:id="rId153" display="http://www.reviewjournal.com/news/las-vegas/gunman-killed-police-henderson-hotel-identified"/>
    <hyperlink ref="Q560" r:id="rId154" display="http://www.standardbanner.com/news/morristown-man-shot-by-police-was-also-wanted-here/article_e6215eb4-242a-11e5-b876-3f8c02fbda9f.html"/>
    <hyperlink ref="E564" r:id="rId155" display="http://media.nbclosangeles.com/images/1203*675/7-3-15+Christian+Siqueiros+in-custody+death.JPG"/>
    <hyperlink ref="E570" r:id="rId156" display="http://jacksonville.com/sites/default/files/imagecache/premium_415_wide_scale/Suspect_1.jpg"/>
    <hyperlink ref="Q570" r:id="rId157" display="http://www.news4jax.com/news/names-details-of-police-shooting-released/33983574"/>
    <hyperlink ref="Q566" r:id="rId158" display="http://k2radio.com/police-identify-man-killed-by-police-christopher-benton-had-a-criminal-record/"/>
    <hyperlink ref="E568" r:id="rId159" display="http://victimsofpolice.com/2015/images/Julian-Joseph.jpg"/>
    <hyperlink ref="Q568" r:id="rId160" display="http://www.local10.com/news/bank-robber-killed-by-police-had-previous-runins-with-law-enforcement/33983100"/>
    <hyperlink ref="E567" r:id="rId161" display="http://www.enterprisenews.com/galleryimage/WL/20150702/PHOTOGALLERY/702009988/PH/0/6/PH-702009988.jpg"/>
    <hyperlink ref="E572" r:id="rId162" display="http://images.bimedia.net/images/150701_Kevin_Lamont_Judson_story_insert.jpg"/>
    <hyperlink ref="Q572" r:id="rId163" display="http://www.katu.com/news/local/DA-clears-deputy-in-deadly-McMinnville-shooting-316055961.html"/>
    <hyperlink ref="Q571" r:id="rId164" display="http://www.oregonlive.com/pacific-northwest-news/index.ssf/2015/07/oregon_state_police_shoot_and.html"/>
    <hyperlink ref="E573" r:id="rId165" display="http://www.killedbypolice.net/victims/150628.jpg"/>
    <hyperlink ref="Q573" r:id="rId166" display="http://www.wtae.com/news/authorities-open-fire-after-man-shoots-at-them-with-crossbow/33977196"/>
    <hyperlink ref="E574" r:id="rId167" display="http://www.wyff4.com/image/view/-/33914720/highRes/1/-/maxh/630/maxw/1200/-/157k9k3/-/Clay-Alan-Lickteig-jpg.jpg"/>
    <hyperlink ref="Q574" r:id="rId168" display="http://www.wyff4.com/news/police-man-killed-after-shootout-with-officers/33901040"/>
    <hyperlink ref="Q575" r:id="rId169" location="photo-8239735" display="http://www.timesunion.com/news/article/Sheriff-Edinburgh-resident-dead-in-officer-6357460.php - photo-8239735"/>
    <hyperlink ref="E576" r:id="rId170" display="http://www.portlandmercury.com/images/blogimages/2015/06/29/1435620050-screen_shot_2015-06-29_at_4.20.07_pm.png"/>
    <hyperlink ref="Q576" r:id="rId171" display="http://www.kgw.com/story/news/local/2015/06/29/police-shooting-winco-parking-lot-portland/29455487/"/>
    <hyperlink ref="Q577" r:id="rId172" display="http://wfla.com/2015/07/09/tampa-hit-and-run-investigation-focuses-on-tpd-officer/"/>
    <hyperlink ref="Q578" r:id="rId173" display="http://www.news9.com/story/29443076/tahlequah-police-release-body-cam-video-in-fatal-officer-involved-shooting"/>
    <hyperlink ref="Q579" r:id="rId174" display="http://www.mysanantonio.com/news/local/article/Suspect-killed-by-polcie-during-chase-identified-6355557.php"/>
    <hyperlink ref="E580" r:id="rId175" display="http://a.abcnews.com/images/US/HT_richard_matt_jt_150606_4x3_992.jpg"/>
    <hyperlink ref="Q580" r:id="rId176" display="http://www.nbcnews.com/storyline/new-york-prison-escape/autopsy-shows-prison-escapee-richard-matt-was-drunk-when-he-n404676"/>
    <hyperlink ref="Q582" r:id="rId177" display="http://www.baltimoresun.com/news/maryland/crime/blog/bs-md-baltimore-county-0628-20150627-story.html"/>
    <hyperlink ref="Q581" r:id="rId178" display="http://abc30.com/news/man-wanted-after-deadly-fresno-county-deputy-involved-shooting-identified/808781/"/>
    <hyperlink ref="E583" r:id="rId179" display="http://www.gannett-cdn.com/-mm-/8334042135d7f679c06190b7cdf533ced74a407e/c=15-0-465-600&amp;r=537&amp;c=0-0-534-712/local/-/media/2015/06/24/WVEC/WVEC/635707581920059394-DamienAlexanderHarrell.jpg"/>
    <hyperlink ref="Q583" r:id="rId180" display="http://www.13newsnow.com/story/news/local/peninsulanow/2015/06/24/incident-closes-part-of-ft-eustis-blvd-in-york-co/29204021/"/>
    <hyperlink ref="Q584" r:id="rId181" display="http://www.kansas.com/news/local/article25221067.html"/>
    <hyperlink ref="Q585" r:id="rId182" display="http://www.wthr.com/story/29391400/impd-officer-involved-in-shooting-after-short-pursuit"/>
    <hyperlink ref="E586" r:id="rId183" display="http://bloximages.chicago2.vip.townnews.com/weatherforddemocrat.com/content/tncms/assets/v3/editorial/c/9c/c9c251be-1a8f-11e5-9a9f-0358863fe83b/558addd0ba8d6.image.jpg?resize=300%2C300"/>
    <hyperlink ref="Q586" r:id="rId184" display="http://www.star-telegram.com/news/local/community/fort-worth/article25340344.html"/>
    <hyperlink ref="E587" r:id="rId185" display="http://bloximages.newyork1.vip.townnews.com/omaha.com/content/tncms/assets/v3/editorial/d/d0/dd0b9724-19c9-11e5-93b4-936ae8b833ff/558991a743529.image.jpg"/>
    <hyperlink ref="Q587" r:id="rId186" display="http://journalstar.com/news/local/911/man-shot-by-deputy-has-died-sheriff-s-office-says/article_6edae1e6-0eba-5846-8dc1-79a7a3a032da.html"/>
    <hyperlink ref="E591" r:id="rId187" display="http://www.post-gazette.com/image/2015/06/23/420x_q90_cMC_z_ca0,37,614,753/HarrisTyrone.jpg"/>
    <hyperlink ref="Q591" r:id="rId188" display="http://www.post-gazette.com/local/city/2015/06/22/Shooting-incident-blocks-traffic-on-Route-51-near-Bausman-pittsburgh/stories/201506220143"/>
    <hyperlink ref="Q588" r:id="rId189" display="http://www.sacbee.com/news/local/crime/article25297567.html"/>
    <hyperlink ref="E590" r:id="rId190" display="http://chronicle.augusta.com/sites/default/files/imagecache/superphoto/14501857.jpg"/>
    <hyperlink ref="Q590" r:id="rId191" display="http://chronicle.augusta.com/news/crime-courts/2015-06-23/deputy-shoots-man-who-had-rifle-standoff-victim-died-monday-georgia"/>
    <hyperlink ref="E589" r:id="rId192" display="http://bloximages.newyork1.vip.townnews.com/journalnow.com/content/tncms/assets/v3/editorial/4/1f/41fb4001-cb7b-5850-8587-b8e9677b73a9/558828f92bfd8.image.jpg"/>
    <hyperlink ref="Q589" r:id="rId193" display="http://www.wxii12.com/news/sheriffs-deputy-shot-in-wilkes-county/33705684"/>
    <hyperlink ref="E593" r:id="rId194" display="http://www.gannett-cdn.com/-mm-/9084052019203598504c1c2c8d284ed18b0eeeb0/c=95-0-659-424&amp;r=x404&amp;c=534x401/local/-/media/2015/06/25/KTVB/KTVB/635708443303175916-Allen-Hernandez.jpg"/>
    <hyperlink ref="Q593" r:id="rId195" display="http://www.ktvb.com/story/news/crime/2015/06/25/allen--hernandez-owyhee-sheriff/29283099/"/>
    <hyperlink ref="E592" r:id="rId196" display="http://homicide.latimes.com.s3.amazonaws.com/media/homicide/72c81404-df51-4024-b054-47809e5bc39a.jpeg"/>
    <hyperlink ref="Q592" r:id="rId197" display="http://homicide.latimes.com/post/adrian-simental/"/>
    <hyperlink ref="E594" r:id="rId198" display="http://d3trabu2dfbdfb.cloudfront.net/4/6/4658528_300x300.jpeg"/>
    <hyperlink ref="Q594" r:id="rId199" display="http://www.chron.com/news/houston-texas/article/Deputy-fatally-shoots-man-after-he-charges-6340675.php"/>
    <hyperlink ref="Q595" r:id="rId200" display="http://www.chicagotribune.com/news/local/breaking/ct-alfontish-cockerham-shot-by-police-20150626-story.html"/>
    <hyperlink ref="Q596" r:id="rId201" display="http://theadvocate.com/news/12712188-123/father-at-a-loss-for"/>
    <hyperlink ref="E597" r:id="rId202" display="http://ak-cache.legacy.net/legacy/images/cobrands/birmingham/Photos/photo_20150625_AL0069125_0_danteljelks2015_20150625.jpg?v=0x00000000308a6237"/>
    <hyperlink ref="Q597" r:id="rId203" display="http://www.tuscaloosanews.com/article/20150622/news/150629934?p=1&amp;tc=pg"/>
    <hyperlink ref="E600" r:id="rId204" display="http://www.gannett-cdn.com/-mm-/15e60ce64e0a486e11e80fc1732b57a8401a0831/c=1-0-179-238&amp;r=537&amp;c=0-0-534-712/local/-/media/2015/06/19/Cincinnati/B9317795377Z.1_20150619211539_000_GCBB4NLT3.1-0.jpg"/>
    <hyperlink ref="Q600" r:id="rId205" display="http://www.cincinnati.com/story/news/2015/06/19/trepierre-hummons-past/29018599/"/>
    <hyperlink ref="Q599" r:id="rId206" display="http://www.necn.com/news/new-england/Sister-Speaks-Out-About-Police-Involved-Shooting-308721631.html"/>
    <hyperlink ref="Q598" r:id="rId207" display="http://www.greeleytribune.com/news/16932384-113/weld-district-attorney-releases-names-of-man-woman"/>
    <hyperlink ref="Q601" r:id="rId208" display="http://www.nydailynews.com/new-york/suspect-shot-killed-cops-stabbing-officer-police-article-1.2262745"/>
    <hyperlink ref="Q602" r:id="rId209" display="http://www.grandforksherald.com/news/region/3770087-family-alleged-police-shooting-victim-speaks-out"/>
    <hyperlink ref="Q604" r:id="rId210" display="http://www.montgomeryadvertiser.com/story/news/local/progress/2015/06/18/sbi-investigate-officer-involved-shooting/28954689/"/>
    <hyperlink ref="Q603" r:id="rId211" location=".Vem0QNNVhBc" display="http://www.kob.com/article/stories/s3831288.shtml - .Vem0QNNVhBc"/>
    <hyperlink ref="Q607" r:id="rId212" display="http://www.wptv.com/news/region-indian-river-county/drug-related-death-investigated-in-indian-river-county"/>
    <hyperlink ref="Q605" r:id="rId213" display="http://newyork.cbslocal.com/2015/06/17/neptune-police-officer-shooting/"/>
    <hyperlink ref="Q606" r:id="rId214" display="http://abc30.com/news/visalia-police-shoot-and-kill-man-shortly-after-arriving-at-vacant-business-complex/789315/"/>
    <hyperlink ref="E608" r:id="rId215" display="http://www.kcra.com/image/view/-/33606430/medRes/1/-/maxh/460/maxw/620/-/xldfqjz/-/Kris-Jackson-061615-jpg.jpg"/>
    <hyperlink ref="Q608" r:id="rId216" display="http://www.kcra.com/news/local-news/news-sierra/officers-police-shoot-kill-man-at-tahoe-hacienda-inn/33590860"/>
    <hyperlink ref="E609" r:id="rId217" display="https://tribfox40.files.wordpress.com/2015/06/kenneth-garcia.jpg"/>
    <hyperlink ref="Q609" r:id="rId218" display="http://www.kcra.com/news/local-news/news-stockton/stockton-police-investigate-officerinvolved-shooting-1-suspect-dead/33578792"/>
    <hyperlink ref="E610" r:id="rId219" display="http://media.cmgdigital.com/shared/img/photos/2015/06/15/08/8a/Zane_Terryn.jpg"/>
    <hyperlink ref="Q610" r:id="rId220" display="http://www.wftv.com/news/news/local/trooper-teens-idd-brevard-county-shooting/nmdGr/"/>
    <hyperlink ref="E611" r:id="rId221" display="http://whns.images.worldnow.com/images/8077680_G.jpg"/>
    <hyperlink ref="Q611" r:id="rId222" display="http://www.greenvilleonline.com/story/news/local/2015/06/14/moped-driver-killed-crash-greenville-county-deputy/71207792/"/>
    <hyperlink ref="E614" r:id="rId223" display="http://www.gannett-cdn.com/-mm-/4a6db3c9477f4109c4cdeac9a88f4baf6e2f228c/c=0-5-305-412&amp;r=537&amp;c=0-0-534-712/local/-/media/2015/06/15/Louisville/B9317735012Z.1_20150615164435_000_GG6B398IT.1-0.jpg"/>
    <hyperlink ref="Q614" r:id="rId224" display="http://www.washingtonpost.com/news/morning-mix/wp/2015/06/14/new-video-shows-kentucky-police-officer-killing-flagpole-wielding-man/"/>
    <hyperlink ref="E613" r:id="rId225" display="https://5f0ad1906cfcc43aa1e6-196c176a9165c4fb91294bcccfeafde1.ssl.cf1.rackcdn.com/b383b173-9988-4244-8538-f5128397eb44_profile.jpg"/>
    <hyperlink ref="Q613" r:id="rId226" display="http://www.wrdw.com/home/headlines/Shooting-on-Coulter-Drive-in-North-Augusta-307293011.html"/>
    <hyperlink ref="E616" r:id="rId227" display="http://media.cmgdigital.com/shared/img/photos/2015/07/01/63/fb/jimmy_payne_alteredREV2.jpg"/>
    <hyperlink ref="Q616" r:id="rId228" display="http://www.whio.com/news/news/officer-on-leave-during-crash-investigation/nmjmX/"/>
    <hyperlink ref="E615" r:id="rId229" display="http://www.dallasnews.com/incoming/20150613-james-lance-boulware-1-.jpg.ece/BINARY/James-Lance-Boulware+%281%29.jpg"/>
    <hyperlink ref="Q615" r:id="rId230" display="http://www.dallasnews.com/news/local-news/20150613-report-of-shots-fired-near-dallas-police-headquarters-prompts-chase.ece"/>
    <hyperlink ref="E612" r:id="rId231" display="http://assets.mediaspanonline.com/prod/11889528/7206529_h400.jpg"/>
    <hyperlink ref="Q612" r:id="rId232" display="http://wane.com/2015/06/15/coroner-releases-identity-of-man-shot-by-officer/"/>
    <hyperlink ref="E618" r:id="rId233" display="http://bloximages.chicago2.vip.townnews.com/kokomotribune.com/content/tncms/assets/v3/editorial/7/fc/7fcd4704-6af4-59a9-8f7e-42671ea7d7cd/557df996651c8.image.jpg?resize=300%2C400"/>
    <hyperlink ref="Q618" r:id="rId234" display="http://www.kokomotribune.com/news/update-name-of-officer-involved-in-shooting-released/article_fac3c076-121b-11e5-91a2-63f77d795bb0.html"/>
    <hyperlink ref="E617" r:id="rId235" display="http://wvns.images.worldnow.com/images/8063652_G.jpg"/>
    <hyperlink ref="Q617" r:id="rId236" display="http://www.wowktv.com/story/29310449/inmate-death-reported-at-mount-olive-prison-in-fayette-county"/>
    <hyperlink ref="E619" r:id="rId237" display="http://www.trbimg.com/img-557a9e9e/turbine/fl-pompano-beach-fatal-shoot-bso-20150611-003/550/550x309"/>
    <hyperlink ref="Q619" r:id="rId238" display="http://www.local10.com/news/bso-investigates-deputyinvolved-shooting-in-pompano-beach/33522974"/>
    <hyperlink ref="E620" r:id="rId239" display="http://i.dailymail.co.uk/i/pix/2015/06/12/08/298F3F8200000578-3120464-image-m-3_1434095771297.jpg"/>
    <hyperlink ref="Q620" r:id="rId240" display="http://miami.cbslocal.com/2015/06/11/witnesses-police-officer-shoots-homeless-man-five-times-in-miami/"/>
    <hyperlink ref="E621" r:id="rId241" display="http://victimsofpolice.com/2015/images/Mark-Flores-Jr.jpg"/>
    <hyperlink ref="Q621" r:id="rId242" display="http://www.ksat.com/news/father-says-mental-issues-triggered-gun-fight-with-son"/>
    <hyperlink ref="E622" r:id="rId243" display="http://www.northjersey.com/polopoly_fs/1.1355145.1434164980!/fileImage/httpImage/image.jpg_gen/derivatives/landscape_300/hackensackshooting.jpg"/>
    <hyperlink ref="Q622" r:id="rId244" display="http://www.northjersey.com/news/hackensack-man-killed-in-police-involved-shooting-had-knife-officials-say-1.1354435"/>
    <hyperlink ref="Q623" r:id="rId245" display="http://www.wsmv.com/story/29298752/officer-involved-fatal-shooting-reported-in-columbia"/>
    <hyperlink ref="E624" r:id="rId246" display="http://assets.dnainfo.com/generated/photo/2015/06/hampton-isaiah-13a2575-11-1433968556.jpg/extralarge.jpg"/>
    <hyperlink ref="Q624" r:id="rId247" display="http://www.nydailynews.com/new-york/bronx/bronx-man-shot-police-responding-domestic-dispute-article-1.2253127"/>
    <hyperlink ref="A627" r:id="rId248" display="http://www.killedbypolice.net/victims/150504.jpg"/>
    <hyperlink ref="E627" r:id="rId249" display="http://media2.wcpo.com/photo/2015/06/10/16x9/Cincinnati_fatal_officer_involved_shooti_3047750000_19584286_ver1.0_640_480.jpg"/>
    <hyperlink ref="Q627" r:id="rId250" display="http://www.cincinnati.com/story/news/crime/2015/06/09/officer-involved-shooting-northside/28778129/"/>
    <hyperlink ref="Q628" r:id="rId251" display="http://www.dallasnews.com/news/metro/20150609-man-who-died-after-police-used-stun-gun-identified.ece"/>
    <hyperlink ref="Q625" r:id="rId252" display="http://www.yourhoustonnews.com/courier/news/one-dead-after-officer-involved-shooting/article_1cfb859f-d481-5895-abe3-9f10b2b50423.html"/>
    <hyperlink ref="A629" r:id="rId253" display="http://www.killedbypolice.net/victims/150505.jpg"/>
    <hyperlink ref="Q629" r:id="rId254" display="http://www.desmoinesregister.com/story/news/crime-and-courts/2015/06/10/fatal-shooting-officer-involved-merle-hay-urbandale/28779873/"/>
    <hyperlink ref="A626" r:id="rId255" display="http://www.killedbypolice.net/victims/150501.jpg"/>
    <hyperlink ref="Q626" r:id="rId256" display="https://www.toledoblade.com/Police-Fire/2015/06/09/Findlay-officer-involved-in-shooting.html"/>
    <hyperlink ref="A632" r:id="rId257" display="http://www.killedbypolice.net/victims/150496.jpg"/>
    <hyperlink ref="Q632" r:id="rId258" display="http://www.wftv.com/news/news/local/police-person-interest-killed-melbourne-officer-in/nmX7b/"/>
    <hyperlink ref="A633" r:id="rId259" display="http://www.killedbypolice.net/victims/150498.jpg"/>
    <hyperlink ref="Q633" r:id="rId260" display="http://www.ocregister.com/articles/shooting-665164-personnel-dispatchers.html"/>
    <hyperlink ref="Q630" r:id="rId261" display="http://www.indystar.com/story/news/crime/2015/06/08/police-shooting-suspect-dead-beech-grove/28700455/"/>
    <hyperlink ref="Q634" r:id="rId262" display="http://www.azfamily.com/story/29270558/deputy-involved-shooting-in-sun-city"/>
    <hyperlink ref="A631" r:id="rId263" display="http://www.killedbypolice.net/victims/150499.jpg"/>
    <hyperlink ref="Q631" r:id="rId264" display="http://www.nydailynews.com/new-york/bronx/bronx-man-shocked-taser-cops-dies-sources-article-1.2250703"/>
    <hyperlink ref="Q636" r:id="rId265" display="http://www.wfla.com/story/29258795/suspect-dead-after-deputy-involved-shooting-in-sarasota"/>
    <hyperlink ref="Q635" r:id="rId266" display="http://www.komonews.com/news/local/Police-officer-in-Woodland-shoots-kills-58-year-old-man-306422811.html"/>
    <hyperlink ref="A640" r:id="rId267" display="http://www.killedbypolice.net/victims/150490.jpg"/>
    <hyperlink ref="Q640" r:id="rId268" display="http://www.sfgate.com/crime/article/Oakland-police-shoot-suspect-near-Lake-Merritt-6311221.php"/>
    <hyperlink ref="A639" r:id="rId269" display="http://www.killedbypolice.net/victims/150489.jpg"/>
    <hyperlink ref="Q639" r:id="rId270" display="http://www.denverpost.com/news/ci_28264788/man-was-fatally-shot-following-high-speed-chase"/>
    <hyperlink ref="A637" r:id="rId271" display="http://www.killedbypolice.net/victims/150491.jpg"/>
    <hyperlink ref="Q637" r:id="rId272" display="http://www.kionrightnow.com/news/local-news/officer-involvedshooting-in-watsonville-saturday-night-police-said/33444158"/>
    <hyperlink ref="Q638" r:id="rId273" display="http://www.mrt.com/news/crime/article_eccc8aa0-0ccd-11e5-92a5-e30a35ff1af1.html"/>
    <hyperlink ref="Q641" r:id="rId274" display="http://www.wboy.com/story/29256189/monongalia-county-deputies-shoot-suspect-after-vehicle-pursuit"/>
    <hyperlink ref="Q643" r:id="rId275" display="http://www.nbcphiladelphia.com/news/breaking/Rising-Sun-Pizza-Robbery-Shooting-306241121.html"/>
    <hyperlink ref="Q645" r:id="rId276" display="http://www.keyt.com/news/officer-involved-shooting-in-santa-maria-following-domestic-abuse-call/33434948"/>
    <hyperlink ref="A644" r:id="rId277" display="http://www.killedbypolice.net/victims/150488.jpg"/>
    <hyperlink ref="Q644" r:id="rId278" display="http://sanfrancisco.cbslocal.com/2015/06/05/bicyclist-fatally-struck-san-francisco-police-car-mclaren-park/"/>
    <hyperlink ref="A648" r:id="rId279" display="http://www.killedbypolice.net/victims/150483.jpg"/>
    <hyperlink ref="Q648" r:id="rId280" display="http://philadelphia.cbslocal.com/2015/06/04/police-cruiser-hits-kills-man-fleeing-officers-in-chester/"/>
    <hyperlink ref="Q646" r:id="rId281" display="http://www.turnto23.com/news/local-news/delano-pd-shoot-kill-man-after-he-fires-at-police"/>
    <hyperlink ref="A647" r:id="rId282" display="http://www.killedbypolice.net/victims/150485.jpg"/>
    <hyperlink ref="Q647" r:id="rId283" display="http://www.koat.com/news/valencia-county-deputy-involved-in-shooting/33383626"/>
    <hyperlink ref="Q650" r:id="rId284" display="http://crimeblog.dallasnews.com/2015/06/two-men-dead-i-35e-shut-down-in-ellis-county-after-three-hour-chase.html/"/>
    <hyperlink ref="Q649" r:id="rId285" display="http://www.khou.com/story/news/crime/2015/06/03/chase-ends--shooting-southeast-houston/28402107/"/>
    <hyperlink ref="Q651" r:id="rId286" display="http://www.nj.com/sussex-county/index.ssf/2015/06/man_killed_in_sussex_county_police_shooting_authorities_say.html"/>
    <hyperlink ref="A653" r:id="rId287" display="http://www.killedbypolice.net/victims/150479.jpg"/>
    <hyperlink ref="Q653" r:id="rId288" display="http://crimeblog.dallasnews.com/2015/06/tarrant-county-sheriffs-deputy-fatally-shoots-azle-man-who-stabbed-three-relatives.html/"/>
    <hyperlink ref="A654" r:id="rId289" display="http://www.killedbypolice.net/victims/150478.jpg"/>
    <hyperlink ref="Q654" r:id="rId290" display="http://www.whdh.com/story/29215946/one-dead-after-officer-involved-shooting-in-roslindale"/>
    <hyperlink ref="A656" r:id="rId291" display="http://www.killedbypolice.net/victims/150476.jpg"/>
    <hyperlink ref="Q656" r:id="rId292" display="http://www.democratandchronicle.com/story/news/2015/06/01/police-investigate-near-sears-mall-greece-ridge/28314217/"/>
    <hyperlink ref="A655" r:id="rId293" display="http://www.killedbypolice.net/victims/150475.jpg"/>
    <hyperlink ref="Q655" r:id="rId294" display="http://www.kplctv.com/story/29203366/palestine-police-id-victim-in-officer-involved-shooting"/>
    <hyperlink ref="Q658" r:id="rId295" display="http://www.democratandchronicle.com/story/news/2015/05/31/police-holding-press-briefing-tremont-st-incident/28263079/"/>
    <hyperlink ref="Q659" r:id="rId296" display="http://www.scrippsmedia.com/newschannel5/news/Investigation-Ongoing-At-Scene-Of-Alleged-Shooting-305572891.html"/>
    <hyperlink ref="Q662" r:id="rId297" display="http://koin.com/2015/05/30/osp-troopers-shoot-kill-man-in-wilderville/"/>
    <hyperlink ref="Q664" r:id="rId298" display="http://newyork.cbslocal.com/2015/05/29/lyndhurst-library-police-shooting/"/>
    <hyperlink ref="A663" r:id="rId299" display="http://www.killedbypolice.net/victims/150477.jpg"/>
    <hyperlink ref="Q663" r:id="rId300" display="http://www.thelevisalazer.com/news/local-news/11484-louisa-man-dies-after-being-tasered-by-police-during-arrest.html"/>
    <hyperlink ref="Q667" r:id="rId301" display="http://www.presstelegram.com/general-news/20150528/man-dies-after-long-beach-officer-involved-shooting"/>
    <hyperlink ref="Q670" r:id="rId302" display="http://www.11alive.com/story/news/local/carrollton/2015/05/28/carrolton-officer-involved-shooting/28130059/"/>
    <hyperlink ref="Q669" r:id="rId303" display="http://www.thedenverchannel.com/news/local-news/injured-northglenn-police-officer-taken-to-hospital"/>
    <hyperlink ref="Q668" r:id="rId304" display="http://www.macon.com/2015/05/28/3768612/putnam-deputy-shoots-and-kills.html"/>
    <hyperlink ref="Q671" r:id="rId305" display="http://www.clickondetroit.com/news/man-attacks-officer-shot-by-police-trenton/33276844"/>
    <hyperlink ref="Q666" r:id="rId306" display="http://www.wsoctv.com/news/news/local/sled-responding-possible-officer-involved-shooting/nmQSJ/"/>
    <hyperlink ref="Q675" r:id="rId307" display="http://www.nbcsandiego.com/news/local/Reported-Shots-Fired-Alpine-305259931.html"/>
    <hyperlink ref="Q673" r:id="rId308" display="http://www.kmbc.com/news/person-taken-to-hospital-after-kck-officer-uses-force-at-family-dollar/33249942"/>
    <hyperlink ref="Q674" r:id="rId309" display="http://7online.com/news/man-holding-17-month-old-son-hostage-killed-in-middletown-police-shooting/744277/"/>
    <hyperlink ref="Q672" r:id="rId310" display="http://kfor.com/2015/05/27/breaking-news-officer-involved-shooting-in-edmond/"/>
    <hyperlink ref="Q676" r:id="rId311" display="http://pix11.com/2015/05/26/police-shoot-man-in-brooklyn-school-parking-lot/"/>
    <hyperlink ref="Q677" r:id="rId312" display="http://www.nbcdfw.com/news/local/9-Year-Old-Child-Reported-Missing-in-Benbrook-304947651.html"/>
    <hyperlink ref="Q678" r:id="rId313" display="http://www.kirotv.com/news/news/breaking-news-deputy-shoots-kills-man-near-monroe/nmNnq/"/>
    <hyperlink ref="Q679" r:id="rId314" display="http://www.waaytv.com/appnews/huntsville-police-investigate-fatal-officer-involved-shooting/article_ed55e3aa-035d-11e5-86b1-a7abaa619c23.html"/>
    <hyperlink ref="Q680" r:id="rId315" display="http://kxan.com/2015/05/25/woman-shot-dead-after-five-hour-standoff-with-apd-swat-officers/"/>
    <hyperlink ref="Q681" r:id="rId316" display="http://www.kpho.com/story/29143797/suspect-dead-following-police-shooting-in-eagar-ariz"/>
    <hyperlink ref="Q682" r:id="rId317" display="http://www.freep.com/story/news/local/michigan/detroit/2015/05/23/barricaded-standoff-detroit/27839681/"/>
    <hyperlink ref="Q683" r:id="rId318" display="http://www.kshb.com/news/crime/james-horn-man-who-locked-woman-in-box-wanted-in-connection-to-double-murder"/>
    <hyperlink ref="Q684" r:id="rId319" display="http://www.wpxi.com/news/news/local/troopers-shoot-person-inside-grocery-store/nmMF2/"/>
    <hyperlink ref="Q692" r:id="rId320" display="http://www.local10.com/news/markus-clark-dies-at-florida-medical-center-after-arrest/33152392"/>
    <hyperlink ref="Q690" r:id="rId321" display="http://www.wsvn.com/story/29128211/man-dead-after-barricading-himself-inside-fort-lauderdale-home"/>
    <hyperlink ref="Q686" r:id="rId322" display="http://www.wave3.com/story/29120867/shooting-investigation-in-owensboro"/>
    <hyperlink ref="Q691" r:id="rId323" display="http://www.abcnews4.com/story/29122044/police-close-off-downtown-charleston-streets-believe-lt-rogers-shooting-suspect-inside"/>
    <hyperlink ref="Q688" r:id="rId324" display="http://www.nj.com/bergen/index.ssf/2015/05/police-involved_shooting_under_investigation_in_ha.html"/>
    <hyperlink ref="Q687" r:id="rId325" display="http://www.elpasotimes.com/latestnews/ci_28159979/officer-involved-shooting-northeast-el-paso"/>
    <hyperlink ref="Q685" r:id="rId326" display="http://jacksonville.com/news/crime/2015-05-21/story/suspect-shot-deputies-st-augustine-beach-has-died"/>
    <hyperlink ref="Q689" r:id="rId327" display="http://www.postandcourier.com/article/20150521/PC16/150529889/man-shot-last-night-after-cutting-deputy-dies"/>
    <hyperlink ref="Q693" r:id="rId328" display="http://www.gillettenewsrecord.com/news/local/article_8ce9749e-ffea-11e4-b7e5-5f207815da4f.html"/>
    <hyperlink ref="Q696" r:id="rId329" display="http://www.wowt.com/home/headlines/Police-Officer-Shot-304450711.html?ref=711"/>
    <hyperlink ref="Q695" r:id="rId330" display="http://www.thv11.com/story/news/crime/2015/05/19/police-respond-to-cabot-shooting/27627629/"/>
    <hyperlink ref="Q694" r:id="rId331" display="http://www.newsnet5.com/news/local-news/oh-summit/summit-county-sheriffs-deputy-fatally-shoots-man-with-knife-in-green"/>
    <hyperlink ref="Q698" r:id="rId332" display="http://www.wgal.com/news/breaking-news-officer-shot-in-lancaster/33104470"/>
    <hyperlink ref="Q697" r:id="rId333" display="http://www.arlnow.com/2015/05/19/breaking-officer-involved-shooting-in-buckingham/"/>
    <hyperlink ref="Q700" r:id="rId334" display="http://www.kjct8.com/news/headlines/Officer-involved-shooting-near-downtown-Grand-Junction-304404101.html"/>
    <hyperlink ref="Q699" r:id="rId335" display="http://k2radio.com/inmate-fought-deputies-before-dying-affidavit-details-bin-williams-last-days/"/>
    <hyperlink ref="Q703" r:id="rId336" display="http://www.chicagotribune.com/news/local/breaking/ct-officials-robbery-suspect-shot-dead-after-opening-fire-on-cops-20150517-story.html"/>
    <hyperlink ref="Q702" r:id="rId337" display="http://www.utsandiego.com/news/2015/may/17/sdpd-ois-officer-shot-kearny-mesa-hospital/"/>
    <hyperlink ref="Q701" r:id="rId338" display="http://www.baynews9.com/content/news/baynews9/news/article.html/content/news/articles/bn9/2015/5/17/st_pete_officer_shot.html"/>
    <hyperlink ref="Q704" r:id="rId339" location=".VVkL0zY4nTY" display="http://www.kob.com/article/stories/s3798987.shtml - .VVkL0zY4nTY"/>
    <hyperlink ref="Q705" r:id="rId340" display="http://www.kcra.com/news/local-news/news-sacramento/sacramento-police-investigating-officerinvolved-shooting/33053756"/>
    <hyperlink ref="Q706" r:id="rId341" display="http://www.nydailynews.com/new-york/bronx-man-died-custody-drinking-sources-article-1.2224115"/>
    <hyperlink ref="Q707" r:id="rId342" display="http://www.wrex.com/story/29079166/2015/05/15/officer-involved-shooting-in-rockford"/>
    <hyperlink ref="Q708" r:id="rId343" display="http://www.mlive.com/news/kalamazoo/index.ssf/2015/05/police_kill_1_man_injure_anoth.html"/>
    <hyperlink ref="Q710" r:id="rId344" display="http://www.spokesman.com/stories/2015/may/13/jail-inmate-dies-shortly-after-arrest/"/>
    <hyperlink ref="Q713" r:id="rId345" display="http://jacksonville.com/news/crime/2015-05-12/story/suspect-dead-police-involved-shooting-westside-jacksonville-apartment"/>
    <hyperlink ref="Q714" r:id="rId346" display="http://wtop.com/montgomery-county/2015/05/death-of-man-after-police-tasing-investigated-in-montgomery-county/"/>
    <hyperlink ref="Q712" r:id="rId347" display="http://www.staradvertiser.com/news/breaking/20150512_Man_fatally_shot_at_Chinatown_Gateway_Plaza.html?id=303517261"/>
    <hyperlink ref="Q711" r:id="rId348" display="http://www.ocregister.com/articles/santa-661469-involved-margarita.html"/>
    <hyperlink ref="Q717" r:id="rId349" display="http://www.nbcwashington.com/news/local/Prince-Georges-County-Sheriffs-Deputy-Involved-in-Fatal-Shooting-303283731.html"/>
    <hyperlink ref="Q716" r:id="rId350" display="http://www.wfaa.com/story/news/crime/2015/05/11/fort-worth-police-report-officer-involved-shooting/27141917/"/>
    <hyperlink ref="Q719" r:id="rId351" display="http://www.kpho.com/story/29033947/man-dead-after-officer-involved-shooting-in-kearny"/>
    <hyperlink ref="Q715" r:id="rId352" display="http://www.news4jax.com/news/st-johns-county-investiges-deputy-involved-shooting/32947972"/>
    <hyperlink ref="Q718" r:id="rId353" display="http://www.wral.com/man-dies-while-in-police-custody-in-enfield/14637653/"/>
    <hyperlink ref="Q720" r:id="rId354" display="http://www.kirotv.com/news/news/tacoma-police-shoot-and-kill-armed-man-outside-his/nmDNM/"/>
    <hyperlink ref="Q721" r:id="rId355" display="http://www.kare11.com/story/news/2015/05/09/694-shut-down-man-dies-in-officer-involved-shooting/27034515/"/>
    <hyperlink ref="Q723" r:id="rId356" display="http://www.nola.com/crime/index.ssf/2015/05/officer-involved_shooting_repo.html"/>
    <hyperlink ref="Q722" r:id="rId357" display="http://www.localsyr.com/story/d/story/authorities-investigating-fatal-officer-involved-s/67882/io8DUgiTsEG_yMWZyCVbHw"/>
    <hyperlink ref="Q728" r:id="rId358" display="http://ktla.com/2015/05/07/apparent-deputy-involved-shooting-prompts-emergency-response-in-cerritos/"/>
    <hyperlink ref="Q725" r:id="rId359" display="http://www.heraldtribune.com/article/20150507/ARTICLE/150509754/2416/NEWS"/>
    <hyperlink ref="Q726" r:id="rId360" display="http://www.wsbtv.com/news/news/local/gwinnett-county-police-investigate-officer-involve/nmBY5/"/>
    <hyperlink ref="Q724" r:id="rId361" display="http://www.wsoctv.com/news/news/local/police-investigate-officer-involved-shooting-wake-/nmBQL/"/>
    <hyperlink ref="Q727" r:id="rId362" display="http://www.recordonline.com/article/20150507/NEWS/150509481"/>
    <hyperlink ref="Q729" r:id="rId363" display="http://abc7.com/news/man-shot-to-death-by-lapd-in-venice-after-disturbing-the-peace-call/699856/"/>
    <hyperlink ref="Q731" r:id="rId364" display="http://newyork.cbslocal.com/2015/05/06/nj-turnpike-pedestrians-killed-police-car/"/>
    <hyperlink ref="Q730" r:id="rId365" display="http://newyork.cbslocal.com/2015/05/06/nj-turnpike-pedestrians-killed-police-car/"/>
    <hyperlink ref="Q734" r:id="rId366" display="http://www.sgvtribune.com/general-news/20150505/2-dead-1-injured-in-south-el-monte-stabbing-deputy-involved-shooting"/>
    <hyperlink ref="Q732" r:id="rId367" display="http://www.wsls.com/story/28977735/vsp-investigating-officer-involved-shooting-in-pulaski"/>
    <hyperlink ref="Q735" r:id="rId368" display="http://www.wkyt.com/wymt/home/headlines/Police-investigating-officer-involved-shooting-in-Perry-County-302391481.html"/>
    <hyperlink ref="Q737" r:id="rId369" display="http://www.keprtv.com/SWAT-on-scene-of-standoff-in-Kennewick-302418671.html"/>
    <hyperlink ref="Q742" r:id="rId370" display="http://facebook.com/KilledByPolice/posts/1034785363216267"/>
    <hyperlink ref="Q740" r:id="rId371" display="http://www.wfaa.com/story/news/local/2015/05/03/garland-curtis-culwell-center-swat/26848435/"/>
    <hyperlink ref="Q739" r:id="rId372" display="http://krqe.com/2015/05/03/suspect-from-deputy-involved-shooting-dies/"/>
    <hyperlink ref="Q741" r:id="rId373" display="http://www.deseretnews.com/article/865627866/Roosevelt-police-shoot-kill-man-wielding-handgun-near-hospital.html?pg=all"/>
    <hyperlink ref="Q743" r:id="rId374" display="http://www.wboc.com/story/28959278/police-investigating-officer-involved-shooting"/>
    <hyperlink ref="E744" r:id="rId375" display="http://mugshots.com/search.html?q=alexia christian&amp;c=119250"/>
    <hyperlink ref="Q744" r:id="rId376" display="http://www.ajc.com/news/news/shots-fired-in-downtown-atlanta/nk6jp/"/>
    <hyperlink ref="E745" r:id="rId377" display="http://www.wsmv.com/story/28940658/police-investigating-shooting-in-south-nashville"/>
    <hyperlink ref="Q745" r:id="rId378" display="http://www.wsmv.com/story/28940658/police-investigating-shooting-in-south-nashville"/>
    <hyperlink ref="Q748" r:id="rId379" display="http://www.cbs8.com/story/28940667/homicide-detectives-on-scene-after-officer-involved-shooting-in-midway"/>
    <hyperlink ref="E749" r:id="rId380" display="http://wtvr.com/2015/04/30/greensville-county-sheriff-shooting/"/>
    <hyperlink ref="Q749" r:id="rId381" display="http://www.13newsnow.com/story/news/local/virginia/2015/04/30/greensville-co-man-killed-in-officer-involved-shooting/26633591/"/>
    <hyperlink ref="Q750" r:id="rId382" display="http://www.azcentral.com/story/news/local/mesa/2015/04/29/mesa-police-officer-involved-fatal-shooting-abrk/26610825/"/>
    <hyperlink ref="Q747" r:id="rId383" display="http://www.elpasotimes.com/news/ci_28023272/el-paso-police-officer-shot-and-killed-burglary"/>
    <hyperlink ref="Q746" r:id="rId384" display="http://kfor.com/2015/04/29/oklahoma-police-officer-involved-in-fatal-shooting/"/>
    <hyperlink ref="Q751" r:id="rId385" display="http://www.sacbee.com/news/local/crime/article19860156.html"/>
    <hyperlink ref="Q753" r:id="rId386" display="http://www.wwltv.com/story/news/crime/2015/04/28/nopd-on-scene-of-officer-needing-assistance/26555847/"/>
    <hyperlink ref="E754" r:id="rId387" display="http://www.kfvs12.com/story/28915534/1-dead-after-standoff-in-marion"/>
    <hyperlink ref="Q754" r:id="rId388" display="http://www.kfvs12.com/story/28915534/1-dead-after-standoff-in-marion"/>
    <hyperlink ref="E752" r:id="rId389" display="http://www.mansfieldnewsjournal.com/story/news/local/2015/04/27/mansfield-police-scene-standoff/26457727/"/>
    <hyperlink ref="Q752" r:id="rId390" display="http://www.mansfieldnewsjournal.com/story/news/local/2015/04/27/mansfield-police-scene-standoff/26457727/"/>
    <hyperlink ref="Q756" r:id="rId391" display="http://america.aljazeera.com/articles/2015/4/29/terrance-kellom-shot-dead-in-detroit-by-ice-agent.html"/>
    <hyperlink ref="Q760" r:id="rId392" display="http://abc7.com/news/burglary-suspect-killed-in-officer-involved-shooting-in-fountain-valley/682399/"/>
    <hyperlink ref="E758" r:id="rId393" display="http://www.guns.com/2015/04/30/game-warden-shoots-kills-man-who-tried-to-drown-him-after-checking-fishing-license/"/>
    <hyperlink ref="E759" r:id="rId394" display="https://www.victoriaadvocate.com/news/2015/apr/27/parents-of-veteran-fatally-shot-by-police-seek-ans/"/>
    <hyperlink ref="Q759" r:id="rId395" display="https://www.victoriaadvocate.com/news/2015/apr/27/parents-of-veteran-fatally-shot-by-police-seek-ans/"/>
    <hyperlink ref="E762" r:id="rId396" display="http://www.democracynow.org/2015/4/27/headlines/new_york_police_kill_mentally_ill_african_american_man"/>
    <hyperlink ref="Q762" r:id="rId397" display="http://www.nydailynews.com/new-york/cops-shoot-man-east-village-altercation-police-article-1.2198797"/>
    <hyperlink ref="Q761" r:id="rId398" display="http://www.wftv.com/news/news/local/1-fatally-shot-lake-county-deputy-involved-shootin/nk3ng/"/>
    <hyperlink ref="Q767" r:id="rId399" display="http://www.kktv.com/home/headlines/Deadly-Officer-Involved-Shooting-in-Trinidad-301252451.html"/>
    <hyperlink ref="Q763" r:id="rId400" display="http://www.miamiok.com/news/article_7116fd15-d23e-59c9-aa7e-043ec0f3871f.html"/>
    <hyperlink ref="E766" r:id="rId401" display="http://www.statesmanjournal.com/story/news/2015/04/25/man-shot-killed-salem-police-identified/26377897/"/>
    <hyperlink ref="Q766" r:id="rId402" display="http://www.oregonlive.com/pacific-northwest-news/index.ssf/2015/04/salem_police_wound_armed_man_e.html"/>
    <hyperlink ref="Q774" r:id="rId403" display="http://abc13.com/news/hpd-officer-hits-kills-bicyclist-in-southeast-houston/677753/"/>
    <hyperlink ref="Q770" r:id="rId404" display="http://www.presstelegram.com/general-news/20150424/police-no-weapon-found-at-scene-of-officer-involved-shooting-in-long-beach-thursday"/>
    <hyperlink ref="Q768" r:id="rId405" display="http://www.latimes.com/local/lanow/la-me-ln-lapd-shoots-sylmar-gunman-20150423-story.html"/>
    <hyperlink ref="Q773" r:id="rId406" display="http://sanfrancisco.cbslocal.com/2015/04/24/woman-shot-deputies-sonoma-county-chase-dies/"/>
    <hyperlink ref="E771" r:id="rId407" display="http://www.nytimes.com/2015/04/24/nyregion/man-killed-by-police-in-queens-had-a-history-of-instability.html?_r=0"/>
    <hyperlink ref="Q771" r:id="rId408" display="http://www.nytimes.com/2015/04/24/nyregion/man-killed-by-police-in-queens-had-a-history-of-instability.html?_r=0"/>
    <hyperlink ref="Q769" r:id="rId409" display="http://www.dispatch.com/content/stories/local/2015/04/27/Knox_County_jail_death.html"/>
    <hyperlink ref="E772" r:id="rId410" display="http://www.newson6.com/story/28881786/choctaw-county-law-enforcement-officers-shot-serving-warrant"/>
    <hyperlink ref="Q772" r:id="rId411" display="http://www.newson6.com/story/28881786/choctaw-county-law-enforcement-officers-shot-serving-warrant"/>
    <hyperlink ref="Q777" r:id="rId412" display="http://www.bakersfieldnow.com/news/local/Man-shot-in-Delano-300955291.html"/>
    <hyperlink ref="E784" r:id="rId413" display="http://www.midhudsonnews.com/News/2015/April/24/Fishkill_inmate_Harrell-24Apr15.htm"/>
    <hyperlink ref="Q782" r:id="rId414" display="http://www.nj.com/middlesex/index.ssf/2015/04/man_killed_by_state_trooper_released_from_state_pr.html"/>
    <hyperlink ref="Q783" r:id="rId415" display="http://www.latimes.com/local/lanow/la-me-ln-lapd-lincoln-heights-shooting-20150422-story.html"/>
    <hyperlink ref="Q785" r:id="rId416" display="http://www.wtok.com/news/headlines/Lauderdale-County-Man-Dies-after-Arrest-300851931.html"/>
    <hyperlink ref="Q786" r:id="rId417" display="http://www.suntelegraph.com/story/2015/04/21/community/leasa-hlavinka-husband-was-a-doting-father/6849.html"/>
    <hyperlink ref="Q789" r:id="rId418" display="http://www.kentucky.com/2015/04/19/3809168/wilmore-man-killed-by-police-had.html"/>
    <hyperlink ref="Q793" r:id="rId419" display="http://www.azfamily.com/story/28852387/phoenix-pds-mental-health-squad-looks-to-reduce-violent-encounters"/>
    <hyperlink ref="Q798" r:id="rId420" display="http://www.chicagotribune.com/news/local/breaking/chi-man-fatally-shot-by-police-in-south-shore-20150417-story.html"/>
    <hyperlink ref="Q797" r:id="rId421" display="http://www.pe.com/articles/car-765208-officers-sheriff.html"/>
    <hyperlink ref="Q802" r:id="rId422" display="http://www.bakersfieldnow.com/news/local/Questions-raised-after-officer-involved-shooting-in-Shafter-300410121.html"/>
    <hyperlink ref="Q799" r:id="rId423" display="http://www.detroitnews.com/story/news/local/wayne-county/2015/04/17/assault-suspect-died-hit-taser-identified/25947299/"/>
    <hyperlink ref="Q801" r:id="rId424" display="http://www.abc17news.com/news/suspect-shot-and-killed-by-police/32394506"/>
    <hyperlink ref="Q810" r:id="rId425" display="http://www.nbcmiami.com/news/local/FDLE-Investigating-Fatal-Police-Involved-Shooting-in-Miami-Dade-300173991.html"/>
    <hyperlink ref="E804" r:id="rId426" display="http://www.brownrobinson.com/obituary/4199/Donte_Noble"/>
    <hyperlink ref="Q804" r:id="rId427" display="http://www.wyff4.com/news/police-find-man-stabbing-wife-shoot-kill-him/32384112"/>
    <hyperlink ref="Q806" r:id="rId428" display="http://abc13.com/news/suspect-shot-by-officers-at-end-of-police-chase/661643/?hc_location=ufi"/>
    <hyperlink ref="Q805" r:id="rId429" display="http://www.dailybulletin.com/government-and-politics/20150416/man-fatally-shot-by-deputies-near-montclair-had-bb-gun"/>
    <hyperlink ref="Q803" r:id="rId430" display="http://wreg.com/2015/04/15/man-wielding-machete-is-shot-and-killed-by-jonesboro-patrolman/"/>
    <hyperlink ref="Q807" r:id="rId431" display="http://www.nbclosangeles.com/news/local/Highland-In-Custody-Death-Investigation-300128821.html"/>
    <hyperlink ref="Q809" r:id="rId432" display="http://denver.cbslocal.com/2015/04/16/marriage-down-the-tubes-i-hope-they-kill-me-says-killed-standoff-suspect-on-facebook/"/>
    <hyperlink ref="Q808" r:id="rId433" display="http://www.nj.com/mercer/index.ssf/2015/04/man_shot_by_hamilton_police_in_stabbing_incident_d.html"/>
    <hyperlink ref="Q812" r:id="rId434" display="http://www.recordonline.com/article/20150428/OPINION/150429329/101136/OPINION"/>
    <hyperlink ref="Q811" r:id="rId435" display="http://www.oregonlive.com/portland/index.ssf/2015/04/se_portland_double_murder_susp.html"/>
    <hyperlink ref="E814" r:id="rId436" display="http://fox2now.com/2015/04/14/man-identified-in-alton-officer-involved-shooting/"/>
    <hyperlink ref="Q814" r:id="rId437" display="http://fox2now.com/2015/04/14/man-identified-in-alton-officer-involved-shooting/"/>
    <hyperlink ref="Q815" r:id="rId438" display="http://abc11.com/news/sampson-county-sheriffs-deputy-shoots-and-kills-robbery-suspect/654777/"/>
    <hyperlink ref="Q816" r:id="rId439" display="http://www.indystar.com/story/news/crime/2015/04/12/officer-involved-shooting-reported-indys-eastside/25678213/"/>
    <hyperlink ref="Q817" r:id="rId440" display="http://www.koco.com/news/police-investigating-reported-shooting-in-newalla/32332484"/>
    <hyperlink ref="Q818" r:id="rId441" display="http://www.dailymail.co.uk/news/article-3051433/Bodycam-footage-shows-Sand-Springs-Officer-Brian-Barnett-killing-Donald-Allen.html"/>
    <hyperlink ref="Q819" r:id="rId442" display="http://www.appeal-democrat.com/corning_observer/deputy-shoots-kills-corning-man-stabbing-father/article_800aa990-e23b-11e4-9469-435eb6fa3396.html"/>
    <hyperlink ref="Q820" r:id="rId443" display="http://www.pennlive.com/midstate/index.ssf/2015/04/adams_county_prison_gunman_die.html"/>
    <hyperlink ref="Q821" r:id="rId444" display="http://www.jconline.com/story/news/2015/05/01/officers-justified-use-lethal-force/26708803/"/>
    <hyperlink ref="Q822" r:id="rId445" display="http://www.northescambia.com/2015/04/santa-rosa-deputy-attacked-by-man-with-sword-suspect-shot-and-killed"/>
    <hyperlink ref="Q823" r:id="rId446" display="http://newsok.com/oklahoma-agents-investigate-fatal-deputy-involved-shooting-in-creek-county/article/5408706"/>
    <hyperlink ref="Q824" r:id="rId447" display="http://www.wyff4.com/news/family-of-man-killed-by-deputies-hires-attorney/32601896"/>
    <hyperlink ref="Q825" r:id="rId448" display="http://www.wctv.tv/home/headlines/Police-Respond-to-Apparent-Shooting-in-Valdosta-299123481.html"/>
    <hyperlink ref="Q829" r:id="rId449" display="http://www.latimes.com/local/lanow/la-me-ln-boyle-heights-ois-man-identified-20150410-story.html"/>
    <hyperlink ref="Q828" r:id="rId450" display="http://www.kerngoldenempire.com/news/top-stories/new-information-on-kcso-in-custody-death"/>
    <hyperlink ref="Q827" r:id="rId451" display="http://sanfrancisco.cbslocal.com/2015/04/14/armed-robbery-suspect-killed-by-sunnyvale-police-was-army-veteran/"/>
    <hyperlink ref="E826" r:id="rId452" display="http://www.ksat.com/content/pns/ksat/news/2015/04/10/man-shot--killed-by-police-id-d.html"/>
    <hyperlink ref="Q826" r:id="rId453" display="http://www.ksat.com/content/pns/ksat/news/2015/04/10/man-shot--killed-by-police-id-d.html"/>
    <hyperlink ref="Q831" r:id="rId454" display="http://www.ktvb.com/story/news/crime/2015/04/07/deputy-shoots-kills-man-rifle/25414923/"/>
    <hyperlink ref="Q830" r:id="rId455" display="http://kfor.com/2015/04/08/officer-involved-shooting-in-shawnee-leaves-one-dead/"/>
    <hyperlink ref="Q833" r:id="rId456" display="http://www.wdsu.com/news/local-news/new-orleans/jpso-officer-involved-in-shooting-in-harvey/32215908"/>
    <hyperlink ref="Q835" r:id="rId457" display="http://www.turnto23.com/news/local-news/suspect-dies-after-officer-involved-shooting-in-tehachapi-040615"/>
    <hyperlink ref="Q836" r:id="rId458" display="http://www.seattletimes.com/seattle-news/coulee-dam-man-dies-following-taser-incident/"/>
    <hyperlink ref="Q834" r:id="rId459" display="http://www.ocala.com/article/20150429/ARTICLES/150429614"/>
    <hyperlink ref="Q832" r:id="rId460" display="http://www.indystar.com/story/news/crime/2015/04/06/armed-man-shot-and-killed-by-police-on-southwestside/25348529/"/>
    <hyperlink ref="E837" r:id="rId461" display="http://mugshot-record-search.com/mugshot/AZ/Maricopa-County-Sheriff-Office/2015-Mar-16/8155067/Kenneth-Cockerel"/>
    <hyperlink ref="Q837" r:id="rId462" display="http://www.abc15.com/news/region-phoenix-metro/north-phoenix/police-identify-ken-cockerel-as-man-who-stabbed-himself-then-threatened-officers-with-knives"/>
    <hyperlink ref="Q842" r:id="rId463" display="http://ktla.com/2015/04/05/armed-man-is-fatally-shot-by-anaheim-police-1-day-after-posting-bail/"/>
    <hyperlink ref="Q841" r:id="rId464" display="http://www.huffingtonpost.com/2015/04/29/justus-howell_n_7172814.html"/>
    <hyperlink ref="Q840" r:id="rId465" display="http://www.koat.com/news/state-police-officers-fatally-shoot-east-mountains-man/32197688"/>
    <hyperlink ref="Q839" r:id="rId466" display="http://www.newson6.com/story/28722322/sheriff-man-who-died-after-being-tasered-broke-warner-officers-eye-bone-first"/>
    <hyperlink ref="E844" r:id="rId467" display="http://www.killedbypolice.net/victims/150297.jpg"/>
    <hyperlink ref="Q844" r:id="rId468" display="http://kwqc.com/2015/04/03/r-i-county-coroner-identifies-man-killed-in-officer-involved-shooting/"/>
    <hyperlink ref="Q843" r:id="rId469" display="http://www.winchesterstar.com/article/040615br"/>
    <hyperlink ref="Q847" r:id="rId470" display="http://www.timesunion.com/news/article/Taser-victim-Dontay-Ivy-to-be-laid-to-rest-6187858.php"/>
    <hyperlink ref="Q845" r:id="rId471" display="http://www.inquisitr.com/2003038/oklahoma-shooting-videos-reveal-eric-courtney-harris-last-moments-alive/"/>
    <hyperlink ref="Q848" r:id="rId472" display="http://www.kfvs12.com/story/28708976/man-identified-following-officer-involved-shooting-in-metropolis"/>
    <hyperlink ref="Q846" r:id="rId473" display="http://www.thetowntalk.com/story/news/local/2015/04/04/pineville-man-killed-deputy-idd-la-guardsman/25296693/"/>
    <hyperlink ref="E849" r:id="rId474" display="http://www.killedbypolice.net/victims/150292.jpg"/>
    <hyperlink ref="Q849" r:id="rId475" display="http://www.nbclosangeles.com/news/local/Fatal-Shooting-May-Have-Started-Over-Laugh-298532211.html"/>
    <hyperlink ref="Q851" r:id="rId476" display="http://www.click2houston.com/news/pd-man-with-pellet-gun-shot-dead-by-baytown-police-officer/32108156"/>
    <hyperlink ref="Q857" r:id="rId477" display="http://www.nwitimes.com/news/local/lake/hobart-man-dies-while-in-police-custody/article_8c40ecd0-25ee-537c-a247-168e9f79d438.html"/>
    <hyperlink ref="Q859" r:id="rId478" display="http://www.10tv.com/content/stories/2015/03/29/pike-county-ohio--officer-involved-shooting-leaves-one-dead.html"/>
    <hyperlink ref="A867" r:id="rId479" display="http://www.killedbypolice.net/victims/150279.jpg"/>
    <hyperlink ref="Q867" r:id="rId480" display="http://www.vcstar.com/news/local-news/oxnard/oxnard-woman-killed-by-police-after-domestic-dispute-call_34372240"/>
    <hyperlink ref="Q880" r:id="rId481" display="http://www.oregonlive.com/clark-county/index.ssf/2015/03/clark_county_jail_inmate_dies_1.html"/>
    <hyperlink ref="Q928" r:id="rId482" display="http://crimeblog.dallasnews.com/2015/03/man-in-arlington-police-custody-hospitazlied.html/"/>
    <hyperlink ref="Q935" r:id="rId483" display="http://www.19actionnews.com/story/28380324/one-dead-after-officer-involved-shooting-in-cleveland"/>
    <hyperlink ref="Q955" r:id="rId484" display="http://www.ksstradio.com/2015/03/09/texas-rangers-investigate-death-of-inmate/"/>
    <hyperlink ref="Q983" r:id="rId485" display="http://www.tristatehomepage.com/story/d/story/isp-investigating-officer-involved-shooting-in-ter/40703/pV4yrq5qR0S3uTbJYNfJsQ"/>
    <hyperlink ref="Q997" r:id="rId486" display="http://www.theindychannel.com/news/local-news/suspect-fatally-shot-by-impd-officer-on-east-side"/>
    <hyperlink ref="Q1022" r:id="rId487" location="section/-1/article/p2p-82809119/" display="http://touch.mcall.com/ - section/-1/article/p2p-82809119/"/>
    <hyperlink ref="Q1024" r:id="rId488" display="http://www.starfl.com/news/local-news/officer-involved-shooting-under-investigation-1.440104"/>
    <hyperlink ref="Q1031" r:id="rId489" display="http://crimeblog.dallasnews.com/2015/02/live-video-dallas-police-on-the-scene-of-officer-involved-shooting-at-bonnie-view-and-i-20.html/"/>
    <hyperlink ref="Q1033" r:id="rId490" display="http://www.cbsnews.com/news/texas-officer-responding-to-home-fatally-shoots-off-duty-deputy/"/>
    <hyperlink ref="Q1037" r:id="rId491" display="http://www.washingtonpost.com/local/crime/woman-dies-after-a-stun-gun-was-used-on-her-in-the-fairfax-county-jail/2015/02/08/14a7f498-4987-4e47-be50-5d31b39825ef_story.html"/>
    <hyperlink ref="E1036" r:id="rId492" display="http://www.trbimg.com/img-54da5444/turbine/os-joseph-paffen-20150210/243/243x137"/>
    <hyperlink ref="Q1036" r:id="rId493" display="http://www.orlandosentinel.com/news/breaking-news/os-sovereign-citizen-deputy-shooting-20150210-story.html"/>
    <hyperlink ref="Q1040" r:id="rId494" display="http://www.wcnc.com/story/news/crime/2015/02/08/gastoina-police-officer-involved-in-deadly-shooting/23075073/"/>
    <hyperlink ref="Q1039" r:id="rId495" display="http://woodtv.com/2015/02/07/suspect-in-officer-shooting-to-be-taken-off-life-support/"/>
    <hyperlink ref="Q1045" r:id="rId496" display="http://www.wacotrib.com/news/traffic/officers-shoot-kill-suspected-waco-area-robber-after-high-speed/article_0ad98762-1641-5888-80b2-3797f0b5c9f6.html"/>
    <hyperlink ref="A1046" r:id="rId497" display="http://www.killedbypolice.net/victims/150102.jpg"/>
    <hyperlink ref="Q1049" r:id="rId498" display="http://losangeles.cbslocal.com/2015/02/04/police-fatally-shoot-bank-robbery-suspect-in-chino-following-high-speed-chase/"/>
    <hyperlink ref="Q1063" r:id="rId499" display="http://newsok.com/new-details-released-in-stillwater-homicide-officer-shooting/article/5389230"/>
    <hyperlink ref="Q1066" r:id="rId500" display="http://alaska-native-news.com/inmate-dies-intake-anchorage-correctional-complex-15705"/>
    <hyperlink ref="Q1085" r:id="rId501" display="http://www.statesman.com/news/news/local/officer-involved-shooting-being-investigated/njtpW/"/>
    <hyperlink ref="Q1100" r:id="rId502" display="http://abc7news.com/news/fremont-police-investigate-fatal-officer-involved-shooting-/478614/"/>
    <hyperlink ref="Q1104" r:id="rId503" display="http://kfor.com/2015/01/17/update-on-off-duty-officer-shooting-at-garth-brooks-concert-in-tulsa/"/>
    <hyperlink ref="Q1113" r:id="rId504" display="http://theadvocate.com/news/11346884-123/evangeline-parish-man-shot-killed"/>
    <hyperlink ref="Q1128" r:id="rId505" display="http://www.greenfieldreporter.com/view/story/f769fa01fc134dab9ebc78994015adf8/AR--Fatal-Pharmacy-Robbery"/>
    <hyperlink ref="Q1131" r:id="rId506" display="http://www.omaha.com/news/crime/autopsy-results-to-be-released-soon-in-case-of-man/article_57e6f9c6-981e-11e4-84ef-dfff4d2c6e13.html"/>
    <hyperlink ref="Q1138" r:id="rId507" display="http://www.latimes.com/local/lanow/la-me-ln-taser-death-20150107-story.html"/>
    <hyperlink ref="Q1137" r:id="rId508" display="http://www.washingtonpost.com/news/the-watch/wp/2015/01/09/iowa-cop-reportedly-tries-to-shoot-dog-kills-woman-instead/"/>
    <hyperlink ref="Q1141" r:id="rId509" display="http://pickens.fetchyournews.com/archives/5043-UPDATED-Authorities-Confirm-Suspect-Has-Died,-Domestic-Call-Ends-in-Gun-Fire.html"/>
    <hyperlink ref="E1153" r:id="rId510" display="http://www.miamiherald.com/news/local/community/florida-keys/tfsh2c/picture5621952/ALTERNATES/FREE_960/Roberto.jpg"/>
    <hyperlink ref="Q1153" r:id="rId511" display="http://www.miamiherald.com/news/local/community/florida-keys/article5621958.html"/>
    <hyperlink ref="E1158" r:id="rId512" display="http://i.guim.co.uk/static/w-620/h--/q-95/sys-images/Guardian/Pix/pictures/2015/2/12/1423748301468/7245d83a-eba5-4117-8f2b-584fc9f566e8-bestSizeAvailable.jpeg"/>
    <hyperlink ref="Q1158" r:id="rId513" display="http://www.alternet.org/news-amp-politics/kevin-davis-called-cops-help-out-friend-trouble-and-was-shot-death-police-his"/>
    <hyperlink ref="E1155" r:id="rId514" display="http://www.miamiherald.com/news/local/crime/2xyin4/picture5303859/ALTERNATES/FREE_960/Eric Tyrone Forbes.jpg"/>
    <hyperlink ref="Q1155" r:id="rId515" display="http://www.local10.com/news/1-dead-in-new-years-eve-policeinvolved-shooting-in-miami/30477214"/>
    <hyperlink ref="Q1160" r:id="rId516" display="http://www.presstelegram.com/general-news/20150101/armed-woman-killed-in-compton-deputy-involved-shooting"/>
    <hyperlink ref="Q1162" r:id="rId517" display="http://6abc.com/news/sources-suspect-shot-killed-by-police-in-drexel-hill/455767/"/>
    <hyperlink ref="Q1164" r:id="rId518" display="http://www.firstcoastnews.com/story/news/local/2014/12/29/st-johns-county-armed-suspect-killed/21031459/"/>
    <hyperlink ref="Q1165" r:id="rId519" display="http://www.chicoer.com/general-news/20141229/man-shot-killed-by-sheriffs-deputy-in-paradise"/>
    <hyperlink ref="E1169" r:id="rId520" display="http://edge.liveleak.com/80281E/ll_a_s/2014/Dec/29/LiveLeak-dot-com-ebe_1419888575-davidandrescott_1419888592.jpg.resized.jpg?d5e8cc8eccfb6039332f41f6249e92b06c91b4db65f5e99818bdd5924c40ded7397e&amp;ec_rate=230"/>
    <hyperlink ref="Q1169" r:id="rId521" display="http://www.actionnewsjax.com/news/news/local/swat-called-out-fort-caroline-area/njbtC/"/>
    <hyperlink ref="Q1172" r:id="rId522" display="http://www.al.com/news/birmingham/index.ssf/2014/12/51-year-old_man_shot_to_death.html"/>
    <hyperlink ref="E1175" r:id="rId523" display="http://www.wesh.com/image/view/-/30418970/medRes/2/-/maxh/220/maxw/220/-/o2mpgg/-/Quinten-Jamal-Smith-jpg.jpg"/>
    <hyperlink ref="Q1175" r:id="rId524" display="http://www.wesh.com/news/sheriff-brevard-deputy-fatally-shoots-armed-wanted-man/30415088"/>
    <hyperlink ref="E1173" r:id="rId525" display="http://ww3.hdnux.com/photos/33/73/31/7321166/3/622x350.jpg"/>
    <hyperlink ref="Q1173" r:id="rId526" display="http://www.kvue.com/story/news/state/2014/12/26/police-shoot-kill-man-firing-gun-in-texas-city-parking-lot/20907475/"/>
    <hyperlink ref="Q1174" r:id="rId527" display="http://www.19actionnews.com/story/27709268/bedford-resident-shot-and-killed-during-confrontation-with-police"/>
    <hyperlink ref="Q1182" r:id="rId528" display="http://www.oregonlive.com/portland/index.ssf/2014/12/man_dies_after_officer-involve.html"/>
    <hyperlink ref="Q1181" r:id="rId529" display="http://pickens.fetchyournews.com/archives/5043-UPDATED-Authorities-Confirm-Suspect-Has-Died,-Domestic-Call-Ends-in-Gun-Fire.html"/>
    <hyperlink ref="Q1183" r:id="rId530" display="http://www.huffingtonpost.com/2014/12/24/antonio-martin-police-shooting_n_6376210.html"/>
    <hyperlink ref="Q1188" r:id="rId531" display="http://www.valleynewslive.com/home/headlines/Man-Dead-in-Otter-Tail-Police-Chase-286635971.html"/>
    <hyperlink ref="Q1190" r:id="rId532" display="http://www.doverpost.com/article/20141221/NEWS/141229971/13421/NEWS"/>
    <hyperlink ref="Q1192" r:id="rId533" display="http://www.sacbee.com/news/local/crime/article4774815.html"/>
    <hyperlink ref="Q1195" r:id="rId534" display="http://www.kpho.com/story/27660383/pd-phoenix-officer-involved-in-shooting"/>
    <hyperlink ref="Q1197" r:id="rId535" display="http://www.wthr.com/story/27658447/police-pursuit-standoff-shuts-down-state-road-67-at-owen-morgan-county-line"/>
    <hyperlink ref="Q1205" r:id="rId536" display="http://www.kirotv.com/news/news/deputy-involved-shooting-tacoma/njTnD/"/>
    <hyperlink ref="Q1201" r:id="rId537" display="http://www.pnj.com/story/news/crime/2014/12/17/man-dies-two-weeks-tased/20545199/"/>
    <hyperlink ref="Q1206" r:id="rId538" display="http://www.azcentral.com/story/news/local/phoenix/2014/12/17/phoenix-officer-shooting-teen-dies-abrk/20530475/"/>
    <hyperlink ref="E1203" r:id="rId539" display="http://www.muellersfuneralhomes.com/obituaries/Johnathon-Jd-Mar/Print/Wall"/>
    <hyperlink ref="Q1204" r:id="rId540" display="http://www.ocregister.com/articles/mesa-645510-costa-warrants.html"/>
    <hyperlink ref="Q1200" r:id="rId541" display="http://whotv.com/2014/12/17/marshalltown-police-critically-wound-armed-suspect-overnight/"/>
    <hyperlink ref="Q1208" r:id="rId542" display="http://www.nbcphiladelphia.com/news/local/Mayfair-Police-Shooting-285796911.html"/>
    <hyperlink ref="Q1211" r:id="rId543" display="http://www.tennessean.com/story/news/crime/2014/12/14/suspect-killed-officer-injured-south-nashville/20418519/"/>
    <hyperlink ref="E1209" r:id="rId544" display="http://www.arklatexhomepage.com/media/lib/186/8/4/d/84d8a85a-cc51-4371-b6d1-6a6fb81977f1/Story.jpg"/>
    <hyperlink ref="E1210" r:id="rId545" display="http://www.everythinglubbock.com/media/lib/197/b/e/9/be97488a-220f-42d4-a656-82afae53b037/Story.jpg"/>
    <hyperlink ref="Q1210" r:id="rId546" display="http://www.newswest9.com/story/27643563/midland-police-identify-officer-killed-in-murder-suicide"/>
    <hyperlink ref="Q1215" r:id="rId547" display="http://www.msnewsnow.com/story/27625936/madison-coroner-called-to-hwy-51-for-officer-involved-shooting"/>
    <hyperlink ref="Q1219" r:id="rId548" display="http://www.wbir.com/story/news/local/sevierville-sevier/2014/12/13/spd-officer-shoots-kills-man-standoff/20349589/"/>
    <hyperlink ref="Q1222" r:id="rId549" display="http://www.kktv.com/home/headlines/One-Man-Hospialized-After-Officer-Involved-Shooting-285508201.html"/>
    <hyperlink ref="Q1225" r:id="rId550" display="http://wvtm.membercenter.worldnow.com/story/27598792/1-dead-in-sanford-officer-involved-shooting"/>
    <hyperlink ref="Q1228" r:id="rId551" display="http://abc7chicago.com/news/armed-man-84-fatally-shot-by-police-in-lake-station-ind/428887/"/>
    <hyperlink ref="Q1230" r:id="rId552" display="http://www.lansingstatejournal.com/story/news/local/2014/12/08/shooting-lansing-township/20101031/"/>
    <hyperlink ref="Q1231" r:id="rId553" display="http://www.mynews3.com/content/specials/crimetracker/story/One-dead-in-shooting-inside-Rio-casino-early-today/cN46O5Q68ky6b5gwzcAquQ.cspx"/>
    <hyperlink ref="Q1237" r:id="rId554" display="http://ktla.com/2014/12/05/armed-man-shot-by-officers-near-hollywood-and-highland-lapd/"/>
    <hyperlink ref="E1240" r:id="rId555" display="http://wistv.images.worldnow.com/images/6145354_G.jpg"/>
    <hyperlink ref="Q1240" r:id="rId556" display="http://www.wltx.com/story/news/local/2014/12/05/sled-investigating-officer-involved-shooting/19980013/"/>
    <hyperlink ref="Q1241" r:id="rId557" display="http://www.thenewsstar.com/story/news/local/2014/12/23/officer-involved-shooting-named-separate-case/20814039/"/>
    <hyperlink ref="Q1245" r:id="rId558" display="http://www.star-telegram.com/2014/12/03/6335890/fort-worth-police-fatally-shoot.html?rh=1"/>
    <hyperlink ref="E1247" r:id="rId559" display="https://encrypted-tbn1.gstatic.com/images?q=tbn:ANd9GcReseSA89ykdECqZfgRZGCtXTy03nbwQN7mgVVimHD6HxveTuXMkCVC4Q"/>
    <hyperlink ref="Q1247" r:id="rId560" display="http://newsok.com/officer-involved-shooting-reported-in-northwest-oklahoma-city/article/5372084"/>
    <hyperlink ref="Q1250" r:id="rId561" display="http://www.chron.com/news/houston-texas/article/1-dead-in-officer-involved-shooting-in-NW-Harris-5928188.php"/>
    <hyperlink ref="Q1265" r:id="rId562" display="http://crimeblog.dallasnews.com/2014/11/balch-springs-police-say-man-died-in-custody-tuesday-after-he-fought-arresting-officers.html/"/>
    <hyperlink ref="Q1269" r:id="rId563" display="http://www.firstcoastnews.com/story/news/local/2014/11/24/jso-involved-incident-gate-gas-station/70068030/"/>
    <hyperlink ref="Q1279" r:id="rId564" location=".VHT3q4vF9R4" display="http://www.kutv.com/news/features/top-stories/stories/South-Jordan-police-give-more-details-in-shooting-death-of-1-man-59617.shtml - .VHT3q4vF9R4"/>
    <hyperlink ref="Q1274" r:id="rId565" display="http://sacramento.cbslocal.com/2014/11/23/suspect-dead-after-shootout-in-downtown-sonora-officer-bystander-hurt/"/>
    <hyperlink ref="Q1287" r:id="rId566" display="http://www.wral.com/family-man-who-shot-fayetteville-officer-suffered-from-mental-illness/14200793/"/>
    <hyperlink ref="E1290" r:id="rId567" display="http://www.revelsfh.com/obituaries/uploads/OI1223286732_FullSizeRender.jpg"/>
    <hyperlink ref="Q1293" r:id="rId568" display="http://www.mcall.com/news/breaking/mc-d-phillipsburg-officer-involved-shooting-suspect-dies-20141118-story.html"/>
    <hyperlink ref="Q1304" r:id="rId569" display="http://www.weau.com/home/headlines/Female-suspect-killed-in-Boyceville-officer-involved-shooting-282832071.html"/>
    <hyperlink ref="Q1310" r:id="rId570" display="http://www.local8now.com/home/headlines/Shooting-investigation-in-South-Knox-County-282637501.html"/>
    <hyperlink ref="Q1317" r:id="rId571" display="http://www.news-record.com/news/guilford-county-sheriff-s-deputies-involved-in-chase-that-ends/article_79451250-6a25-11e4-bb91-87f8f4995f40.html"/>
    <hyperlink ref="E1319" r:id="rId572" display="http://imgick.nj.com/home/njo-media/width620/img/middlesex_impact/photo/16419415-mmmain.png"/>
    <hyperlink ref="Q1319" r:id="rId573" display="http://www.nj.com/middlesex/index.ssf/2014/11/middlesex_county_death_jail_inmate_family_wait_for_answers.html"/>
    <hyperlink ref="Q1334" r:id="rId574" display="http://www.jacksonsun.com/story/news/local/2014/11/11/parents-man-shot-officer-speak-tbi-investigate/18836355/"/>
    <hyperlink ref="Q1335" r:id="rId575" display="http://magicvalley.com/news/local/crime-and-courts/update-man-fatally-shot-by-jerome-county-deputies-identified/article_4355b3bd-44b7-5e74-8937-16ad1d7d96cc.html"/>
    <hyperlink ref="Q1339" r:id="rId576" display="http://www.rgj.com/story/news/crime/2014/11/05/police-officer-involved-shooting-near-unr/18563353/"/>
    <hyperlink ref="E1338" r:id="rId577" display="https://www.facebook.com/groups/387178151407408/"/>
    <hyperlink ref="Q1338" r:id="rId578" display="http://www.yakimaherald.com/news/latestlocalnews/2632541-8/man-fatally-shot-by-yakima-county-deputy"/>
    <hyperlink ref="Q1340" r:id="rId579" display="http://www.wsaz.com/home/headlines/Officers-Shoot-and-Kill-Suspect-During-Drug-Raid-in-Lawrence-County-Ohiog---281476761.html"/>
    <hyperlink ref="Q1341" r:id="rId580" display="http://www.thenewscenter.tv/home/headlines/One-Person-Dead-in-Marietta-Crash-281400271.html"/>
    <hyperlink ref="Q1349" r:id="rId581" display="http://www.kshb.com/news/crime/deputy-fatally-shot-in-cedar-county"/>
    <hyperlink ref="Q1350" r:id="rId582" display="http://www.tucsonnewsnow.com/story/27187359/bicyclist-fatally-struck-by-police-officer-in-unmarked-vehicle"/>
    <hyperlink ref="Q1362" r:id="rId583" display="http://www.wdbj7.com/news/local/lynchburg-bedford/deputy-involved-in-bedford-county-shooting/29390802"/>
    <hyperlink ref="Q1368" r:id="rId584" display="http://www.wsvn.com/story/27025232/1-dead-in-hialeah-police-involved-shooting"/>
    <hyperlink ref="Q1377" r:id="rId585" display="http://www.fayobserver.com/news/local/man-shot-killed-when-cumberland-county-deputies-try-to-serve/article_f253b5ae-7298-5362-8caf-84520ea48f26.html"/>
    <hyperlink ref="Q1378" r:id="rId586" display="http://www.tucsonsentinel.com/local/report/102914_bp_shooting/update-man-fatally-shot-by-border-patrol-identified/"/>
    <hyperlink ref="Q1387" r:id="rId587" display="http://www.nydailynews.com/new-york/nyc-crime/police-shoots-kills-man-ax-queens-article-1.1984914"/>
    <hyperlink ref="Q1430" r:id="rId588" location="incart_2box" display="http://www.al.com/news/huntsville/index.ssf/2014/10/officer-involved_shooting_at_m.html - incart_2box"/>
    <hyperlink ref="E1427" r:id="rId589" display="http://bloximages.chicago2.vip.townnews.com/wacotrib.com/content/tncms/assets/v3/editorial/d/8f/d8f5c52a-c474-5323-bbcf-9da3b5d574a5/543498624ad06.image.jpg"/>
    <hyperlink ref="Q1427" r:id="rId590" display="http://www.wacotrib.com/news/courts_and_trials/woman-dies-in-mclennan-county-jail/article_295a2448-47f5-565b-b08b-7d0104877301.html"/>
    <hyperlink ref="E1428" r:id="rId591" display="http://www.miamiherald.com/news/state/florida/mqonpy/picture2628797/ALTERNATES/FREE_960/latandraellington"/>
    <hyperlink ref="Q1428" r:id="rId592" display="http://www.miamiherald.com/news/state/florida/article2564576.html"/>
    <hyperlink ref="Q1425" r:id="rId593" display="http://www.jrn.com/ktnv/news/Family-speaks-out-after-man-killed-by-police-in-shootout-278597311.html"/>
    <hyperlink ref="Q1436" r:id="rId594" display="http://www.washingtonpost.com/local/man-shot-and-killed-by-officers-trying-to-serve-a-warrant-in-southeast-dc/2014/10/05/b755dfea-4c9b-11e4-aa5e-7153e466a02d_story.html"/>
    <hyperlink ref="E1441" r:id="rId595" display="http://www.gannett-cdn.com/-mm-/90407faa708f948b3bc41ed885ae0b6dbee7db9f/c=0-743-2448-2587&amp;r=x383&amp;c=540x380/local/-/media/WXIA/None/2014/10/03/1412363614000-photo-2-.JPG"/>
    <hyperlink ref="Q1444" r:id="rId596" display="http://www.wlky.com/news/woman-shot-by-lmpd-officers-in-swat-situation-dies/28371462"/>
    <hyperlink ref="Q1449" r:id="rId597" display="http://www.houstontx.gov/police/nr/2014/oct/nr141001-3.htm"/>
    <hyperlink ref="Q1471" r:id="rId598" display="http://www.wfaa.com/story/news/crime/2014/09/23/man-death-police-custody-pepper-spray-dallas-university-park-police/16100715/"/>
    <hyperlink ref="Q1470" r:id="rId599" display="http://www.elkharttruth.com/news/crime-fire-courts/2014/09/29/Joseph-Adam-Lee-died-from-multiple-gunshot-wounds-shooting-investigation-continues.html"/>
    <hyperlink ref="Q1482" r:id="rId600" display="http://www.demingheadlight.com/deming-news/ci_26572049/pursuit-through-luna-county-ends-stand-off-las"/>
    <hyperlink ref="Q1481" r:id="rId601" display="http://www.northwestgeorgianews.com/polkfishwrap/news/local/authorities--year-old-levi-weaver-shot-killed-by-polk/article_b26d6dba-408c-11e4-ba96-0017a43b2370.html"/>
    <hyperlink ref="Q1480" r:id="rId602" display="http://www.twincities.com/localnews/ci_26675527/hermantown-man-dies-after-police-use-taser"/>
    <hyperlink ref="Q1483" r:id="rId603" display="http://www.ajc.com/news/news/man-fatally-shot-by-police-on-savannah-street/nhP97/"/>
    <hyperlink ref="Q1493" r:id="rId604" display="http://www.wwltv.com/story/news/local/orleans/2014/09/15/officer-shot-on-duty-in-good-spirits/15700815/"/>
    <hyperlink ref="E1500" r:id="rId605" display="http://www.copblock.org/wp-content/uploads/2014/09/ricky-deangelo-hinkle-jefferson-county-alabama-copblock.png"/>
    <hyperlink ref="Q1500" r:id="rId606" display="http://www.al.com/news/birmingham/index.ssf/2014/09/jefferson_county_inmate_dies_a.html"/>
    <hyperlink ref="Q1499" r:id="rId607" display="http://www.wkyt.com/home/headlines/Police-dealing-with-developing-situation-in-Madison-County-275029661.html"/>
    <hyperlink ref="Q1521" r:id="rId608" display="http://www.kolotv.com/home/headlines/Officer-Involved-Shooting-Shuts-Down-Sutro-and-So-273796761.html"/>
    <hyperlink ref="Q1524" r:id="rId609" display="http://www.cleveland.com/metro/index.ssf/2014/09/man_shot_killed_by_cleveland_p.html"/>
    <hyperlink ref="Q1531" r:id="rId610" display="http://nypost.com/2014/09/06/man-who-shot-nypd-cop-dies-after-surgery/"/>
    <hyperlink ref="Q1536" r:id="rId611" display="http://www.king5.com/story/news/local/seattle/2014/09/01/police-find-gun-arsenal-queen-anne-home-shooting/14946055/"/>
    <hyperlink ref="E1541" r:id="rId612" display="https://cbsnewyork.files.wordpress.com/2014/08/singelton2.jpg?w=620&amp;h=349&amp;crop=1"/>
    <hyperlink ref="Q1541" r:id="rId613" display="http://www.nydailynews.com/new-york/nyc-crime/death-man-high-pcp-restrained-cops-ruled-homicide-article-1.1922055"/>
    <hyperlink ref="Q1542" r:id="rId614" display="http://www.mprnews.org/story/2014/11/17/police-justified-in-ramsey-shooting"/>
    <hyperlink ref="Q1543" r:id="rId615" display="http://www.redding.com/news/local-news/deputies-person-shot-on-fig-tree-lane"/>
    <hyperlink ref="Q1573" r:id="rId616" display="http://www.baltimoresun.com/news/maryland/baltimore-county/bs-md-co-in-custody-death-20140821-story.html"/>
    <hyperlink ref="Q1578" r:id="rId617" display="http://www.philly.com/philly/news/20140820_Cop_grazed_by_bullet__suspect_killed.html"/>
    <hyperlink ref="Q1582" r:id="rId618" display="http://homicide.latimes.com/post/andre-maurice-jones/"/>
    <hyperlink ref="E1593" r:id="rId619" display="http://homicides.suntimes.com/victims/wally-flex/"/>
    <hyperlink ref="Q1593" r:id="rId620" display="http://homicides.suntimes.com/2014/08/18/gabriel-johnson-charged-with-reckless-homicide-in-crash-that-killed-wally-flex/"/>
    <hyperlink ref="Q1596" r:id="rId621" display="http://www.9news.com/story/news/crime/2014/08/13/greeley-officer-involved-shoot-veteran-shoot-out-call/14006469/"/>
    <hyperlink ref="Q1605" r:id="rId622" display="http://neshobademocrat.com/main.asp?SectionID=2&amp;SubSectionID=297&amp;ArticleID=33427"/>
    <hyperlink ref="E1604" r:id="rId623" display="http://obits.dignitymemorial.com/dignity-memorial/obituary.aspx?n=James-DeVito&amp;lc=7339&amp;pid=172110208&amp;mid=6085341"/>
    <hyperlink ref="E1608" r:id="rId624" display="http://kbmt.images.worldnow.com/images/4452029_G.jpg"/>
    <hyperlink ref="Q1608" r:id="rId625" display="http://www.12newsnow.com/story/26251863/family-seeks-answers-after-police-release-unconscious-man-who-died-moments-later"/>
    <hyperlink ref="Q1613" r:id="rId626" display="http://www.shreveporttimes.com/story/news/crime/2014/08/11/state-fbi-investigate-doc-prisoners-death/13931967/%22His death was reported July 15 to state police investigators by the Claiborne Parish Sheriff's Office.%22"/>
    <hyperlink ref="Q1609" r:id="rId627" display="http://www.arklatexhomepage.com/story/d/story/man-killed-in-overnight-shooting-has-been-identifi/42931/M-T9-BnlDEKC3eIlvgv1Xg"/>
    <hyperlink ref="Q1612" r:id="rId628" display="http://kpel965.com/la-state-police-handling-shooting-involving-crowley-police-officers/"/>
    <hyperlink ref="Q1636" r:id="rId629" display="http://www.local10.com/news/1-killed-in-policeinvolved-shooting-in-miami-springs/26847256"/>
    <hyperlink ref="Q1637" r:id="rId630" display="http://www.cincinnati.com/story/news/2014/08/05/cincinnati-police-officer-shoots-man-killed-traffic-stop/13611479/"/>
    <hyperlink ref="Q1635" r:id="rId631" display="http://www.newsherald.com/news/crime-public-safety/man-shot-during-standoff-dies-1.357594"/>
    <hyperlink ref="E1643" r:id="rId632" display="http://ak-cache.legacy.net/legacy/Images/Cobrands/DignityMemorial/Photos/0cde69ec-edda-421b-b501-5eebbf9d5797.jpg"/>
    <hyperlink ref="Q1645" r:id="rId633" display="http://bangordailynews.com/2014/08/04/news/penobscot/lagrange-man-49-killed-by-state-trooper-after-3-hour-standoff/"/>
    <hyperlink ref="Q1656" r:id="rId634" display="http://www.ajc.com/news/news/police-investigating-shooting-in-east-point/ngsX4/"/>
    <hyperlink ref="Q1668" r:id="rId635" display="http://www.8newsnow.com/story/26137424/breaking-news-police-investigate-officer-involved-shooting"/>
    <hyperlink ref="Q1665" r:id="rId636" display="http://www.tri-cityherald.com/2014/07/29/3083195_pasco-man-with-knife-killed-by.html?rh=1"/>
    <hyperlink ref="Q1677" r:id="rId637" display="http://www.knoxnews.com/news/local-news/parolee-killed-in-fight-with-officer-had-a-syringe-narcotic-on-him_07147175"/>
    <hyperlink ref="Q1681" r:id="rId638" display="http://www.sltrib.com/news/justice/1618808-155/officers-shot-lister-police-gill-gun"/>
    <hyperlink ref="Q1687" r:id="rId639" display="http://www.northwestgeorgianews.com/rome/adairsville-officer-on-administrative-leave-after-fatal-shooting/article_7082a720-119e-11e4-8eb9-001a4bcf6878.html"/>
    <hyperlink ref="Q1688" r:id="rId640" display="http://www.koat.com/news/apd-involved-in-shooting-near-eubank-central/27095580"/>
    <hyperlink ref="Q1693" r:id="rId641" display="http://www.kentreporter.com/news/272307371.html"/>
    <hyperlink ref="Q1696" r:id="rId642" display="http://www.azcentral.com/story/news/local/tempe/2014/07/20/tempe-officer-involved-shooting-jonathan-williams-dead/12922577/"/>
    <hyperlink ref="Q1697" r:id="rId643" display="http://www.fox5vegas.com/story/26071249/coroner-identifies-man-shot-by-nlv-police"/>
    <hyperlink ref="Q1710" r:id="rId644" display="http://www.citizen-times.com/story/news/crime/2014/07/14/hendersonville-police-shoot-kill-suspect/12640863/"/>
    <hyperlink ref="Q1721" r:id="rId645" display="http://www.12newsnow.com/story/26796642/vidor-officers-cleared-by-grand-jury-will-return-to-work-friday"/>
    <hyperlink ref="Q1724" r:id="rId646" display="http://www.10tv.com/content/stories/2014/07/10/columbus-ohio-probation-officer-among-2-people-shot-in-southeast-columbus.html"/>
    <hyperlink ref="Q1734" r:id="rId647" display="http://journaltimes.com/news/local/crime-and-courts/man-fatally-shot-by-police-identified/article_9983c98a-0620-11e4-8f7e-0019bb2963f4.html"/>
    <hyperlink ref="Q1736" r:id="rId648" display="http://fox2now.com/2014/07/05/suspect-shot-killed-by-police-following-pursuit/"/>
    <hyperlink ref="Q1743" r:id="rId649" display="http://www.wcyb.com/news/tbi-investigating-death-of-man-in-custody/26809334"/>
    <hyperlink ref="Q1747" r:id="rId650" location="__federated=1" display="http://www.ajc.com/news/news/officer-involved-shooting-in-se-atlanta/ngYcr/ - __federated=1"/>
    <hyperlink ref="Q1762" r:id="rId651" display="http://www.nbcnewyork.com/news/local/Long-Island-Suffolk-County-Bay-Shore-Police-Involved-Shooting-Fatal-264868841.html"/>
    <hyperlink ref="Q1763" r:id="rId652" display="http://www.wcyb.com/news/shooting-investigated-in-damascus/26694690"/>
    <hyperlink ref="Q1775" r:id="rId653" display="http://www.nj.com/hudson/index.ssf/2014/06/authorities_release_identity_of_20-year-old_man_shot_by_police.html"/>
    <hyperlink ref="Q1777" r:id="rId654" display="http://www.wusa9.com/story/news/local/upper-marlboro/2014/06/23/man-dies-in-prince-georges-county-jail/11267077/"/>
    <hyperlink ref="Q1787" r:id="rId655" display="http://www.myfoxdfw.com/story/25833600/suspect-killed-in-garland-officer-involved-shooting"/>
    <hyperlink ref="Q1795" r:id="rId656" display="http://blogs.seattletimes.com/today/2014/06/man-killed-by-port-orchard-police-identified/"/>
    <hyperlink ref="Q1804" r:id="rId657" display="http://www.wsp.wa.gov/information/releases/2014_archive/mr061714.htm"/>
    <hyperlink ref="Q1822" r:id="rId658" display="http://www.ky3.com/news/local/deadly-offiverinvolved-shooting-kills-cassville-man-officer-injured/21048998_26424836"/>
    <hyperlink ref="Q1829" r:id="rId659" display="http://www.nbcnews.com/storyline/vegas-cop-killers/police-fatally-shot-las-vegas-gunman-jerad-miller-during-gunfight-n128546"/>
    <hyperlink ref="Q1833" r:id="rId660" display="http://www.local8now.com/home/headlines/KPD-officer-shot-in-East-KNoxville-262228291.html"/>
    <hyperlink ref="Q1831" r:id="rId661" location="!V4xVM" display="http://www.wbaltv.com/news/police-investigate-mta-officerinvolved-shooting-at-cromwell-light-rail-station/26384134 - !V4xVM"/>
    <hyperlink ref="Q1841" r:id="rId662" display="http://www.mlive.com/news/flint/index.ssf/2013/10/prosecutor_says_michigan_state.html"/>
    <hyperlink ref="Q1845" r:id="rId663" display="http://www.firstcoastnews.com/story/news/local/2014/06/04/westside-jso-officer-involved-shooting/9985499/"/>
    <hyperlink ref="Q1842" r:id="rId664" display="http://rapidcityjournal.com/news/local/police-rapid-city-man-shot-and-killed-by-officer-had/article_262374b9-bd2f-569a-9635-2170734ac0d0.html"/>
    <hyperlink ref="Q1850" r:id="rId665" display="http://6abc.com/news/officer-released-from-hospital-suspect-dead-in-chester/89060/"/>
    <hyperlink ref="Q1849" r:id="rId666" display="http://www.hickoryrecord.com/news/hickory-police-man-killed-in-officer-involved-shooting/article_701d15ba-ea50-11e3-ad29-001a4bcf6878.html"/>
    <hyperlink ref="Q1851" r:id="rId667" location="!TFnpq" display="http://www.wyff4.com/news/dispatchers-deputyinvolved-shooting-under-investigation-at-gas-station/26282954 - !TFnpq"/>
    <hyperlink ref="Q1857" r:id="rId668" display="http://www.kake.com/home/headlines/Officer-involved-shooting-reported-south-of-Dexter-in-Cowley-County-261401221.html"/>
    <hyperlink ref="Q1855" r:id="rId669" display="http://patersontimes.com/2014/05/31/armed-city-man-killed-by-city-detective-on-montgomery-street/"/>
    <hyperlink ref="Q1869" r:id="rId670" display="http://www.tricities.com/news/article_0ec2ddf4-e749-11e3-a6a8-0017a43b2370.html"/>
    <hyperlink ref="Q1875" r:id="rId671" display="http://www.daytondailynews.com/news/news/crime-law/police-involved-shooting-reported-udf-dayton/nf7f7/?__federated=1"/>
    <hyperlink ref="Q1881" r:id="rId672" display="http://www.bakersfieldnow.com/news/local/1-shot-killed-by-KC-deputy-in-Lebec-260562651.html"/>
    <hyperlink ref="E1894" r:id="rId673" display="https://www.facebook.com/curtise.welford"/>
    <hyperlink ref="Q1902" r:id="rId674" display="http://www.expressnews.com/news/local/article/Officer-shoots-kills-woman-who-police-said-5490353.php"/>
    <hyperlink ref="E1903" r:id="rId675" display="http://nrvnews.com/wp-content/uploads/2014/05/saunders_thomas_neil.jpg"/>
    <hyperlink ref="Q1903" r:id="rId676" display="http://www.wdbj7.com/news/local/developing-story-officerinvolved-shooting-in-giles-county/26045058"/>
    <hyperlink ref="Q1907" r:id="rId677" display="http://www.kansascity.com/2014/05/20/5035276/kck-standoff-suspect-killed-by.html"/>
    <hyperlink ref="Q1912" r:id="rId678" display="http://www.nbcnewyork.com/news/local/NYPD-Shooting-FDR-Drive-96-Street-259556971.html"/>
    <hyperlink ref="Q1915" r:id="rId679" display="http://www.mercurynews.com/my-town/ci_25773669/concord-police-shoot-kill-suspect-thursday-evening"/>
    <hyperlink ref="Q1917" r:id="rId680" display="http://www.houstontx.gov/police/nr/2014/may/nr051314-3.htm"/>
    <hyperlink ref="Q1930" r:id="rId681" display="http://www.dcclothesline.com/2014/05/19/veteran-stopped-front-license-plate-beat-death-5-cops/"/>
    <hyperlink ref="Q1924" r:id="rId682" location=".U3DGe-hX-uY" display="http://www.suntimes.com/27377311-761/armed-man-shot-by-police-on-west-side-dies.html - .U3DGe-hX-uY"/>
    <hyperlink ref="Q1934" r:id="rId683" display="http://www.10tv.com/content/stories/2014/05/10/columbus-jonathan-drive-officer-involved-shooting.html"/>
    <hyperlink ref="Q1933" r:id="rId684" display="http://www.nbclosangeles.com/news/local/Man-Killed-in-Fatal-Officer-Involved-Shooting-in-Ontario-258815701.html"/>
    <hyperlink ref="Q1938" r:id="rId685" display="http://www.statesmanjournal.com/story/news/crime/2014/05/19/grand-jury-officer-justified-shooting-killing-armed-suspect/9307783/"/>
    <hyperlink ref="Q1944" r:id="rId686" display="http://www.mlive.com/news/grand-rapids/index.ssf/2014/05/two_troopers_one_deputy_on_lea.html"/>
    <hyperlink ref="Q1951" r:id="rId687" display="http://www.nydailynews.com/news/national/fired-fatally-shot-93-year-old-woman-rips-knee-jerk-reaction-article-1.1789207"/>
    <hyperlink ref="Q1958" r:id="rId688" display="http://www.ksla.com/story/25422732/shreveport-police-confirm-man-who-fought-officers-has-died?clienttype=generic&amp;mobilecgbypass&amp;utm_content=buffer598c5&amp;utm_medium=social&amp;utm_source=twitter.com&amp;utm_campaign=buffer"/>
    <hyperlink ref="Q1971" r:id="rId689" display="http://m.union-bulletin.com/news/2014/apr/29/update-investigation-continues-athena-mans-fatal-s/?templates=mobile"/>
    <hyperlink ref="E1974" r:id="rId690" display="http://www.news-graphic.com/image_5c8d94e0-b110-11e2-af2b-001a4bcf887a.html"/>
    <hyperlink ref="Q1980" r:id="rId691" display="http://www.natchezdemocrat.com/2014/04/25/man-dies-after-stun-gun-shock-state-agency-inspecting-acso-traffic-stop-death/"/>
    <hyperlink ref="Q1977" r:id="rId692" display="http://www.wtok.com/news/headlines/Update-on-Emmanuel-Wooten-Search-256704901.html"/>
    <hyperlink ref="Q1991" r:id="rId693" location="axzz3Gj9fLtSM" display="http://triblive.com/news/allegheny/6036085-74/zappala-officer-police - axzz3Gj9fLtSM"/>
    <hyperlink ref="Q2024" r:id="rId694" display="http://www.wwaytv3.com/2014/04/14/updated-sbi-investigating-officer-involved-shooting-pender-county"/>
    <hyperlink ref="Q2032" r:id="rId695" display="http://www.miamiherald.com/news/local/crime/article2176191.html"/>
    <hyperlink ref="Q2038" r:id="rId696" display="http://www.kansas.com/2014/04/10/3396426/man-dead-after-officer-involved.html"/>
    <hyperlink ref="E2043" r:id="rId697" display="http://www.wrhi.com/2014/04/officer-involved-shooting-in-york-county-leaves-one-man-dead-91986"/>
    <hyperlink ref="Q2043" r:id="rId698" location=".VD2-WVewUSc" display="http://www.charlotteobserver.com/2014/04/09/4830144_experts-weigh-in-on-york-county.html - .VD2-WVewUSc"/>
    <hyperlink ref="Q2049" r:id="rId699" display="http://www.palmbeachpost.com/news/news/pbso-investigating-officer-involved-shooting-in-su/nfTT5/"/>
    <hyperlink ref="Q2053" r:id="rId700" display="http://www.click2houston.com/news/man-killed-after-pulling-gun-on-deputies-serving-warrant/25349872"/>
    <hyperlink ref="Q2055" r:id="rId701" display="http://www.washingtonpost.com/local/crime/man-killed-in-police-shooting-in-prince-georges-county/2014/04/05/114eb076-bcc3-11e3-b195-dd0c1174052c_allComments.html?ctab=all"/>
    <hyperlink ref="Q2059" r:id="rId702" display="http://whnt.com/2014/04/04/breaking-huntsville-police-confirm-officer-shot-residents-being-evacuated/"/>
    <hyperlink ref="Q2066" r:id="rId703" display="http://www.wsbtv.com/news/news/local/officer-injured-suspect-killed-lawrenceville-apart/nfQTQ/"/>
    <hyperlink ref="Q2070" r:id="rId704" display="http://www.washingtonpost.com/national/police-officer-fatally-shot-in-upstate-new-york/2014/03/31/ad349cc6-b8f4-11e3-80de-2ff8801f27af_story.html"/>
    <hyperlink ref="Q2073" r:id="rId705" display="http://www.nydailynews.com/news/crime/campus-cops-fatally-shoot-man-georgia-university-article-1.1740351"/>
    <hyperlink ref="Q2074" r:id="rId706" display="http://www.myfoxchicago.com/story/25108986/raason-shaw-man-shot-to-death-by-police-in-woodlawn"/>
    <hyperlink ref="Q2076" r:id="rId707" display="http://www.wcti12.com/news/city-official-two-officers-injured-one-suspect-dead-in-shooting/25226556"/>
    <hyperlink ref="E2077" r:id="rId708" display="http://fox13now.com/2014/03/28/2-police-officers-hurt-1-man-dead-after-salt-lake-city-shooting/"/>
    <hyperlink ref="E2100" r:id="rId709" display="http://www.gannett-cdn.com/-mm-/cbbdacfe4e1c4318f635c9789244aebac3fd509e/c=0-526-968-1254&amp;r=x404&amp;c=534x401/local/-/media/Westchester/Westchester/2014/09/07/1410147536000-TJN-0901-tenadeath-1-(2).jpg"/>
    <hyperlink ref="Q2098" r:id="rId710" display="http://www.tennessean.com/story/news/crime/2014/03/21/dozens-officers-scene-elliston-place-shooting/6716709/"/>
    <hyperlink ref="Q2107" r:id="rId711" display="http://blogs.ocweekly.com/navelgazing/2014/03/police_shooting_in_anaheim_lea.php?page=2"/>
    <hyperlink ref="Q2108" r:id="rId712" location="!bIoKti" display="http://www.ketv.com/news/police-id-man-killed-in-officer-involved-shooting/25060968 - !bIoKti"/>
    <hyperlink ref="Q2112" r:id="rId713" display="http://www.washingtonpost.com/local/crime/police-involved-in-shooting-person-in-nw/2014/03/18/7f80b924-ae8e-11e3-96dc-d6ea14c099f9_story.html"/>
    <hyperlink ref="E2113" r:id="rId714" display="http://www.peacefulalternatives.com/fh/obituaries/obituary.cfm?o_id=2458194&amp;fh_id=14153"/>
    <hyperlink ref="Q2116" r:id="rId715" display="http://www.ajc.com/news/news/local/man-shot-and-killed-by-forsyth-county-deputies/nfFC8/"/>
    <hyperlink ref="Q2124" r:id="rId716" display="http://www.firstcoastnews.com/story/news/crime/2014/03/15/lake-city-killed-police/6457449/"/>
    <hyperlink ref="Q2135" r:id="rId717" display="http://www.reviewjournal.com/news/las-vegas/north-las-vegas-police-face-lawsuit-deadly-shooting-homeless-man"/>
    <hyperlink ref="Q2133" r:id="rId718" display="http://doj.nh.gov/media-center/press-releases/2014/documents/20140723-rochester-officer-involved-report.pdf"/>
    <hyperlink ref="Q2139" r:id="rId719" display="http://www.newssun.com/news/article_513fe971-a208-543b-8a5c-71ff2376804d.html"/>
    <hyperlink ref="Q2148" r:id="rId720" display="http://collegian.csufresno.edu/2014/03/07/woman-shot-twice-killed-by-fresno-police-officer-in-apartment-complex-west-of-campus/"/>
    <hyperlink ref="Q2154" r:id="rId721" display="http://www.indystar.com/story/news/crime/2014/03/05/4-indianapolis-swat-officers-shot-suspect-is-killed/6097619/"/>
    <hyperlink ref="Q2179" r:id="rId722" display="http://www.utsandiego.com/news/2014/feb/26/suicidal-man-rifle-downtown-san-diego/"/>
    <hyperlink ref="Q2181" r:id="rId723" display="http://www.news-gazette.com/news/local/2014-02-26/state-police-investigate-fatal-shooting-after-chase-danville.html"/>
    <hyperlink ref="Q2183" r:id="rId724" display="http://thenewsherald.com/articles/2014/02/28/news/doc5310a54ba9b5b176742526.txt"/>
    <hyperlink ref="E2187" r:id="rId725" display="http://rollingout.com/wp-content/uploads/2014/02/Kenneth-Lucas-and-Family.jpg?f66a58"/>
    <hyperlink ref="Q2187" r:id="rId726" display="http://rollingout.com/news/why-did-kenneth-lucas-jailed-in-texas-die-after-guards-left-cell/"/>
    <hyperlink ref="Q2212" r:id="rId727" display="http://www.abc15.com/dpp/news/region_phoenix_metro/central_phoenix/phoenix-police-investigating-officer-involved-shooting-near-19th-avenue-and-culver-street"/>
    <hyperlink ref="Q2213" r:id="rId728" display="http://www.chronline.com/article_b54aecd0-94b9-11e3-8b34-001a4bcf887a.html"/>
    <hyperlink ref="Q2214" r:id="rId729" display="http://chippewa.com/dunnconnect/news/local/suspect-shot-during-search-warrant-in-town-of-red-cedar/article_c7a4ae88-2f57-59fd-a566-2ee0bef8573b.html"/>
    <hyperlink ref="Q2216" r:id="rId730" display="http://www.spokesman.com/stories/2014/feb/11/possible-officer-involved-shooting-spokane-valley/"/>
    <hyperlink ref="Q2218" r:id="rId731" display="http://www.washingtonpost.com/news/morning-mix/wp/2015/04/08/south-carolina-cop-now-faces-felony-charge-for-fatally-shooting-a-black-man-in-his-driveway/"/>
    <hyperlink ref="E2220" r:id="rId732" display="http://kollegekidd.com/news/friends-family-remember-slain-robbery-suspect-deonta-mackey/"/>
    <hyperlink ref="Q2227" r:id="rId733" display="http://www.ktbs.com/story/24667057/officer-involved-shooting-in-ruston-leaves-one-dead"/>
    <hyperlink ref="Q2232" r:id="rId734" display="http://www.delmarvanow.com/article/20140205/NEWS/302050037"/>
    <hyperlink ref="Q2231" r:id="rId735" display="http://www.wtxl.com/news/update-officer-involved-shooting-at-taylor-county-car-dealership/article_a27a9ab0-8e83-11e3-8e81-0017a43b2370.html"/>
    <hyperlink ref="Q2235" r:id="rId736" display="http://www.sfgate.com/crime/article/Hayward-police-shoot-and-kill-armed-woman-5205798.php"/>
    <hyperlink ref="E2240" r:id="rId737" display="http://thumbs.mugshots.com/gallery/images/8d/63/Kevin-Dejon-Grissett-mugshot-24130338.400x800.jpg"/>
    <hyperlink ref="E2243" r:id="rId738" display="http://bloximages.newyork1.vip.townnews.com/scnow.com/content/tncms/assets/v3/editorial/9/af/9af467d9-6895-55d0-a65f-5d532b203c84/52f5bad3778ea.preview-300.jpg"/>
    <hyperlink ref="Q2246" r:id="rId739" display="http://www.ivpressonline.com/news/local/one-suspect-dead-in-el-centro-shooting/article_8fb45b2a-8a44-11e3-8222-001a4bcf6878.html"/>
    <hyperlink ref="Q2263" r:id="rId740" display="http://www.goupstate.com/article/20140124/ARTICLES/140129757?p=1&amp;tc=pg"/>
    <hyperlink ref="Q2271" r:id="rId741" display="http://www.wdef.com/news/story/Sequatchie-Community-Mourns-Loss-Of-Josh-Layne/r6DlJk-F4kOv8aqGvHyA1g.cspx"/>
    <hyperlink ref="Q2289" r:id="rId742" display="http://www.wptv.com/news/state/gregory-vaughn-hill-jr-fort-pierce-man-ided-in-fatal-deputy-involved-shooting"/>
    <hyperlink ref="E2294" r:id="rId743" display="http://www.wyliefh.com/printguestbook.php?id=2166&amp;rid=15392"/>
    <hyperlink ref="Q2294" r:id="rId744" display="http://www.baltimoresun.com/news/maryland/crime/blog/bal-police-investigating-officerinvolved-shooting-in-east-baltimore-20140113,0,4169034.story"/>
    <hyperlink ref="Q2318" r:id="rId745" display="http://newsok.com/police-release-name-of-man-killed-in-officer-involved-shooting/article/3920773"/>
    <hyperlink ref="Q2323" r:id="rId746" display="http://www.nwfdailynews.com/local/suspect-killed-officers-shot-in-crestview-incident-1.257150"/>
    <hyperlink ref="Q2327" r:id="rId747" display="http://www.wilsontimes.com/News/Feature/Story/28048226---Deputies--Man-fatally-shot-after-killing-2"/>
    <hyperlink ref="Q2341" r:id="rId748" display="http://newsok.com/man-shot-by-oklahoma-highway-patrol-trooper-was-correction-center-escapee/article/3919183"/>
    <hyperlink ref="Q2354" r:id="rId749" display="http://newsok.com/oklahoma-parents-say-son-needed-help-instead-custer-county-sheriffs-deputies-shot-him/article/3929841"/>
    <hyperlink ref="Q2355" r:id="rId750" display="http://www.kens5.com/story/local/2014/09/26/10621720/"/>
    <hyperlink ref="Q2357" r:id="rId751" display="http://blog.al.com/montgomery/2013/12/phenix_city_police_fatally_sho.html"/>
    <hyperlink ref="Q2358" r:id="rId752" display="http://www.indystar.com/story/news/crime/2013/12/18/impd-officer-fatally-shoots-man-on-southeastside/4110911/"/>
    <hyperlink ref="Q2385" r:id="rId753" display="http://web.tampabay.com/news/publicsafety/crime/new-port-richey-man-dies-after-being-stunned-in-confrontation-with-police/2158068"/>
    <hyperlink ref="Q2389" r:id="rId754" display="http://www.local10.com/news/man-dead-after-shootout-with-swat/23386254"/>
    <hyperlink ref="Q2398" r:id="rId755" display="http://www.today.com/news/unjustified-family-student-killed-campus-police-speaks-out-2D11723684"/>
    <hyperlink ref="E2421" r:id="rId756" display="https://www.facebook.com/remembershia"/>
    <hyperlink ref="Q2423" r:id="rId757" display="http://whnt.com/2013/12/02/grand-jury-to-review-shooting-involving-corrections-officer/"/>
    <hyperlink ref="Q2450" r:id="rId758" display="http://www.presstelegram.com/general-news/20131120/man-shot-killed-by-long-beach-police-identified-as-from-rialto"/>
    <hyperlink ref="Q2464" r:id="rId759" display="http://www.startribune.com/local/west/232358621.html"/>
    <hyperlink ref="Q2476" r:id="rId760" display="http://www.jsonline.com/news/crime/shots-fired-in-downtown-milwaukee-b99139596z1-231430101.html"/>
    <hyperlink ref="Q2509" r:id="rId761" display="http://crimeblog.dallasnews.com/2013/10/duncanville-police-fatally-shoot-suspect-monday-morning.html/"/>
    <hyperlink ref="Q2544" r:id="rId762" display="http://sfappeal.com/2013/10/sf-man-shot-to-death-by-san-mateo-police/"/>
    <hyperlink ref="Q2546" r:id="rId763" display="http://www.koat.com/news/fatal-roswell-shootout-caught-on-camera/22577824"/>
    <hyperlink ref="Q2567" r:id="rId764" display="http://www.wrbl.com/story/24805046/eufaula-grand-jury-will-not-meet-today-in-cameron-massey-case"/>
    <hyperlink ref="Q2566" r:id="rId765" display="http://www.myfoxmemphis.com/story/24329596/medical-examiner-rules-cause-of-death-aaron-dumas"/>
    <hyperlink ref="Q2586" r:id="rId766" display="http://bangordailynews.com/2013/10/10/news/bangor/police-identify-2-dead-in-old-town-stabbing-standoff/"/>
    <hyperlink ref="Q2596" r:id="rId767" display="http://www.chicagotribune.com/news/local/breaking/chi-at-least-1-wounded-in-policeinvolved-shooting-in-posen-20131004,0,7140004.story"/>
    <hyperlink ref="Q2607" r:id="rId768" display="http://pgpolice.blogspot.com/2013/10/pgpd-investigates-police-involved.html"/>
    <hyperlink ref="Q2610" r:id="rId769" display="http://abc13.com/archive/9270067/"/>
    <hyperlink ref="Q2618" r:id="rId770" display="http://www.presstelegram.com/general-news/20130926/long-beach-police-kill-man-in-departments-third-ois-in-past-week"/>
    <hyperlink ref="Q2637" r:id="rId771" display="http://www.dps.state.ia.us/commis/pib/Releases/2013/12-14-2013_Northwood_Results.htm"/>
    <hyperlink ref="Q2639" r:id="rId772" display="http://www.denverpost.com/breakingnews/ci_24147149/police-fatally-shoot-denver-bank-robbery-suspect"/>
    <hyperlink ref="Q2638" r:id="rId773" display="http://www.culvercityobserver.com/story/2013/10/10/news/man-shot-at-ccpd-hq-identified/3089.html"/>
    <hyperlink ref="Q2647" r:id="rId774" display="http://homicide.latimes.com/post/ruben-ramos-escobedo/"/>
    <hyperlink ref="Q2643" r:id="rId775" display="http://articles.orlandosentinel.com/2013-09-18/news/os-winter-garden-officer-involved-shooting-20130918_1_winter-garden-man-unarmed-man-roommate"/>
    <hyperlink ref="Q2670" r:id="rId776" location="axzz2eJeAaiTJ" display="http://triblive.com/news/allegheny/4669466-74/officer-police-victim - axzz2eJeAaiTJ"/>
    <hyperlink ref="Q2693" r:id="rId777" display="http://www.wtva.com/news/national/story/Grand-jury-no-indictments-in-officer-involved/EE5Am7KlmUmIECC8X0k4Wg.cspx"/>
    <hyperlink ref="Q2707" r:id="rId778" display="http://www.chicagotribune.com/news/local/breaking/chi-lincoln-park-old-town-triangle-police-shooting-20130831,0,5257184.story"/>
    <hyperlink ref="Q2712" r:id="rId779" display="http://www.washingtonpost.com/blogs/local/wp/2014/07/08/ten-months-of-silence-in-the-fairfax-police-shooting-death-of-john-geer/"/>
    <hyperlink ref="Q2716" r:id="rId780" display="http://homicide.latimes.com/post/dennis-hakeen-vasquez/"/>
    <hyperlink ref="Q2736" r:id="rId781" display="http://www.pe.com/articles/palmer-674426-deputies-phillips.html"/>
    <hyperlink ref="Q2734" r:id="rId782" display="http://www.khq.com/story/23228789/officer-involved-shooting-in-n-spokane"/>
    <hyperlink ref="Q2777" r:id="rId783" display="http://blog.gulflive.com/mississippi-press-news/2013/10/gloster_police_offer_reinstate.html"/>
    <hyperlink ref="Q2783" r:id="rId784" display="http://www.huffingtonpost.com/2013/08/08/james-lee-dimaggio_n_3724734.html"/>
    <hyperlink ref="Q2787" r:id="rId785" display="http://hamptonroads.com/2013/08/man-killed-deputyinvolved-isle-wight-shooting"/>
    <hyperlink ref="Q2790" r:id="rId786" display="http://www.theindychannel.com/news/local-news/impd-suspect-dies-while-being-arrested"/>
    <hyperlink ref="Q2803" r:id="rId787" display="http://www.huffingtonpost.com/2013/08/05/shaaliver-douse-shooting_n_3705623.html"/>
    <hyperlink ref="Q2807" r:id="rId788" display="http://kfor.com/2013/08/02/warr-acres-police-involved-in-chase-shooting-reported/"/>
    <hyperlink ref="Q2812" r:id="rId789" display="http://www.nola.com/crime/index.ssf/2014/04/report_doj_drops_probe_of_fbi-.html"/>
    <hyperlink ref="Q2835" r:id="rId790" display="http://pjmedia.com/tatler/2013/07/30/the-strange-killing-of-larry-eugene-jackson-jr-by-an-austin-police-detective/"/>
    <hyperlink ref="Q2849" r:id="rId791" display="http://www.wral.com/suspect-killed-in-officer-involved-shooting-identified/12688890/"/>
    <hyperlink ref="Q2863" r:id="rId792" display="http://crimeblog.dallasnews.com/2013/07/police-shoot-burglary-suspect-in-confrontation-in-southeast-dallas.html/"/>
    <hyperlink ref="Q2869" r:id="rId793" display="http://www.floydcountytimes.com/view/full_story/1431043/article-Suspect-shot-and-killed-by-state-trooper-while-in-custody"/>
    <hyperlink ref="Q2868" r:id="rId794" display="http://explorevenango.com/vigil-rally-held-for-oil-city-woman-fatally-shot-by-police/"/>
    <hyperlink ref="Q2870" r:id="rId795" display="http://hiphopwired.com/2013/07/17/arkansas-cop-kills-wrongfully-suspected-in-car-thief-claims-self-defense/"/>
    <hyperlink ref="Q2876" r:id="rId796" display="http://newsok.com/family-member-identifies-man-shot-by-oklahoma-city-police/article/3861642"/>
    <hyperlink ref="Q2885" r:id="rId797" display="http://www.nj.com/essex/index.ssf/2013/09/woman_files_multi-million_dollar_suit_against_belleville_after_police_shot_husband_24_times.html"/>
    <hyperlink ref="Q2895" r:id="rId798" display="http://www.post-gazette.com/stories/local/neighborhoods-north/man-shot-to-death-in-sewickley-694786/"/>
    <hyperlink ref="Q3005" r:id="rId799" display="http://articles.baltimoresun.com/2013-06-11/news/bs-md-ar-road-rage-bail-20130610_1_police-officer-documents-hudson-county"/>
    <hyperlink ref="Q3036" r:id="rId800" display="http://www.wsfa.com/story/22481859/selma-police-stunned-that-off-duty-officer-killed-two-then-self-over-the-weekend"/>
    <hyperlink ref="Q3077" r:id="rId801" display="http://www.nydailynews.com/new-york/brooklyn/crazed-brooklyn-man-shot-cops-bad-mouthed-article-1.1297528"/>
    <hyperlink ref="Q3090" r:id="rId802" display="http://wreg.com/2013/05/30/funeral-escort-riders-say-farewell-to-one-of-their-own/"/>
    <hyperlink ref="Q3193" r:id="rId803" display="http://www.palmbeachpost.com/news/news/man-shot-and-killed-by-deputies-near-marriott-in-w/nXR2K/"/>
    <hyperlink ref="Q3229" r:id="rId804" display="http://www.daytondailynews.com/news/news/crime-law/fbi-working-at-shooting-site/nXDWH/"/>
    <hyperlink ref="Q3256" r:id="rId805" display="http://www.chron.com/news/houston-texas/houston/article/HPD-officer-wounded-suspect-killed-in-shootout-4362891.php"/>
    <hyperlink ref="Q3275" r:id="rId806" display="http://crimeblog.dallasnews.com/2013/03/dallas-police-officer-fatally-shoots-suspect-after-major-disturbance-at-apartment-complex.html/"/>
    <hyperlink ref="Q3278" r:id="rId807" display="http://www.dnainfo.com/new-york/20130310/east-flatbush/police-fatally-shoot-allegedly-armed-teenager-brooklyn"/>
    <hyperlink ref="Q3281" r:id="rId808" display="http://articles.sun-sentinel.com/2013-03-12/news/fl-boca-officer-involved-named-20130311_1_boca-raton-police-police-officers-facebook-profile"/>
    <hyperlink ref="Q3309" r:id="rId809" display="http://www.myfoxhouston.com/story/21431932/suspected-purse-snatcher-shot-by-houston-police-officer"/>
    <hyperlink ref="Q3335" r:id="rId810" display="http://www.phillyburbs.com/news/crime/da-warminster-officer-accidentally-shot-year-old-during-standoff/article_2e02c0de-13d0-54ef-88d7-e00c66713ba5.html"/>
    <hyperlink ref="Q3347" r:id="rId811" display="http://www.chron.com/news/houston-texas/houston/article/HPD-kills-person-at-westside-complex-4276703.php"/>
    <hyperlink ref="Q3364" r:id="rId812" display="http://www.wrdw.com/home/headlines/Deputies-respond-to-reports-of-a-shooting-at-Fox-Trace-189340421.html"/>
    <hyperlink ref="Q3371" r:id="rId813" display="http://jacksonville.com/news/crime/2014-09-06/story/lawsuit-pits-family-against-jacksonville-police-over-fatal-police"/>
    <hyperlink ref="Q3404" r:id="rId814" display="http://wreg.com/2013/01/18/man-shot-killed-by-memphis-police/"/>
    <hyperlink ref="E3436" r:id="rId815" display="http://www.baynews9.com/content/dam/news/images/2012/12/Suspect-killed-110.jpg"/>
    <hyperlink ref="Q3436" r:id="rId816" display="http://www.baynews9.com/content/news/baynews9/news/article.html/content/news/articles/bn9/2013/1/10/with_deputy_in_fight.html"/>
    <hyperlink ref="Q3456" r:id="rId817" display="http://miami.cbslocal.com/2013/01/07/family-of-man-killed-in-police-involved-shooting-demands-answers/"/>
    <hyperlink ref="E3460" r:id="rId818" display="http://www.trbimg.com/img-50e7a90e/turbine/peter-jourdan-of-allentown.jpg-20130104/600"/>
    <hyperlink ref="E3466" r:id="rId819" display="http://www.tricitytribuneusa.com/wp-content/uploads/Chavez_Mug0642-300x300.jpg"/>
    <hyperlink ref="Q144" r:id="rId820"/>
    <hyperlink ref="Q143" r:id="rId821"/>
    <hyperlink ref="A145" r:id="rId822"/>
    <hyperlink ref="A150" r:id="rId823"/>
    <hyperlink ref="A149" r:id="rId824"/>
    <hyperlink ref="Q149" r:id="rId825"/>
    <hyperlink ref="A152" r:id="rId826"/>
    <hyperlink ref="Q152" r:id="rId827"/>
    <hyperlink ref="A153" r:id="rId828"/>
    <hyperlink ref="A155" r:id="rId829"/>
    <hyperlink ref="A154" r:id="rId830"/>
    <hyperlink ref="A156" r:id="rId831"/>
    <hyperlink ref="A158" r:id="rId832"/>
    <hyperlink ref="A159" r:id="rId833"/>
    <hyperlink ref="A160" r:id="rId834"/>
    <hyperlink ref="Q160" r:id="rId835"/>
    <hyperlink ref="A161" r:id="rId836"/>
    <hyperlink ref="A164" r:id="rId837"/>
    <hyperlink ref="A162" r:id="rId838"/>
    <hyperlink ref="Q162" r:id="rId839"/>
    <hyperlink ref="A165" r:id="rId840"/>
    <hyperlink ref="Q165" r:id="rId841"/>
    <hyperlink ref="A168" r:id="rId842"/>
    <hyperlink ref="Q167" r:id="rId843"/>
    <hyperlink ref="A169" r:id="rId844"/>
    <hyperlink ref="A170" r:id="rId845"/>
    <hyperlink ref="Q170" r:id="rId846"/>
    <hyperlink ref="A171" r:id="rId847"/>
    <hyperlink ref="A172" r:id="rId848"/>
    <hyperlink ref="A177" r:id="rId849"/>
    <hyperlink ref="Q174" r:id="rId850"/>
    <hyperlink ref="A176" r:id="rId851"/>
    <hyperlink ref="A175" r:id="rId852"/>
    <hyperlink ref="A182" r:id="rId853"/>
    <hyperlink ref="Q182" r:id="rId854"/>
    <hyperlink ref="A181" r:id="rId855"/>
    <hyperlink ref="A178" r:id="rId856"/>
    <hyperlink ref="A180" r:id="rId857"/>
    <hyperlink ref="Q180" r:id="rId858"/>
    <hyperlink ref="A183" r:id="rId859"/>
    <hyperlink ref="A184" r:id="rId860"/>
    <hyperlink ref="A188" r:id="rId861"/>
    <hyperlink ref="Q188" r:id="rId862"/>
    <hyperlink ref="A187" r:id="rId863"/>
    <hyperlink ref="A186" r:id="rId864"/>
    <hyperlink ref="Q186" r:id="rId865"/>
    <hyperlink ref="A185" r:id="rId866"/>
    <hyperlink ref="A191" r:id="rId867"/>
    <hyperlink ref="A192" r:id="rId868"/>
    <hyperlink ref="A189" r:id="rId869"/>
    <hyperlink ref="A190" r:id="rId870"/>
    <hyperlink ref="A193" r:id="rId871"/>
    <hyperlink ref="Q195" r:id="rId872"/>
    <hyperlink ref="Q194" r:id="rId873"/>
    <hyperlink ref="Q197" r:id="rId874"/>
    <hyperlink ref="A200" r:id="rId875"/>
    <hyperlink ref="Q200" r:id="rId876"/>
    <hyperlink ref="A204" r:id="rId877"/>
    <hyperlink ref="A198" r:id="rId878"/>
    <hyperlink ref="Q198" r:id="rId879"/>
    <hyperlink ref="A206" r:id="rId880"/>
    <hyperlink ref="A205" r:id="rId881"/>
    <hyperlink ref="A202" r:id="rId882"/>
    <hyperlink ref="A201" r:id="rId883"/>
    <hyperlink ref="A207" r:id="rId884"/>
    <hyperlink ref="A212" r:id="rId885"/>
    <hyperlink ref="A214" r:id="rId886"/>
    <hyperlink ref="Q218" r:id="rId887"/>
    <hyperlink ref="A213" r:id="rId888"/>
    <hyperlink ref="A222" r:id="rId889"/>
    <hyperlink ref="A219" r:id="rId890"/>
    <hyperlink ref="A220" r:id="rId891"/>
    <hyperlink ref="A274" r:id="rId892"/>
    <hyperlink ref="Q236" r:id="rId893"/>
    <hyperlink ref="A141" r:id="rId894"/>
    <hyperlink ref="A217" r:id="rId895"/>
    <hyperlink ref="A203" r:id="rId896" display="Linda Lee Lush, 50"/>
    <hyperlink ref="Q232" r:id="rId897"/>
    <hyperlink ref="Q142" r:id="rId898"/>
    <hyperlink ref="Q153" r:id="rId899"/>
    <hyperlink ref="Q156" r:id="rId900"/>
    <hyperlink ref="Q159" r:id="rId901"/>
    <hyperlink ref="Q169" r:id="rId902"/>
    <hyperlink ref="Q192" r:id="rId903"/>
    <hyperlink ref="Q204" r:id="rId904"/>
    <hyperlink ref="E137" r:id="rId905"/>
    <hyperlink ref="Q137" r:id="rId906"/>
    <hyperlink ref="E82" r:id="rId907"/>
    <hyperlink ref="Q82" r:id="rId908"/>
    <hyperlink ref="E83" r:id="rId909"/>
    <hyperlink ref="Q81" r:id="rId910"/>
    <hyperlink ref="E86" r:id="rId911"/>
    <hyperlink ref="Q86" r:id="rId912"/>
    <hyperlink ref="E136" r:id="rId913"/>
    <hyperlink ref="Q136" r:id="rId914"/>
    <hyperlink ref="Q134" r:id="rId915"/>
    <hyperlink ref="E118" r:id="rId916"/>
    <hyperlink ref="Q118" r:id="rId917"/>
    <hyperlink ref="E89" r:id="rId918"/>
    <hyperlink ref="Q89" r:id="rId919"/>
    <hyperlink ref="E96" r:id="rId920"/>
    <hyperlink ref="Q96" r:id="rId921"/>
    <hyperlink ref="E92" r:id="rId922"/>
    <hyperlink ref="Q92" r:id="rId923"/>
    <hyperlink ref="E130" r:id="rId924"/>
    <hyperlink ref="Q130" r:id="rId925"/>
    <hyperlink ref="E87" r:id="rId926"/>
    <hyperlink ref="Q87" r:id="rId927"/>
    <hyperlink ref="E110" r:id="rId928"/>
    <hyperlink ref="Q110" r:id="rId929"/>
    <hyperlink ref="E94" r:id="rId930"/>
    <hyperlink ref="Q94" r:id="rId931"/>
    <hyperlink ref="Q967" r:id="rId932"/>
    <hyperlink ref="A62" r:id="rId933" display="Zachary Grigsby, 29"/>
    <hyperlink ref="A60" r:id="rId934" display="Lionel Kerns, 53"/>
    <hyperlink ref="A59" r:id="rId935" display="Justin D. McHenry, 22"/>
    <hyperlink ref="A58" r:id="rId936" display="Hugo Fernando Celio, 23"/>
    <hyperlink ref="A66" r:id="rId937" display="Magnum Edgar Phillips, 23"/>
    <hyperlink ref="A67" r:id="rId938" display="Somer Brook Speer, 37"/>
    <hyperlink ref="A68" r:id="rId939" display="Freddy Baez, 24"/>
    <hyperlink ref="A69" r:id="rId940" display="Michael Gerald Ray Kirvelay, 45"/>
    <hyperlink ref="A70" r:id="rId941" display="Thomas Joseph McEniry, 32"/>
    <hyperlink ref="A71" r:id="rId942" display="Barry Kirk, 50"/>
    <hyperlink ref="A72" r:id="rId943" display="Henry Reyna, 49"/>
    <hyperlink ref="A74" r:id="rId944" display="Mathew Grows, 45"/>
    <hyperlink ref="A76" r:id="rId945" display="Christopher Lynn Nichols, 24"/>
    <hyperlink ref="A73" r:id="rId946" display="James Daniel Hall, 46"/>
    <hyperlink ref="A77" r:id="rId947" display="Chase Alan Sherman, 32"/>
    <hyperlink ref="A79" r:id="rId948" display="William Tarrant, 39"/>
    <hyperlink ref="A91" r:id="rId949" display="Francis Hartnett, 47"/>
    <hyperlink ref="A111" r:id="rId950" display="Andrew Blake, 22"/>
    <hyperlink ref="A95" r:id="rId951" display="Brett Kelby Noblitt, 25"/>
    <hyperlink ref="A97" r:id="rId952" display="John Livingston, 33"/>
    <hyperlink ref="A101" r:id="rId953" display="Ernesto Gamino, 25"/>
    <hyperlink ref="A102" r:id="rId954" display="Matthew Eric Coleman, 25"/>
    <hyperlink ref="A104" r:id="rId955" display="Moises Nerio, 42"/>
    <hyperlink ref="A106" r:id="rId956" display="Brian H. Gavin Sr., 57"/>
    <hyperlink ref="A107" r:id="rId957" display="Javier Lopez Garcia, 25"/>
    <hyperlink ref="A108" r:id="rId958" display="Joseph Jaramillo, 31"/>
    <hyperlink ref="A113" r:id="rId959" display="Jason Leanard Mesaros, 36"/>
    <hyperlink ref="A112" r:id="rId960" display="Eddie Gabriel Sanchez Jr., 34"/>
    <hyperlink ref="A119" r:id="rId961" display="Leonel Acevedo, 45"/>
    <hyperlink ref="A117" r:id="rId962" display="Dale Maverick Hudson, 26"/>
    <hyperlink ref="A122" r:id="rId963" display="Kim Lee Long, 48"/>
    <hyperlink ref="A120" r:id="rId964" display="Miguel Cano, 34"/>
    <hyperlink ref="A116" r:id="rId965" display="Cesar Cuellar Jr., 25"/>
    <hyperlink ref="A121" r:id="rId966" display="James Francis Smyth, 55"/>
    <hyperlink ref="A123" r:id="rId967" display="Michael Gregory Johnson, 51"/>
    <hyperlink ref="A125" r:id="rId968" display="David Michael Romanoski, 48"/>
    <hyperlink ref="A127" r:id="rId969" display="James Wayne Bigley, 20"/>
    <hyperlink ref="A132" r:id="rId970" display="Timothy Gene Smith, 47"/>
    <hyperlink ref="A129" r:id="rId971" display="Faisal Mohammad, 18"/>
    <hyperlink ref="A131" r:id="rId972" display="Joseph M. Tyndall, 30"/>
    <hyperlink ref="A133" r:id="rId973" display="Jeremy David Mardis, 6"/>
    <hyperlink ref="A135" r:id="rId974" display="Matthew Stephen Colligan, 28"/>
    <hyperlink ref="A138" r:id="rId975" display="Jack Yantis, 62"/>
    <hyperlink ref="A140" r:id="rId976" display="Luverne Roy Christensen, 49"/>
    <hyperlink ref="A139" r:id="rId977" display="Killian O’Quinn, 20"/>
    <hyperlink ref="Q56" r:id="rId978"/>
    <hyperlink ref="Q57" r:id="rId979"/>
    <hyperlink ref="Q62" r:id="rId980"/>
    <hyperlink ref="Q61" r:id="rId981"/>
    <hyperlink ref="Q60" r:id="rId982"/>
    <hyperlink ref="Q59" r:id="rId983"/>
    <hyperlink ref="Q58" r:id="rId984"/>
    <hyperlink ref="Q63" r:id="rId985"/>
    <hyperlink ref="Q64" r:id="rId986"/>
    <hyperlink ref="Q66" r:id="rId987"/>
    <hyperlink ref="Q67" r:id="rId988"/>
    <hyperlink ref="Q65" r:id="rId989"/>
    <hyperlink ref="Q68" r:id="rId990"/>
    <hyperlink ref="Q69" r:id="rId991"/>
    <hyperlink ref="Q70" r:id="rId992"/>
    <hyperlink ref="Q71" r:id="rId993"/>
    <hyperlink ref="Q72" r:id="rId994"/>
    <hyperlink ref="Q75" r:id="rId995"/>
    <hyperlink ref="Q74" r:id="rId996"/>
    <hyperlink ref="Q76" r:id="rId997"/>
    <hyperlink ref="Q73" r:id="rId998"/>
    <hyperlink ref="Q77" r:id="rId999"/>
    <hyperlink ref="Q78" r:id="rId1000"/>
    <hyperlink ref="Q79" r:id="rId1001"/>
    <hyperlink ref="Q91" r:id="rId1002"/>
    <hyperlink ref="Q90" r:id="rId1003"/>
    <hyperlink ref="Q93" r:id="rId1004"/>
    <hyperlink ref="Q111" r:id="rId1005"/>
    <hyperlink ref="Q95" r:id="rId1006"/>
    <hyperlink ref="Q99" r:id="rId1007"/>
    <hyperlink ref="Q97" r:id="rId1008"/>
    <hyperlink ref="Q100" r:id="rId1009"/>
    <hyperlink ref="Q103" r:id="rId1010"/>
    <hyperlink ref="Q101" r:id="rId1011"/>
    <hyperlink ref="Q102" r:id="rId1012"/>
    <hyperlink ref="Q104" r:id="rId1013"/>
    <hyperlink ref="Q106" r:id="rId1014"/>
    <hyperlink ref="Q107" r:id="rId1015"/>
    <hyperlink ref="Q108" r:id="rId1016"/>
    <hyperlink ref="Q113" r:id="rId1017"/>
    <hyperlink ref="Q112" r:id="rId1018"/>
    <hyperlink ref="Q119" r:id="rId1019"/>
    <hyperlink ref="Q117" r:id="rId1020"/>
    <hyperlink ref="Q122" r:id="rId1021"/>
    <hyperlink ref="Q120" r:id="rId1022"/>
    <hyperlink ref="Q116" r:id="rId1023"/>
    <hyperlink ref="Q124" r:id="rId1024"/>
    <hyperlink ref="Q121" r:id="rId1025"/>
    <hyperlink ref="Q123" r:id="rId1026"/>
    <hyperlink ref="Q126" r:id="rId1027"/>
    <hyperlink ref="Q128" r:id="rId1028"/>
    <hyperlink ref="Q125" r:id="rId1029"/>
    <hyperlink ref="Q127" r:id="rId1030"/>
    <hyperlink ref="Q132" r:id="rId1031"/>
    <hyperlink ref="Q129" r:id="rId1032"/>
    <hyperlink ref="Q131" r:id="rId1033"/>
    <hyperlink ref="Q133" r:id="rId1034"/>
    <hyperlink ref="Q135" r:id="rId1035"/>
    <hyperlink ref="Q138" r:id="rId1036"/>
    <hyperlink ref="Q140" r:id="rId1037"/>
    <hyperlink ref="Q139" r:id="rId1038"/>
    <hyperlink ref="Q84" r:id="rId1039"/>
    <hyperlink ref="Q114" r:id="rId1040"/>
    <hyperlink ref="A56" r:id="rId1041" display="Darius Smith, 18"/>
    <hyperlink ref="Q453" r:id="rId1042" display="http://www.telegram.com/article/20150730/NEWS/307309660"/>
    <hyperlink ref="Q567" r:id="rId1043" display="https://www.bostonglobe.com/metro/2015/07/02/brockton-man-fatally-shot-police/TFwHapR8aN1shu8KY67duM/story.html"/>
    <hyperlink ref="Q547" r:id="rId1044" display="http://www.vnews.com/news/newsletter/17857473-95/haverhill-officers-unnamed-nh-ag-wont-give-any-shooting-details"/>
    <hyperlink ref="Q469" r:id="rId1045" display="http://www.wxii12.com/news/stabbing-standoff-reported-in-stokes-co/34345684"/>
    <hyperlink ref="Q543" r:id="rId1046" display="http://www.kctv5.com/story/29494552/armed-carjacking-suspect-dead-in-police-shooting"/>
    <hyperlink ref="Q472" r:id="rId1047" display="http://www.startribune.com/officer-involved-shooting-at-plymouth-arby-s-leaves-one-man-dead/318383701/"/>
    <hyperlink ref="Q536" r:id="rId1048" display="http://www.wtok.com/home/headlines/New-Details-in-Stonewall-Death-Investigation-313047501.html"/>
    <hyperlink ref="Q514" r:id="rId1049" display="http://www.redding.com/homepage-showcase/matthew-graham-killed-in-dunsmuir-shootout-with-officers_38935482"/>
    <hyperlink ref="Q563" r:id="rId1050" display="http://abc7.com/news/suspect-holding-knife-killed-in-west-covina-officer-involved-shooting/828284/"/>
    <hyperlink ref="Q479" r:id="rId1051" display="http://www.mlive.com/news/detroit/index.ssf/2015/07/st_clair_shores_police_car_tur.html"/>
    <hyperlink ref="Q535" r:id="rId1052" display="http://www.wsoctv.com/news/news/local/sbi-investigating-deadly-officer-involved-shooting/nmt7Y/"/>
    <hyperlink ref="Q569" r:id="rId1053" display="http://www.nbcsandiego.com/news/local/Man-with-Knife-Shot-Killed-by-San-Diego-Police-Officer-Identified-311679131.html"/>
    <hyperlink ref="Q496" r:id="rId1054" display="http://www.ksdk.com/story/news/nation/2015/07/20/man-hogtied-police-death/30433375/"/>
    <hyperlink ref="Q555" r:id="rId1055" display="http://patch.com/new-jersey/lacey/toms-river-man-struck-killed-lacey-police-cruiser-0?"/>
    <hyperlink ref="Q564" r:id="rId1056" display="http://abc7.com/news/man-dies-of-heart-attack-while-in-montclair-police-custody/826399/"/>
    <hyperlink ref="Q562" r:id="rId1057" display="http://www.themonitor.com/news/local/authorities-armed-man-in-edinburg-standoff-killed-in-officer-involved/article_62b2b456-24f2-11e5-b79b-6b2f14f63dc2.html"/>
    <hyperlink ref="Q524" r:id="rId1058" display="http://www.appeal-democrat.com/news/brother-man-killed-by-deputies-never-aimed-gun/article_6837624e-2b6b-11e5-acd8-fbcbeffebfe0.html"/>
    <hyperlink ref="Q509" r:id="rId1059" display="http://www.mlive.com/news/grand-rapids/index.ssf/2015/07/no_reason_to_shoot_him_step-da.html"/>
    <hyperlink ref="Q516" r:id="rId1060" display="https://www.bostonglobe.com/metro/2015/07/14/roxbury-man-identified-person-fatally-shot-lynn-police-officer-during-drug-investigation/HluhRMJJeFBqMqtUt3gNWP/story.html"/>
    <hyperlink ref="Q513" r:id="rId1061"/>
    <hyperlink ref="Q502" r:id="rId1062"/>
    <hyperlink ref="Q486" r:id="rId1063"/>
    <hyperlink ref="Q454" r:id="rId1064"/>
    <hyperlink ref="Q530" r:id="rId1065"/>
    <hyperlink ref="Q565" r:id="rId1066"/>
    <hyperlink ref="E377" r:id="rId1067"/>
    <hyperlink ref="E439" r:id="rId1068"/>
    <hyperlink ref="E431" r:id="rId1069"/>
    <hyperlink ref="E443" r:id="rId1070"/>
    <hyperlink ref="E438" r:id="rId1071"/>
    <hyperlink ref="E440" r:id="rId1072"/>
    <hyperlink ref="E441" r:id="rId1073"/>
    <hyperlink ref="E442" r:id="rId1074"/>
    <hyperlink ref="E424" r:id="rId1075"/>
    <hyperlink ref="E425" r:id="rId1076"/>
    <hyperlink ref="E417" r:id="rId1077"/>
    <hyperlink ref="E418" r:id="rId1078"/>
    <hyperlink ref="E420" r:id="rId1079"/>
    <hyperlink ref="E421" r:id="rId1080"/>
    <hyperlink ref="E412" r:id="rId1081"/>
    <hyperlink ref="E415" r:id="rId1082"/>
    <hyperlink ref="E413" r:id="rId1083"/>
    <hyperlink ref="E410" r:id="rId1084"/>
    <hyperlink ref="E411" r:id="rId1085"/>
    <hyperlink ref="E400" r:id="rId1086"/>
    <hyperlink ref="E401" r:id="rId1087"/>
    <hyperlink ref="E403" r:id="rId1088"/>
    <hyperlink ref="E395" r:id="rId1089"/>
    <hyperlink ref="E398" r:id="rId1090"/>
    <hyperlink ref="E393" r:id="rId1091"/>
    <hyperlink ref="E394" r:id="rId1092"/>
    <hyperlink ref="E390" r:id="rId1093"/>
    <hyperlink ref="E388" r:id="rId1094"/>
    <hyperlink ref="E389" r:id="rId1095"/>
    <hyperlink ref="E376" r:id="rId1096"/>
    <hyperlink ref="E378" r:id="rId1097"/>
    <hyperlink ref="E369" r:id="rId1098"/>
    <hyperlink ref="E371" r:id="rId1099"/>
    <hyperlink ref="E433" r:id="rId1100"/>
    <hyperlink ref="E434" r:id="rId1101"/>
    <hyperlink ref="E435" r:id="rId1102"/>
    <hyperlink ref="E436" r:id="rId1103"/>
    <hyperlink ref="E428" r:id="rId1104"/>
    <hyperlink ref="E429" r:id="rId1105"/>
    <hyperlink ref="E430" r:id="rId1106"/>
    <hyperlink ref="E422" r:id="rId1107"/>
    <hyperlink ref="E423" r:id="rId1108"/>
    <hyperlink ref="E342" r:id="rId1109"/>
    <hyperlink ref="E343" r:id="rId1110"/>
    <hyperlink ref="E344" r:id="rId1111"/>
    <hyperlink ref="E347" r:id="rId1112"/>
    <hyperlink ref="E350" r:id="rId1113"/>
    <hyperlink ref="E352" r:id="rId1114"/>
    <hyperlink ref="E349" r:id="rId1115"/>
    <hyperlink ref="E354" r:id="rId1116"/>
    <hyperlink ref="E355" r:id="rId1117"/>
    <hyperlink ref="E360" r:id="rId1118"/>
    <hyperlink ref="E361" r:id="rId1119"/>
    <hyperlink ref="E362" r:id="rId1120"/>
    <hyperlink ref="E363" r:id="rId1121"/>
    <hyperlink ref="E365" r:id="rId1122"/>
    <hyperlink ref="E372" r:id="rId1123"/>
    <hyperlink ref="E373" r:id="rId1124"/>
    <hyperlink ref="E379" r:id="rId1125"/>
    <hyperlink ref="E384" r:id="rId1126"/>
    <hyperlink ref="E386" r:id="rId1127"/>
    <hyperlink ref="E391" r:id="rId1128"/>
    <hyperlink ref="E405" r:id="rId1129"/>
    <hyperlink ref="E407" r:id="rId1130"/>
    <hyperlink ref="Q444" r:id="rId1131"/>
    <hyperlink ref="Q445" r:id="rId1132"/>
    <hyperlink ref="Q406" r:id="rId1133"/>
    <hyperlink ref="Q416" r:id="rId1134"/>
    <hyperlink ref="Q377" r:id="rId1135"/>
    <hyperlink ref="Q439" r:id="rId1136"/>
    <hyperlink ref="Q431" r:id="rId1137"/>
    <hyperlink ref="Q432" r:id="rId1138"/>
    <hyperlink ref="Q446" r:id="rId1139"/>
    <hyperlink ref="Q443" r:id="rId1140"/>
    <hyperlink ref="Q438" r:id="rId1141"/>
    <hyperlink ref="Q440" r:id="rId1142"/>
    <hyperlink ref="Q441" r:id="rId1143"/>
    <hyperlink ref="Q442" r:id="rId1144"/>
    <hyperlink ref="Q424" r:id="rId1145"/>
    <hyperlink ref="Q425" r:id="rId1146"/>
    <hyperlink ref="Q426" r:id="rId1147"/>
    <hyperlink ref="Q427" r:id="rId1148"/>
    <hyperlink ref="Q417" r:id="rId1149"/>
    <hyperlink ref="Q418" r:id="rId1150"/>
    <hyperlink ref="Q419" r:id="rId1151"/>
    <hyperlink ref="Q420" r:id="rId1152"/>
    <hyperlink ref="Q404" r:id="rId1153"/>
    <hyperlink ref="Q421" r:id="rId1154"/>
    <hyperlink ref="Q412" r:id="rId1155"/>
    <hyperlink ref="Q414" r:id="rId1156"/>
    <hyperlink ref="Q415" r:id="rId1157"/>
    <hyperlink ref="Q413" r:id="rId1158"/>
    <hyperlink ref="Q409" r:id="rId1159"/>
    <hyperlink ref="Q410" r:id="rId1160"/>
    <hyperlink ref="Q411" r:id="rId1161"/>
    <hyperlink ref="Q437" r:id="rId1162"/>
    <hyperlink ref="Q408" r:id="rId1163" location=".VgXutctVikp"/>
    <hyperlink ref="Q400" r:id="rId1164"/>
    <hyperlink ref="Q401" r:id="rId1165"/>
    <hyperlink ref="Q402" r:id="rId1166"/>
    <hyperlink ref="Q403" r:id="rId1167"/>
    <hyperlink ref="Q395" r:id="rId1168"/>
    <hyperlink ref="Q396" r:id="rId1169"/>
    <hyperlink ref="Q397" r:id="rId1170"/>
    <hyperlink ref="Q398" r:id="rId1171"/>
    <hyperlink ref="Q393" r:id="rId1172"/>
    <hyperlink ref="Q394" r:id="rId1173"/>
    <hyperlink ref="Q390" r:id="rId1174"/>
    <hyperlink ref="Q387" r:id="rId1175"/>
    <hyperlink ref="Q388" r:id="rId1176"/>
    <hyperlink ref="Q389" r:id="rId1177"/>
    <hyperlink ref="Q376" r:id="rId1178"/>
    <hyperlink ref="Q378" r:id="rId1179"/>
    <hyperlink ref="Q368" r:id="rId1180"/>
    <hyperlink ref="Q369" r:id="rId1181"/>
    <hyperlink ref="Q370" r:id="rId1182"/>
    <hyperlink ref="Q371" r:id="rId1183"/>
    <hyperlink ref="Q433" r:id="rId1184"/>
    <hyperlink ref="Q434" r:id="rId1185"/>
    <hyperlink ref="Q435" r:id="rId1186"/>
    <hyperlink ref="Q436" r:id="rId1187"/>
    <hyperlink ref="Q428" r:id="rId1188"/>
    <hyperlink ref="Q429" r:id="rId1189"/>
    <hyperlink ref="Q430" r:id="rId1190"/>
    <hyperlink ref="Q422" r:id="rId1191"/>
    <hyperlink ref="Q423" r:id="rId1192"/>
    <hyperlink ref="Q342" r:id="rId1193"/>
    <hyperlink ref="Q343" r:id="rId1194"/>
    <hyperlink ref="Q344" r:id="rId1195"/>
    <hyperlink ref="Q345" r:id="rId1196"/>
    <hyperlink ref="Q346" r:id="rId1197"/>
    <hyperlink ref="Q347" r:id="rId1198"/>
    <hyperlink ref="Q350" r:id="rId1199"/>
    <hyperlink ref="Q351" r:id="rId1200"/>
    <hyperlink ref="Q352" r:id="rId1201"/>
    <hyperlink ref="Q353" r:id="rId1202"/>
    <hyperlink ref="Q349" r:id="rId1203"/>
    <hyperlink ref="Q354" r:id="rId1204"/>
    <hyperlink ref="Q355" r:id="rId1205"/>
    <hyperlink ref="Q356" r:id="rId1206"/>
    <hyperlink ref="Q358" r:id="rId1207"/>
    <hyperlink ref="Q359" r:id="rId1208"/>
    <hyperlink ref="Q360" r:id="rId1209"/>
    <hyperlink ref="Q361" r:id="rId1210"/>
    <hyperlink ref="Q362" r:id="rId1211"/>
    <hyperlink ref="Q363" r:id="rId1212"/>
    <hyperlink ref="Q364" r:id="rId1213"/>
    <hyperlink ref="Q365" r:id="rId1214"/>
    <hyperlink ref="Q366" r:id="rId1215"/>
    <hyperlink ref="Q367" r:id="rId1216"/>
    <hyperlink ref="Q372" r:id="rId1217"/>
    <hyperlink ref="Q375" r:id="rId1218"/>
    <hyperlink ref="Q373" r:id="rId1219"/>
    <hyperlink ref="Q379" r:id="rId1220"/>
    <hyperlink ref="Q380" r:id="rId1221"/>
    <hyperlink ref="Q381" r:id="rId1222"/>
    <hyperlink ref="Q383" r:id="rId1223"/>
    <hyperlink ref="Q384" r:id="rId1224"/>
    <hyperlink ref="Q385" r:id="rId1225"/>
    <hyperlink ref="Q386" r:id="rId1226"/>
    <hyperlink ref="Q391" r:id="rId1227"/>
    <hyperlink ref="Q399" r:id="rId1228"/>
    <hyperlink ref="Q405" r:id="rId1229"/>
    <hyperlink ref="Q407" r:id="rId1230"/>
    <hyperlink ref="Q348" r:id="rId1231"/>
    <hyperlink ref="Q311" r:id="rId1232"/>
    <hyperlink ref="Q243" r:id="rId1233"/>
    <hyperlink ref="Q244" r:id="rId1234"/>
    <hyperlink ref="Q246" r:id="rId1235"/>
    <hyperlink ref="Q247" r:id="rId1236"/>
    <hyperlink ref="Q248" r:id="rId1237"/>
    <hyperlink ref="Q249" r:id="rId1238" location=".ViQiFitENIr"/>
    <hyperlink ref="Q250" r:id="rId1239"/>
    <hyperlink ref="Q254" r:id="rId1240"/>
    <hyperlink ref="Q256" r:id="rId1241"/>
    <hyperlink ref="Q301" r:id="rId1242"/>
    <hyperlink ref="Q303" r:id="rId1243"/>
    <hyperlink ref="Q305" r:id="rId1244"/>
    <hyperlink ref="Q306" r:id="rId1245"/>
    <hyperlink ref="Q307" r:id="rId1246"/>
    <hyperlink ref="Q309" r:id="rId1247"/>
    <hyperlink ref="Q310" r:id="rId1248"/>
    <hyperlink ref="Q312" r:id="rId1249"/>
    <hyperlink ref="Q313" r:id="rId1250"/>
    <hyperlink ref="Q314" r:id="rId1251"/>
    <hyperlink ref="Q315" r:id="rId1252"/>
    <hyperlink ref="Q316" r:id="rId1253"/>
    <hyperlink ref="Q318" r:id="rId1254"/>
    <hyperlink ref="Q319" r:id="rId1255"/>
    <hyperlink ref="Q321" r:id="rId1256"/>
    <hyperlink ref="Q322" r:id="rId1257"/>
    <hyperlink ref="Q324" r:id="rId1258"/>
    <hyperlink ref="Q325" r:id="rId1259"/>
    <hyperlink ref="Q326" r:id="rId1260"/>
    <hyperlink ref="Q327" r:id="rId1261"/>
    <hyperlink ref="Q329" r:id="rId1262"/>
    <hyperlink ref="Q330" r:id="rId1263"/>
    <hyperlink ref="Q332" r:id="rId1264"/>
    <hyperlink ref="Q331" r:id="rId1265"/>
    <hyperlink ref="Q333" r:id="rId1266"/>
    <hyperlink ref="Q334" r:id="rId1267"/>
    <hyperlink ref="Q336" r:id="rId1268"/>
    <hyperlink ref="Q335" r:id="rId1269"/>
    <hyperlink ref="Q337" r:id="rId1270"/>
    <hyperlink ref="Q338" r:id="rId1271"/>
    <hyperlink ref="Q340" r:id="rId1272"/>
    <hyperlink ref="Q341" r:id="rId1273"/>
    <hyperlink ref="Q255" r:id="rId1274"/>
    <hyperlink ref="Q260" r:id="rId1275"/>
    <hyperlink ref="Q241" r:id="rId1276"/>
    <hyperlink ref="Q242" r:id="rId1277"/>
    <hyperlink ref="Q239" r:id="rId1278"/>
    <hyperlink ref="Q251" r:id="rId1279"/>
    <hyperlink ref="Q274" r:id="rId1280"/>
    <hyperlink ref="Q294" r:id="rId1281"/>
    <hyperlink ref="Q288" r:id="rId1282"/>
    <hyperlink ref="Q281" r:id="rId1283"/>
    <hyperlink ref="Q300" r:id="rId1284"/>
    <hyperlink ref="Q284" r:id="rId1285"/>
    <hyperlink ref="Q320" r:id="rId1286"/>
    <hyperlink ref="Q289" r:id="rId1287"/>
    <hyperlink ref="Q280" r:id="rId1288"/>
    <hyperlink ref="Q266" r:id="rId1289"/>
    <hyperlink ref="Q271" r:id="rId1290"/>
    <hyperlink ref="Q267" r:id="rId1291"/>
    <hyperlink ref="Q257" r:id="rId1292"/>
    <hyperlink ref="Q273" r:id="rId1293"/>
    <hyperlink ref="Q282" r:id="rId1294"/>
    <hyperlink ref="Q261" r:id="rId1295"/>
    <hyperlink ref="Q277" r:id="rId1296"/>
    <hyperlink ref="Q268" r:id="rId1297"/>
    <hyperlink ref="Q262" r:id="rId1298"/>
    <hyperlink ref="Q263" r:id="rId1299"/>
    <hyperlink ref="Q264" r:id="rId1300"/>
    <hyperlink ref="Q278" r:id="rId1301"/>
    <hyperlink ref="Q285" r:id="rId1302"/>
    <hyperlink ref="Q286" r:id="rId1303"/>
    <hyperlink ref="Q279" r:id="rId1304"/>
    <hyperlink ref="Q283" r:id="rId1305"/>
    <hyperlink ref="Q258" r:id="rId1306"/>
    <hyperlink ref="Q259" r:id="rId1307"/>
    <hyperlink ref="Q265" r:id="rId1308"/>
    <hyperlink ref="Q291" r:id="rId1309"/>
    <hyperlink ref="Q272" r:id="rId1310"/>
    <hyperlink ref="Q270" r:id="rId1311"/>
    <hyperlink ref="Q275" r:id="rId1312"/>
    <hyperlink ref="Q328" r:id="rId1313"/>
    <hyperlink ref="Q276" r:id="rId1314"/>
    <hyperlink ref="Q252" r:id="rId1315"/>
    <hyperlink ref="Q304" r:id="rId1316"/>
    <hyperlink ref="Q308" r:id="rId1317"/>
    <hyperlink ref="Q227" r:id="rId1318"/>
    <hyperlink ref="Q237" r:id="rId1319"/>
    <hyperlink ref="Q231" r:id="rId1320"/>
    <hyperlink ref="Q234" r:id="rId1321"/>
    <hyperlink ref="Q230" r:id="rId1322"/>
    <hyperlink ref="Q235" r:id="rId1323"/>
    <hyperlink ref="Q229" r:id="rId1324"/>
    <hyperlink ref="Q226" r:id="rId1325"/>
    <hyperlink ref="Q223" r:id="rId1326"/>
    <hyperlink ref="Q221" r:id="rId1327"/>
    <hyperlink ref="Q225" r:id="rId1328"/>
    <hyperlink ref="Q216" r:id="rId1329"/>
    <hyperlink ref="Q213" r:id="rId1330"/>
    <hyperlink ref="Q233" r:id="rId1331"/>
    <hyperlink ref="Q206" r:id="rId1332"/>
    <hyperlink ref="Q179" r:id="rId1333"/>
    <hyperlink ref="Q228" r:id="rId1334"/>
    <hyperlink ref="Q220" r:id="rId1335"/>
    <hyperlink ref="Q215" r:id="rId1336"/>
    <hyperlink ref="Q219" r:id="rId1337"/>
    <hyperlink ref="Q222" r:id="rId1338"/>
    <hyperlink ref="Q217" r:id="rId1339"/>
    <hyperlink ref="Q214" r:id="rId1340"/>
    <hyperlink ref="Q212" r:id="rId1341"/>
    <hyperlink ref="Q207" r:id="rId1342"/>
    <hyperlink ref="Q201" r:id="rId1343"/>
    <hyperlink ref="Q203" r:id="rId1344"/>
    <hyperlink ref="Q202" r:id="rId1345"/>
    <hyperlink ref="Q211" r:id="rId1346"/>
    <hyperlink ref="Q209" r:id="rId1347"/>
    <hyperlink ref="Q199" r:id="rId1348"/>
    <hyperlink ref="Q205" r:id="rId1349" location="incart_m-rpt-1"/>
    <hyperlink ref="Q224" r:id="rId1350"/>
    <hyperlink ref="Q193" r:id="rId1351"/>
    <hyperlink ref="Q208" r:id="rId1352"/>
    <hyperlink ref="Q196" r:id="rId1353"/>
    <hyperlink ref="Q190" r:id="rId1354"/>
    <hyperlink ref="Q189" r:id="rId1355"/>
    <hyperlink ref="Q191" r:id="rId1356"/>
    <hyperlink ref="Q185" r:id="rId1357"/>
    <hyperlink ref="Q187" r:id="rId1358"/>
    <hyperlink ref="Q178" r:id="rId1359"/>
    <hyperlink ref="Q181" r:id="rId1360"/>
    <hyperlink ref="Q183" r:id="rId1361"/>
    <hyperlink ref="Q184" r:id="rId1362"/>
    <hyperlink ref="Q175" r:id="rId1363"/>
    <hyperlink ref="Q176" r:id="rId1364"/>
    <hyperlink ref="Q177" r:id="rId1365"/>
    <hyperlink ref="Q171" r:id="rId1366"/>
    <hyperlink ref="Q172" r:id="rId1367"/>
    <hyperlink ref="Q173" r:id="rId1368"/>
    <hyperlink ref="Q163" r:id="rId1369"/>
    <hyperlink ref="Q164" r:id="rId1370"/>
    <hyperlink ref="Q166" r:id="rId1371"/>
    <hyperlink ref="Q168" r:id="rId1372"/>
    <hyperlink ref="Q157" r:id="rId1373"/>
    <hyperlink ref="Q158" r:id="rId1374"/>
    <hyperlink ref="Q155" r:id="rId1375"/>
    <hyperlink ref="Q154" r:id="rId1376"/>
    <hyperlink ref="Q150" r:id="rId1377"/>
    <hyperlink ref="Q151" r:id="rId1378"/>
    <hyperlink ref="Q145" r:id="rId1379"/>
    <hyperlink ref="Q146" r:id="rId1380"/>
    <hyperlink ref="Q141" r:id="rId1381"/>
    <hyperlink ref="Q148" r:id="rId1382"/>
    <hyperlink ref="Q161" r:id="rId1383"/>
    <hyperlink ref="E357" r:id="rId1384"/>
    <hyperlink ref="Q357" r:id="rId1385"/>
    <hyperlink ref="E374" r:id="rId1386" display="http://www.killedbypolice.net/victims/150755.jpg"/>
    <hyperlink ref="Q374" r:id="rId1387" display="https://djournal.com/news/man-dies-after-police-chase-2/"/>
    <hyperlink ref="E240" r:id="rId1388"/>
    <hyperlink ref="Q240" r:id="rId1389" display="http://www.kristv.com/story/30147782/texas-rangers-investigating-aransas-co-death"/>
    <hyperlink ref="Q245" r:id="rId1390" display="http://www.mercurynews.com/crime-courts/ci_28894656/san-jose-latest-inmate-jail-death-sparks-internal"/>
    <hyperlink ref="Q253" r:id="rId1391" display="http://www.fresnobee.com/news/local/crime/article37140321.html"/>
    <hyperlink ref="Q269" r:id="rId1392" display="http://www.redding.com/news/local-news/happy-valley-road-closing-in-search-for-armed-suspect"/>
    <hyperlink ref="A210" r:id="rId1393"/>
    <hyperlink ref="Q210" r:id="rId1394"/>
    <hyperlink ref="E652" r:id="rId1395"/>
    <hyperlink ref="Q652" r:id="rId1396"/>
    <hyperlink ref="E736" r:id="rId1397"/>
    <hyperlink ref="Q736" r:id="rId1398"/>
    <hyperlink ref="E755" r:id="rId1399"/>
    <hyperlink ref="Q755" r:id="rId1400"/>
    <hyperlink ref="E950" r:id="rId1401"/>
    <hyperlink ref="Q950" r:id="rId1402"/>
    <hyperlink ref="Q1212" r:id="rId1403"/>
    <hyperlink ref="Q1216" r:id="rId1404"/>
    <hyperlink ref="Q115" r:id="rId1405"/>
    <hyperlink ref="E792" r:id="rId1406"/>
    <hyperlink ref="Q792" r:id="rId1407"/>
    <hyperlink ref="Q147" r:id="rId1408"/>
  </hyperlinks>
  <pageMargins left="0.75" right="0.75" top="1" bottom="1" header="0.5" footer="0.5"/>
  <pageSetup orientation="portrait" horizontalDpi="4294967292" verticalDpi="4294967292"/>
  <drawing r:id="rId140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I70" sqref="I70"/>
    </sheetView>
  </sheetViews>
  <sheetFormatPr baseColWidth="10" defaultRowHeight="16" customHeight="1" x14ac:dyDescent="0"/>
  <cols>
    <col min="1" max="1" width="16.5" style="59" customWidth="1"/>
    <col min="2" max="3" width="17.1640625" style="60" customWidth="1"/>
    <col min="4" max="4" width="11" style="46" customWidth="1"/>
    <col min="5" max="5" width="18.6640625" style="46" customWidth="1"/>
    <col min="6" max="6" width="14" style="56" customWidth="1"/>
    <col min="7" max="7" width="20.83203125" style="56" customWidth="1"/>
    <col min="8" max="8" width="15.6640625" style="46" customWidth="1"/>
    <col min="9" max="9" width="17.5" style="42" customWidth="1"/>
    <col min="10" max="10" width="10.83203125" style="42"/>
    <col min="11" max="11" width="21.1640625" style="56" customWidth="1"/>
    <col min="12" max="16384" width="10.83203125" style="42"/>
  </cols>
  <sheetData>
    <row r="1" spans="1:12" s="47" customFormat="1" ht="12">
      <c r="A1" s="47" t="s">
        <v>21212</v>
      </c>
      <c r="B1" s="47" t="s">
        <v>21213</v>
      </c>
      <c r="C1" s="47" t="s">
        <v>21214</v>
      </c>
      <c r="D1" s="47" t="s">
        <v>21215</v>
      </c>
      <c r="E1" s="47" t="s">
        <v>21216</v>
      </c>
      <c r="F1" s="47" t="s">
        <v>21217</v>
      </c>
      <c r="G1" s="47" t="s">
        <v>21218</v>
      </c>
      <c r="H1" s="47" t="s">
        <v>21219</v>
      </c>
      <c r="I1" s="47" t="s">
        <v>21220</v>
      </c>
      <c r="J1" s="47" t="s">
        <v>21221</v>
      </c>
      <c r="K1" s="47" t="s">
        <v>21222</v>
      </c>
      <c r="L1" s="47" t="s">
        <v>21223</v>
      </c>
    </row>
    <row r="2" spans="1:12" ht="15">
      <c r="A2" s="48" t="s">
        <v>21224</v>
      </c>
      <c r="B2" s="49" t="s">
        <v>21225</v>
      </c>
      <c r="C2" s="50">
        <v>368759</v>
      </c>
      <c r="D2" s="51">
        <v>5</v>
      </c>
      <c r="E2" s="52">
        <f>D2/C2*1000000</f>
        <v>13.558991102590038</v>
      </c>
      <c r="F2" s="53">
        <v>26677</v>
      </c>
      <c r="G2" s="54">
        <f>F2/C2</f>
        <v>7.2342641128758892E-2</v>
      </c>
      <c r="H2" s="51">
        <v>0</v>
      </c>
      <c r="I2" s="55">
        <f>H2/D2</f>
        <v>0</v>
      </c>
      <c r="J2" s="55">
        <f>I2-G2</f>
        <v>-7.2342641128758892E-2</v>
      </c>
      <c r="K2" s="56">
        <v>1678</v>
      </c>
      <c r="L2" s="57">
        <v>4.5503974140292165</v>
      </c>
    </row>
    <row r="3" spans="1:12" ht="15">
      <c r="A3" s="48" t="s">
        <v>21226</v>
      </c>
      <c r="B3" s="49" t="s">
        <v>1105</v>
      </c>
      <c r="C3" s="50">
        <v>620602</v>
      </c>
      <c r="D3" s="51">
        <v>8</v>
      </c>
      <c r="E3" s="52">
        <f t="shared" ref="E3:E63" si="0">D3/C3*1000000</f>
        <v>12.8907093435084</v>
      </c>
      <c r="F3" s="53">
        <v>85744</v>
      </c>
      <c r="G3" s="54">
        <f>F3/C3</f>
        <v>0.13816262274372304</v>
      </c>
      <c r="H3" s="51">
        <v>5</v>
      </c>
      <c r="I3" s="55">
        <f t="shared" ref="I3:I60" si="1">H3/D3</f>
        <v>0.625</v>
      </c>
      <c r="J3" s="55">
        <f t="shared" ref="J3:J63" si="2">I3-G3</f>
        <v>0.48683737725627696</v>
      </c>
      <c r="K3" s="56">
        <v>4782</v>
      </c>
      <c r="L3" s="57">
        <v>7.7054215100821466</v>
      </c>
    </row>
    <row r="4" spans="1:12" ht="15">
      <c r="A4" s="48" t="s">
        <v>21227</v>
      </c>
      <c r="B4" s="49" t="s">
        <v>21225</v>
      </c>
      <c r="C4" s="50">
        <v>413775</v>
      </c>
      <c r="D4" s="51">
        <v>5</v>
      </c>
      <c r="E4" s="52">
        <f t="shared" si="0"/>
        <v>12.083862002295934</v>
      </c>
      <c r="F4" s="53">
        <v>106637</v>
      </c>
      <c r="G4" s="54">
        <f>F4/C4</f>
        <v>0.25771735846776628</v>
      </c>
      <c r="H4" s="51">
        <v>4</v>
      </c>
      <c r="I4" s="55">
        <f t="shared" si="1"/>
        <v>0.8</v>
      </c>
      <c r="J4" s="55">
        <f t="shared" si="2"/>
        <v>0.54228264153223371</v>
      </c>
      <c r="K4" s="56">
        <v>6910</v>
      </c>
      <c r="L4" s="57">
        <v>16.69989728717298</v>
      </c>
    </row>
    <row r="5" spans="1:12" ht="15">
      <c r="A5" s="48" t="s">
        <v>21228</v>
      </c>
      <c r="B5" s="49" t="s">
        <v>10492</v>
      </c>
      <c r="C5" s="50">
        <v>848788</v>
      </c>
      <c r="D5" s="51">
        <v>9</v>
      </c>
      <c r="E5" s="52">
        <f t="shared" si="0"/>
        <v>10.603354430081481</v>
      </c>
      <c r="F5" s="53">
        <v>223053</v>
      </c>
      <c r="G5" s="54">
        <f>F5/C5</f>
        <v>0.26279000174366274</v>
      </c>
      <c r="H5" s="51">
        <v>4</v>
      </c>
      <c r="I5" s="55">
        <f t="shared" si="1"/>
        <v>0.44444444444444442</v>
      </c>
      <c r="J5" s="55">
        <f t="shared" si="2"/>
        <v>0.18165444270078168</v>
      </c>
      <c r="K5" s="56">
        <v>10768</v>
      </c>
      <c r="L5" s="57">
        <v>12.686324500346377</v>
      </c>
    </row>
    <row r="6" spans="1:12" ht="15">
      <c r="A6" s="48" t="s">
        <v>21229</v>
      </c>
      <c r="B6" s="49" t="s">
        <v>21225</v>
      </c>
      <c r="C6" s="50">
        <v>473577</v>
      </c>
      <c r="D6" s="51">
        <v>5</v>
      </c>
      <c r="E6" s="52">
        <f t="shared" si="0"/>
        <v>10.55794517047914</v>
      </c>
      <c r="F6" s="53">
        <v>59925</v>
      </c>
      <c r="G6" s="54">
        <f>F6/C6</f>
        <v>0.12653697286819249</v>
      </c>
      <c r="H6" s="51">
        <v>1</v>
      </c>
      <c r="I6" s="55">
        <f t="shared" si="1"/>
        <v>0.2</v>
      </c>
      <c r="J6" s="55">
        <f t="shared" si="2"/>
        <v>7.3463027131807523E-2</v>
      </c>
      <c r="K6" s="56">
        <v>2304</v>
      </c>
      <c r="L6" s="57">
        <v>4.8651011345567881</v>
      </c>
    </row>
    <row r="7" spans="1:12" ht="15">
      <c r="A7" s="48" t="s">
        <v>21230</v>
      </c>
      <c r="B7" s="49" t="s">
        <v>21231</v>
      </c>
      <c r="C7" s="50">
        <v>384320</v>
      </c>
      <c r="D7" s="51">
        <v>4</v>
      </c>
      <c r="E7" s="52">
        <f t="shared" si="0"/>
        <v>10.407993338884264</v>
      </c>
      <c r="F7" s="53">
        <v>204866</v>
      </c>
      <c r="G7" s="54">
        <f>F7/C7</f>
        <v>0.53306099084096581</v>
      </c>
      <c r="H7" s="51">
        <v>3</v>
      </c>
      <c r="I7" s="55">
        <f t="shared" si="1"/>
        <v>0.75</v>
      </c>
      <c r="J7" s="55">
        <f t="shared" si="2"/>
        <v>0.21693900915903419</v>
      </c>
      <c r="K7" s="56">
        <v>3770</v>
      </c>
      <c r="L7" s="57">
        <v>9.8095337218984184</v>
      </c>
    </row>
    <row r="8" spans="1:12" ht="15">
      <c r="A8" s="48" t="s">
        <v>21232</v>
      </c>
      <c r="B8" s="49" t="s">
        <v>21233</v>
      </c>
      <c r="C8" s="50">
        <v>317419</v>
      </c>
      <c r="D8" s="51">
        <v>3</v>
      </c>
      <c r="E8" s="52">
        <f t="shared" si="0"/>
        <v>9.4512300775945981</v>
      </c>
      <c r="F8" s="53">
        <v>156389</v>
      </c>
      <c r="G8" s="54">
        <f>F8/C8</f>
        <v>0.4926894735349806</v>
      </c>
      <c r="H8" s="51">
        <v>3</v>
      </c>
      <c r="I8" s="55">
        <f t="shared" si="1"/>
        <v>1</v>
      </c>
      <c r="J8" s="55">
        <f t="shared" si="2"/>
        <v>0.5073105264650194</v>
      </c>
      <c r="K8" s="56">
        <v>5348</v>
      </c>
      <c r="L8" s="57">
        <v>16.848392818325305</v>
      </c>
    </row>
    <row r="9" spans="1:12" ht="15">
      <c r="A9" s="48" t="s">
        <v>21234</v>
      </c>
      <c r="B9" s="49" t="s">
        <v>21225</v>
      </c>
      <c r="C9" s="50">
        <v>852469</v>
      </c>
      <c r="D9" s="51">
        <v>8</v>
      </c>
      <c r="E9" s="52">
        <f t="shared" si="0"/>
        <v>9.384505477618541</v>
      </c>
      <c r="F9" s="53">
        <v>46781</v>
      </c>
      <c r="G9" s="54">
        <f>F9/C9</f>
        <v>5.4877068843559119E-2</v>
      </c>
      <c r="H9" s="51">
        <v>1</v>
      </c>
      <c r="I9" s="55">
        <f t="shared" si="1"/>
        <v>0.125</v>
      </c>
      <c r="J9" s="55">
        <f t="shared" si="2"/>
        <v>7.0122931156440887E-2</v>
      </c>
      <c r="K9" s="56">
        <v>6761</v>
      </c>
      <c r="L9" s="57">
        <v>7.9310801917723692</v>
      </c>
    </row>
    <row r="10" spans="1:12" ht="15">
      <c r="A10" s="48" t="s">
        <v>21235</v>
      </c>
      <c r="B10" s="49" t="s">
        <v>21225</v>
      </c>
      <c r="C10" s="50">
        <v>346997</v>
      </c>
      <c r="D10" s="51">
        <v>3</v>
      </c>
      <c r="E10" s="52">
        <f t="shared" si="0"/>
        <v>8.6456078870998887</v>
      </c>
      <c r="F10" s="53">
        <v>8209</v>
      </c>
      <c r="G10" s="54">
        <f>F10/C10</f>
        <v>2.3657265048400995E-2</v>
      </c>
      <c r="H10" s="51">
        <v>2</v>
      </c>
      <c r="I10" s="55">
        <f t="shared" si="1"/>
        <v>0.66666666666666663</v>
      </c>
      <c r="J10" s="55">
        <f t="shared" si="2"/>
        <v>0.64300940161826559</v>
      </c>
      <c r="K10" s="56">
        <v>1101</v>
      </c>
      <c r="L10" s="57">
        <v>3.1729380945656591</v>
      </c>
    </row>
    <row r="11" spans="1:12" ht="15">
      <c r="A11" s="48" t="s">
        <v>21236</v>
      </c>
      <c r="B11" s="49" t="s">
        <v>21237</v>
      </c>
      <c r="C11" s="50">
        <v>464704</v>
      </c>
      <c r="D11" s="51">
        <v>4</v>
      </c>
      <c r="E11" s="52">
        <f t="shared" si="0"/>
        <v>8.6076298030574314</v>
      </c>
      <c r="F11" s="53">
        <v>14101</v>
      </c>
      <c r="G11" s="54">
        <f>F11/C11</f>
        <v>3.0344046963228205E-2</v>
      </c>
      <c r="H11" s="51">
        <v>0</v>
      </c>
      <c r="I11" s="55">
        <f t="shared" si="1"/>
        <v>0</v>
      </c>
      <c r="J11" s="55">
        <f t="shared" si="2"/>
        <v>-3.0344046963228205E-2</v>
      </c>
      <c r="K11" s="56">
        <v>2119</v>
      </c>
      <c r="L11" s="57">
        <v>4.5598918881696733</v>
      </c>
    </row>
    <row r="12" spans="1:12" ht="15">
      <c r="A12" s="48" t="s">
        <v>21238</v>
      </c>
      <c r="B12" s="49" t="s">
        <v>21239</v>
      </c>
      <c r="C12" s="50">
        <v>353108</v>
      </c>
      <c r="D12" s="51">
        <v>3</v>
      </c>
      <c r="E12" s="52">
        <f t="shared" si="0"/>
        <v>8.4959842314532672</v>
      </c>
      <c r="F12" s="53">
        <v>49003</v>
      </c>
      <c r="G12" s="54">
        <f>F12/C12</f>
        <v>0.13877623843130146</v>
      </c>
      <c r="H12" s="51">
        <v>2</v>
      </c>
      <c r="I12" s="55">
        <f t="shared" si="1"/>
        <v>0.66666666666666663</v>
      </c>
      <c r="J12" s="55">
        <f t="shared" si="2"/>
        <v>0.52789042823536514</v>
      </c>
      <c r="K12" s="56">
        <v>1448</v>
      </c>
      <c r="L12" s="57">
        <v>4.1007283890481103</v>
      </c>
    </row>
    <row r="13" spans="1:12" ht="15">
      <c r="A13" s="48" t="s">
        <v>21240</v>
      </c>
      <c r="B13" s="49" t="s">
        <v>21241</v>
      </c>
      <c r="C13" s="50">
        <v>383204</v>
      </c>
      <c r="D13" s="51">
        <v>3</v>
      </c>
      <c r="E13" s="52">
        <f t="shared" si="0"/>
        <v>7.8287283013747242</v>
      </c>
      <c r="F13" s="53">
        <v>67087</v>
      </c>
      <c r="G13" s="54">
        <f>F13/C13</f>
        <v>0.17506863185144206</v>
      </c>
      <c r="H13" s="51">
        <v>2</v>
      </c>
      <c r="I13" s="55">
        <f t="shared" si="1"/>
        <v>0.66666666666666663</v>
      </c>
      <c r="J13" s="55">
        <f t="shared" si="2"/>
        <v>0.49159803481522457</v>
      </c>
      <c r="K13" s="56">
        <v>1854</v>
      </c>
      <c r="L13" s="57">
        <v>4.8381540902495805</v>
      </c>
    </row>
    <row r="14" spans="1:12" ht="15">
      <c r="A14" s="48" t="s">
        <v>21242</v>
      </c>
      <c r="B14" s="49" t="s">
        <v>21225</v>
      </c>
      <c r="C14" s="50">
        <v>515986</v>
      </c>
      <c r="D14" s="51">
        <v>4</v>
      </c>
      <c r="E14" s="52">
        <f t="shared" si="0"/>
        <v>7.7521483141015457</v>
      </c>
      <c r="F14" s="53">
        <v>37885</v>
      </c>
      <c r="G14" s="54">
        <f>F14/C14</f>
        <v>7.3422534719934263E-2</v>
      </c>
      <c r="H14" s="51">
        <v>0</v>
      </c>
      <c r="I14" s="55">
        <f t="shared" si="1"/>
        <v>0</v>
      </c>
      <c r="J14" s="55">
        <f t="shared" si="2"/>
        <v>-7.3422534719934263E-2</v>
      </c>
      <c r="K14" s="56">
        <v>2382</v>
      </c>
      <c r="L14" s="57">
        <v>4.6164043210474697</v>
      </c>
    </row>
    <row r="15" spans="1:12" ht="15">
      <c r="A15" s="48" t="s">
        <v>21243</v>
      </c>
      <c r="B15" s="49" t="s">
        <v>21244</v>
      </c>
      <c r="C15" s="50">
        <v>430332</v>
      </c>
      <c r="D15" s="51">
        <v>3</v>
      </c>
      <c r="E15" s="52">
        <f t="shared" si="0"/>
        <v>6.9713616463567671</v>
      </c>
      <c r="F15" s="53">
        <v>64993</v>
      </c>
      <c r="G15" s="54">
        <f>F15/C15</f>
        <v>0.15102990249388845</v>
      </c>
      <c r="H15" s="51">
        <v>2</v>
      </c>
      <c r="I15" s="55">
        <f t="shared" si="1"/>
        <v>0.66666666666666663</v>
      </c>
      <c r="J15" s="55">
        <f t="shared" si="2"/>
        <v>0.51563676417277815</v>
      </c>
      <c r="K15" s="56">
        <v>4473</v>
      </c>
      <c r="L15" s="57">
        <v>10.394300214717939</v>
      </c>
    </row>
    <row r="16" spans="1:12" ht="15">
      <c r="A16" s="48" t="s">
        <v>21245</v>
      </c>
      <c r="B16" s="49" t="s">
        <v>21246</v>
      </c>
      <c r="C16" s="50">
        <v>446599</v>
      </c>
      <c r="D16" s="51">
        <v>3</v>
      </c>
      <c r="E16" s="52">
        <f t="shared" si="0"/>
        <v>6.7174355518037441</v>
      </c>
      <c r="F16" s="53">
        <v>55128</v>
      </c>
      <c r="G16" s="54">
        <f>F16/C16</f>
        <v>0.12343959569994559</v>
      </c>
      <c r="H16" s="51">
        <v>1</v>
      </c>
      <c r="I16" s="55">
        <f t="shared" si="1"/>
        <v>0.33333333333333331</v>
      </c>
      <c r="J16" s="55">
        <f t="shared" si="2"/>
        <v>0.20989373763338773</v>
      </c>
      <c r="K16" s="56">
        <v>2458</v>
      </c>
      <c r="L16" s="57">
        <v>5.503818862111201</v>
      </c>
    </row>
    <row r="17" spans="1:12" ht="15">
      <c r="A17" s="48" t="s">
        <v>21247</v>
      </c>
      <c r="B17" s="49" t="s">
        <v>21248</v>
      </c>
      <c r="C17" s="50">
        <v>456002</v>
      </c>
      <c r="D17" s="51">
        <v>3</v>
      </c>
      <c r="E17" s="52">
        <f t="shared" si="0"/>
        <v>6.5789185135152923</v>
      </c>
      <c r="F17" s="53">
        <v>224316</v>
      </c>
      <c r="G17" s="54">
        <f>F17/C17</f>
        <v>0.49191889509256537</v>
      </c>
      <c r="H17" s="51">
        <v>3</v>
      </c>
      <c r="I17" s="55">
        <f t="shared" si="1"/>
        <v>1</v>
      </c>
      <c r="J17" s="55">
        <f t="shared" si="2"/>
        <v>0.50808110490743463</v>
      </c>
      <c r="K17" s="56">
        <v>5577</v>
      </c>
      <c r="L17" s="57">
        <v>12.230209516624928</v>
      </c>
    </row>
    <row r="18" spans="1:12" ht="15">
      <c r="A18" s="48" t="s">
        <v>21249</v>
      </c>
      <c r="B18" s="49" t="s">
        <v>21241</v>
      </c>
      <c r="C18" s="50">
        <v>912791</v>
      </c>
      <c r="D18" s="51">
        <v>6</v>
      </c>
      <c r="E18" s="52">
        <f t="shared" si="0"/>
        <v>6.5732462305171726</v>
      </c>
      <c r="F18" s="53">
        <v>60760</v>
      </c>
      <c r="G18" s="54">
        <f>F18/C18</f>
        <v>6.6565073494370561E-2</v>
      </c>
      <c r="H18" s="51">
        <v>0</v>
      </c>
      <c r="I18" s="55">
        <f t="shared" si="1"/>
        <v>0</v>
      </c>
      <c r="J18" s="55">
        <f t="shared" si="2"/>
        <v>-6.6565073494370561E-2</v>
      </c>
      <c r="K18" s="56">
        <v>3581</v>
      </c>
      <c r="L18" s="57">
        <v>3.9231324585803318</v>
      </c>
    </row>
    <row r="19" spans="1:12" ht="15">
      <c r="A19" s="48" t="s">
        <v>21250</v>
      </c>
      <c r="B19" s="49" t="s">
        <v>21233</v>
      </c>
      <c r="C19" s="50">
        <v>470800</v>
      </c>
      <c r="D19" s="51">
        <v>3</v>
      </c>
      <c r="E19" s="52">
        <f t="shared" si="0"/>
        <v>6.372132540356839</v>
      </c>
      <c r="F19" s="53">
        <v>135916</v>
      </c>
      <c r="G19" s="54">
        <f>F19/C19</f>
        <v>0.28869158878504675</v>
      </c>
      <c r="H19" s="51">
        <v>3</v>
      </c>
      <c r="I19" s="55">
        <f t="shared" si="1"/>
        <v>1</v>
      </c>
      <c r="J19" s="55">
        <f t="shared" si="2"/>
        <v>0.71130841121495325</v>
      </c>
      <c r="K19" s="56">
        <v>5862</v>
      </c>
      <c r="L19" s="57">
        <v>12.451146983857264</v>
      </c>
    </row>
    <row r="20" spans="1:12" ht="15">
      <c r="A20" s="48" t="s">
        <v>21251</v>
      </c>
      <c r="B20" s="49" t="s">
        <v>21241</v>
      </c>
      <c r="C20" s="50">
        <v>2239558</v>
      </c>
      <c r="D20" s="51">
        <v>14</v>
      </c>
      <c r="E20" s="52">
        <f t="shared" si="0"/>
        <v>6.2512335023250127</v>
      </c>
      <c r="F20" s="53">
        <v>485956</v>
      </c>
      <c r="G20" s="54">
        <f>F20/C20</f>
        <v>0.21698745913256098</v>
      </c>
      <c r="H20" s="51">
        <v>9</v>
      </c>
      <c r="I20" s="55">
        <f t="shared" si="1"/>
        <v>0.6428571428571429</v>
      </c>
      <c r="J20" s="55">
        <f t="shared" si="2"/>
        <v>0.42586968372458189</v>
      </c>
      <c r="K20" s="56">
        <v>22008</v>
      </c>
      <c r="L20" s="57">
        <v>9.8269390656549191</v>
      </c>
    </row>
    <row r="21" spans="1:12" ht="15">
      <c r="A21" s="48" t="s">
        <v>21252</v>
      </c>
      <c r="B21" s="49" t="s">
        <v>21241</v>
      </c>
      <c r="C21" s="50">
        <v>320434</v>
      </c>
      <c r="D21" s="51">
        <v>2</v>
      </c>
      <c r="E21" s="52">
        <f t="shared" si="0"/>
        <v>6.2415349182671003</v>
      </c>
      <c r="F21" s="53">
        <v>11912</v>
      </c>
      <c r="G21" s="54">
        <f>F21/C21</f>
        <v>3.7174581973198846E-2</v>
      </c>
      <c r="H21" s="51">
        <v>0</v>
      </c>
      <c r="I21" s="55">
        <f t="shared" si="1"/>
        <v>0</v>
      </c>
      <c r="J21" s="55">
        <f t="shared" si="2"/>
        <v>-3.7174581973198846E-2</v>
      </c>
      <c r="K21" s="56">
        <v>2094</v>
      </c>
      <c r="L21" s="57">
        <v>6.5348870594256541</v>
      </c>
    </row>
    <row r="22" spans="1:12" ht="15">
      <c r="A22" s="48" t="s">
        <v>21253</v>
      </c>
      <c r="B22" s="49" t="s">
        <v>21254</v>
      </c>
      <c r="C22" s="50">
        <v>644014</v>
      </c>
      <c r="D22" s="51">
        <v>4</v>
      </c>
      <c r="E22" s="52">
        <f t="shared" si="0"/>
        <v>6.2110451015040047</v>
      </c>
      <c r="F22" s="53">
        <v>169272</v>
      </c>
      <c r="G22" s="54">
        <f>F22/C22</f>
        <v>0.26283900660544646</v>
      </c>
      <c r="H22" s="51">
        <v>1</v>
      </c>
      <c r="I22" s="55">
        <f t="shared" si="1"/>
        <v>0.25</v>
      </c>
      <c r="J22" s="55">
        <f t="shared" si="2"/>
        <v>-1.2839006605446457E-2</v>
      </c>
      <c r="K22" s="56">
        <v>7270</v>
      </c>
      <c r="L22" s="57">
        <v>11.288574471983528</v>
      </c>
    </row>
    <row r="23" spans="1:12" ht="15">
      <c r="A23" s="48" t="s">
        <v>21255</v>
      </c>
      <c r="B23" s="49" t="s">
        <v>21241</v>
      </c>
      <c r="C23" s="50">
        <v>812238</v>
      </c>
      <c r="D23" s="51">
        <v>5</v>
      </c>
      <c r="E23" s="52">
        <f t="shared" si="0"/>
        <v>6.1558311726365913</v>
      </c>
      <c r="F23" s="53">
        <v>136941</v>
      </c>
      <c r="G23" s="54">
        <f>F23/C23</f>
        <v>0.1685971353224055</v>
      </c>
      <c r="H23" s="51">
        <v>2</v>
      </c>
      <c r="I23" s="55">
        <f t="shared" si="1"/>
        <v>0.4</v>
      </c>
      <c r="J23" s="55">
        <f t="shared" si="2"/>
        <v>0.23140286467759452</v>
      </c>
      <c r="K23" s="58">
        <v>4428</v>
      </c>
      <c r="L23" s="57">
        <v>5.4516040864869657</v>
      </c>
    </row>
    <row r="24" spans="1:12" ht="15">
      <c r="A24" s="48" t="s">
        <v>21256</v>
      </c>
      <c r="B24" s="49" t="s">
        <v>21225</v>
      </c>
      <c r="C24" s="50">
        <v>334909</v>
      </c>
      <c r="D24" s="51">
        <v>2</v>
      </c>
      <c r="E24" s="52">
        <f t="shared" si="0"/>
        <v>5.9717714364200418</v>
      </c>
      <c r="F24" s="53">
        <v>3177</v>
      </c>
      <c r="G24" s="54">
        <f>F24/C24</f>
        <v>9.4861589267532381E-3</v>
      </c>
      <c r="H24" s="51">
        <v>0</v>
      </c>
      <c r="I24" s="55">
        <f t="shared" si="1"/>
        <v>0</v>
      </c>
      <c r="J24" s="55">
        <f t="shared" si="2"/>
        <v>-9.4861589267532381E-3</v>
      </c>
      <c r="K24" s="56">
        <v>1260</v>
      </c>
      <c r="L24" s="57">
        <v>3.7622160049446269</v>
      </c>
    </row>
    <row r="25" spans="1:12" ht="15">
      <c r="A25" s="48" t="s">
        <v>21257</v>
      </c>
      <c r="B25" s="49" t="s">
        <v>21225</v>
      </c>
      <c r="C25" s="50">
        <v>1015785</v>
      </c>
      <c r="D25" s="51">
        <v>6</v>
      </c>
      <c r="E25" s="52">
        <f t="shared" si="0"/>
        <v>5.9067617655310913</v>
      </c>
      <c r="F25" s="53">
        <v>27508</v>
      </c>
      <c r="G25" s="54">
        <f>F25/C25</f>
        <v>2.7080533774371546E-2</v>
      </c>
      <c r="H25" s="51">
        <v>1</v>
      </c>
      <c r="I25" s="55">
        <f t="shared" si="1"/>
        <v>0.16666666666666666</v>
      </c>
      <c r="J25" s="55">
        <f t="shared" si="2"/>
        <v>0.1395861328922951</v>
      </c>
      <c r="K25" s="56">
        <v>3242</v>
      </c>
      <c r="L25" s="57">
        <v>3.1916202739753001</v>
      </c>
    </row>
    <row r="26" spans="1:12" ht="15">
      <c r="A26" s="48" t="s">
        <v>21258</v>
      </c>
      <c r="B26" s="49" t="s">
        <v>21241</v>
      </c>
      <c r="C26" s="50">
        <v>679036</v>
      </c>
      <c r="D26" s="51">
        <v>4</v>
      </c>
      <c r="E26" s="52">
        <f t="shared" si="0"/>
        <v>5.8907038802066465</v>
      </c>
      <c r="F26" s="53">
        <v>18155</v>
      </c>
      <c r="G26" s="54">
        <f>F26/C26</f>
        <v>2.6736432236287914E-2</v>
      </c>
      <c r="H26" s="51">
        <v>1</v>
      </c>
      <c r="I26" s="55">
        <f t="shared" si="1"/>
        <v>0.25</v>
      </c>
      <c r="J26" s="55">
        <f t="shared" si="2"/>
        <v>0.22326356776371209</v>
      </c>
      <c r="K26" s="56">
        <v>2671</v>
      </c>
      <c r="L26" s="57">
        <v>3.933517516007988</v>
      </c>
    </row>
    <row r="27" spans="1:12" ht="15">
      <c r="A27" s="48" t="s">
        <v>21259</v>
      </c>
      <c r="B27" s="49" t="s">
        <v>21244</v>
      </c>
      <c r="C27" s="50">
        <v>853382</v>
      </c>
      <c r="D27" s="51">
        <v>5</v>
      </c>
      <c r="E27" s="52">
        <f t="shared" si="0"/>
        <v>5.8590408515764336</v>
      </c>
      <c r="F27" s="53">
        <v>247516</v>
      </c>
      <c r="G27" s="54">
        <f>F27/C27</f>
        <v>0.29004127108375849</v>
      </c>
      <c r="H27" s="51">
        <v>4</v>
      </c>
      <c r="I27" s="55">
        <f t="shared" si="1"/>
        <v>0.8</v>
      </c>
      <c r="J27" s="55">
        <f t="shared" si="2"/>
        <v>0.5099587289162415</v>
      </c>
      <c r="K27" s="56">
        <v>5853</v>
      </c>
      <c r="L27" s="57">
        <v>6.858593220855373</v>
      </c>
    </row>
    <row r="28" spans="1:12" ht="15">
      <c r="A28" s="48" t="s">
        <v>21260</v>
      </c>
      <c r="B28" s="49" t="s">
        <v>21225</v>
      </c>
      <c r="C28" s="50">
        <v>1381069</v>
      </c>
      <c r="D28" s="51">
        <v>8</v>
      </c>
      <c r="E28" s="52">
        <f t="shared" si="0"/>
        <v>5.7926142719878593</v>
      </c>
      <c r="F28" s="53">
        <v>82497</v>
      </c>
      <c r="G28" s="54">
        <f>F28/C28</f>
        <v>5.9734162449522794E-2</v>
      </c>
      <c r="H28" s="51">
        <v>1</v>
      </c>
      <c r="I28" s="55">
        <f t="shared" si="1"/>
        <v>0.125</v>
      </c>
      <c r="J28" s="55">
        <f t="shared" si="2"/>
        <v>6.5265837550477213E-2</v>
      </c>
      <c r="K28" s="56">
        <v>5214</v>
      </c>
      <c r="L28" s="57">
        <v>3.7753363517680869</v>
      </c>
    </row>
    <row r="29" spans="1:12" ht="15">
      <c r="A29" s="48" t="s">
        <v>21261</v>
      </c>
      <c r="B29" s="49" t="s">
        <v>21237</v>
      </c>
      <c r="C29" s="50">
        <v>527972</v>
      </c>
      <c r="D29" s="51">
        <v>3</v>
      </c>
      <c r="E29" s="52">
        <f t="shared" si="0"/>
        <v>5.6821195063374574</v>
      </c>
      <c r="F29" s="53">
        <v>23362</v>
      </c>
      <c r="G29" s="54">
        <f>F29/C29</f>
        <v>4.4248558635685227E-2</v>
      </c>
      <c r="H29" s="51">
        <v>0</v>
      </c>
      <c r="I29" s="55">
        <f t="shared" si="1"/>
        <v>0</v>
      </c>
      <c r="J29" s="55">
        <f t="shared" si="2"/>
        <v>-4.4248558635685227E-2</v>
      </c>
      <c r="K29" s="58">
        <v>3597</v>
      </c>
      <c r="L29" s="57">
        <v>6.8128612880986106</v>
      </c>
    </row>
    <row r="30" spans="1:12" ht="15">
      <c r="A30" s="48" t="s">
        <v>21262</v>
      </c>
      <c r="B30" s="49" t="s">
        <v>21225</v>
      </c>
      <c r="C30" s="50">
        <v>3928864</v>
      </c>
      <c r="D30" s="51">
        <v>22</v>
      </c>
      <c r="E30" s="52">
        <f t="shared" si="0"/>
        <v>5.5995829837836073</v>
      </c>
      <c r="F30" s="53">
        <v>347380</v>
      </c>
      <c r="G30" s="54">
        <f>F30/C30</f>
        <v>8.8417415313943162E-2</v>
      </c>
      <c r="H30" s="51">
        <v>4</v>
      </c>
      <c r="I30" s="55">
        <f t="shared" si="1"/>
        <v>0.18181818181818182</v>
      </c>
      <c r="J30" s="55">
        <f t="shared" si="2"/>
        <v>9.3400766504238661E-2</v>
      </c>
      <c r="K30" s="56">
        <v>19171</v>
      </c>
      <c r="L30" s="57">
        <v>4.8795275173688877</v>
      </c>
    </row>
    <row r="31" spans="1:12" ht="15">
      <c r="A31" s="48" t="s">
        <v>21263</v>
      </c>
      <c r="B31" s="49" t="s">
        <v>21244</v>
      </c>
      <c r="C31" s="50">
        <v>358699</v>
      </c>
      <c r="D31" s="51">
        <v>2</v>
      </c>
      <c r="E31" s="52">
        <f t="shared" si="0"/>
        <v>5.5757055358392416</v>
      </c>
      <c r="F31" s="53">
        <v>83032</v>
      </c>
      <c r="G31" s="54">
        <f>F31/C31</f>
        <v>0.23148099102590194</v>
      </c>
      <c r="H31" s="51">
        <v>1</v>
      </c>
      <c r="I31" s="55">
        <f t="shared" si="1"/>
        <v>0.5</v>
      </c>
      <c r="J31" s="55">
        <f t="shared" si="2"/>
        <v>0.26851900897409808</v>
      </c>
      <c r="K31" s="56">
        <v>2080</v>
      </c>
      <c r="L31" s="57">
        <v>5.798733757272811</v>
      </c>
    </row>
    <row r="32" spans="1:12" ht="15">
      <c r="A32" s="48" t="s">
        <v>21264</v>
      </c>
      <c r="B32" s="49" t="s">
        <v>21241</v>
      </c>
      <c r="C32" s="50">
        <v>1281047</v>
      </c>
      <c r="D32" s="51">
        <v>7</v>
      </c>
      <c r="E32" s="52">
        <f t="shared" si="0"/>
        <v>5.4642803894002325</v>
      </c>
      <c r="F32" s="53">
        <v>294159</v>
      </c>
      <c r="G32" s="54">
        <f>F32/C32</f>
        <v>0.22962389358079757</v>
      </c>
      <c r="H32" s="51">
        <v>4</v>
      </c>
      <c r="I32" s="55">
        <f t="shared" si="1"/>
        <v>0.5714285714285714</v>
      </c>
      <c r="J32" s="55">
        <f t="shared" si="2"/>
        <v>0.3418046778477738</v>
      </c>
      <c r="K32" s="56">
        <v>8457</v>
      </c>
      <c r="L32" s="57">
        <v>6.6016313218796814</v>
      </c>
    </row>
    <row r="33" spans="1:12" ht="15">
      <c r="A33" s="48" t="s">
        <v>21265</v>
      </c>
      <c r="B33" s="49" t="s">
        <v>21266</v>
      </c>
      <c r="C33" s="50">
        <v>388413</v>
      </c>
      <c r="D33" s="51">
        <v>2</v>
      </c>
      <c r="E33" s="52">
        <f t="shared" si="0"/>
        <v>5.1491582413564947</v>
      </c>
      <c r="F33" s="53">
        <v>42676</v>
      </c>
      <c r="G33" s="54">
        <f>F33/C33</f>
        <v>0.10987273855406487</v>
      </c>
      <c r="H33" s="51">
        <v>0</v>
      </c>
      <c r="I33" s="55">
        <f t="shared" si="1"/>
        <v>0</v>
      </c>
      <c r="J33" s="55">
        <f t="shared" si="2"/>
        <v>-0.10987273855406487</v>
      </c>
      <c r="K33" s="58">
        <v>3068</v>
      </c>
      <c r="L33" s="57">
        <v>7.8988087422408624</v>
      </c>
    </row>
    <row r="34" spans="1:12" ht="15">
      <c r="A34" s="48" t="s">
        <v>21267</v>
      </c>
      <c r="B34" s="49" t="s">
        <v>14032</v>
      </c>
      <c r="C34" s="50">
        <v>389521</v>
      </c>
      <c r="D34" s="51">
        <v>2</v>
      </c>
      <c r="E34" s="52">
        <f t="shared" si="0"/>
        <v>5.1345113613900155</v>
      </c>
      <c r="F34" s="53">
        <v>208208</v>
      </c>
      <c r="G34" s="54">
        <f>F34/C34</f>
        <v>0.53452317076614608</v>
      </c>
      <c r="H34" s="51">
        <v>2</v>
      </c>
      <c r="I34" s="55">
        <f t="shared" si="1"/>
        <v>1</v>
      </c>
      <c r="J34" s="55">
        <f t="shared" si="2"/>
        <v>0.46547682923385392</v>
      </c>
      <c r="K34" s="56">
        <v>5186</v>
      </c>
      <c r="L34" s="57">
        <v>13.31378796008431</v>
      </c>
    </row>
    <row r="35" spans="1:12" ht="15">
      <c r="A35" s="48" t="s">
        <v>21268</v>
      </c>
      <c r="B35" s="49" t="s">
        <v>21269</v>
      </c>
      <c r="C35" s="50">
        <v>2027868</v>
      </c>
      <c r="D35" s="51">
        <v>10</v>
      </c>
      <c r="E35" s="52">
        <f t="shared" si="0"/>
        <v>4.9312874407998946</v>
      </c>
      <c r="F35" s="53">
        <f>I34*0.116</f>
        <v>0.11600000000000001</v>
      </c>
      <c r="G35" s="54">
        <f>F35/C35</f>
        <v>5.7202934313278773E-8</v>
      </c>
      <c r="H35" s="51">
        <v>2</v>
      </c>
      <c r="I35" s="55">
        <f t="shared" si="1"/>
        <v>0.2</v>
      </c>
      <c r="J35" s="55">
        <f t="shared" si="2"/>
        <v>0.19999994279706571</v>
      </c>
      <c r="K35" s="56">
        <v>12876</v>
      </c>
      <c r="L35" s="57">
        <v>6.3495257087739443</v>
      </c>
    </row>
    <row r="36" spans="1:12" ht="15">
      <c r="A36" s="48" t="s">
        <v>21270</v>
      </c>
      <c r="B36" s="49" t="s">
        <v>21271</v>
      </c>
      <c r="C36" s="50">
        <v>619360</v>
      </c>
      <c r="D36" s="51">
        <v>3</v>
      </c>
      <c r="E36" s="52">
        <f t="shared" si="0"/>
        <v>4.8437096357530356</v>
      </c>
      <c r="F36" s="53">
        <v>35462</v>
      </c>
      <c r="G36" s="54">
        <f>F36/C36</f>
        <v>5.7255877034358048E-2</v>
      </c>
      <c r="H36" s="51">
        <v>0</v>
      </c>
      <c r="I36" s="55">
        <f t="shared" si="1"/>
        <v>0</v>
      </c>
      <c r="J36" s="55">
        <f t="shared" si="2"/>
        <v>-5.7255877034358048E-2</v>
      </c>
      <c r="K36" s="56">
        <v>2911</v>
      </c>
      <c r="L36" s="57">
        <v>4.7000129165590279</v>
      </c>
    </row>
    <row r="37" spans="1:12" ht="15">
      <c r="A37" s="48" t="s">
        <v>21272</v>
      </c>
      <c r="B37" s="49" t="s">
        <v>21273</v>
      </c>
      <c r="C37" s="50">
        <v>622793</v>
      </c>
      <c r="D37" s="51">
        <v>3</v>
      </c>
      <c r="E37" s="52">
        <f t="shared" si="0"/>
        <v>4.8170098250943729</v>
      </c>
      <c r="F37" s="53">
        <v>392938</v>
      </c>
      <c r="G37" s="54">
        <f>F37/C37</f>
        <v>0.63092873555097762</v>
      </c>
      <c r="H37" s="51">
        <v>3</v>
      </c>
      <c r="I37" s="55">
        <f t="shared" si="1"/>
        <v>1</v>
      </c>
      <c r="J37" s="55">
        <f t="shared" si="2"/>
        <v>0.36907126444902238</v>
      </c>
      <c r="K37" s="56">
        <v>8346</v>
      </c>
      <c r="L37" s="57">
        <v>13.400921333412548</v>
      </c>
    </row>
    <row r="38" spans="1:12" ht="15">
      <c r="A38" s="48" t="s">
        <v>21274</v>
      </c>
      <c r="B38" s="49" t="s">
        <v>14032</v>
      </c>
      <c r="C38" s="50">
        <v>835957</v>
      </c>
      <c r="D38" s="51">
        <v>4</v>
      </c>
      <c r="E38" s="52">
        <f t="shared" si="0"/>
        <v>4.7849351102987354</v>
      </c>
      <c r="F38" s="53">
        <v>217694</v>
      </c>
      <c r="G38" s="54">
        <f>F38/C38</f>
        <v>0.26041291597534322</v>
      </c>
      <c r="H38" s="51">
        <v>2</v>
      </c>
      <c r="I38" s="55">
        <f t="shared" si="1"/>
        <v>0.5</v>
      </c>
      <c r="J38" s="55">
        <f t="shared" si="2"/>
        <v>0.23958708402465678</v>
      </c>
      <c r="K38" s="56">
        <v>4563</v>
      </c>
      <c r="L38" s="57">
        <v>5.4584147270732828</v>
      </c>
    </row>
    <row r="39" spans="1:12" ht="15">
      <c r="A39" s="48" t="s">
        <v>21275</v>
      </c>
      <c r="B39" s="49" t="s">
        <v>21254</v>
      </c>
      <c r="C39" s="50">
        <v>656861</v>
      </c>
      <c r="D39" s="51">
        <v>3</v>
      </c>
      <c r="E39" s="52">
        <f t="shared" si="0"/>
        <v>4.5671763127967715</v>
      </c>
      <c r="F39" s="53">
        <v>408075</v>
      </c>
      <c r="G39" s="54">
        <f>F39/C39</f>
        <v>0.62125015794818084</v>
      </c>
      <c r="H39" s="51">
        <v>2</v>
      </c>
      <c r="I39" s="55">
        <f t="shared" si="1"/>
        <v>0.66666666666666663</v>
      </c>
      <c r="J39" s="55">
        <f t="shared" si="2"/>
        <v>4.5416508718485793E-2</v>
      </c>
      <c r="K39" s="56">
        <v>11399</v>
      </c>
      <c r="L39" s="57">
        <v>17.353747596523466</v>
      </c>
    </row>
    <row r="40" spans="1:12" ht="15">
      <c r="A40" s="48" t="s">
        <v>21276</v>
      </c>
      <c r="B40" s="49" t="s">
        <v>21237</v>
      </c>
      <c r="C40" s="50">
        <v>1537058</v>
      </c>
      <c r="D40" s="51">
        <v>7</v>
      </c>
      <c r="E40" s="52">
        <f t="shared" si="0"/>
        <v>4.5541547553833368</v>
      </c>
      <c r="F40" s="53">
        <v>86788</v>
      </c>
      <c r="G40" s="54">
        <f>F40/C40</f>
        <v>5.6463711844315569E-2</v>
      </c>
      <c r="H40" s="51">
        <v>0</v>
      </c>
      <c r="I40" s="55">
        <f t="shared" si="1"/>
        <v>0</v>
      </c>
      <c r="J40" s="55">
        <f t="shared" si="2"/>
        <v>-5.6463711844315569E-2</v>
      </c>
      <c r="K40" s="56">
        <v>8749</v>
      </c>
      <c r="L40" s="57">
        <v>5.6920428506926868</v>
      </c>
    </row>
    <row r="41" spans="1:12" ht="15">
      <c r="A41" s="48" t="s">
        <v>21277</v>
      </c>
      <c r="B41" s="49" t="s">
        <v>119</v>
      </c>
      <c r="C41" s="50">
        <v>668342</v>
      </c>
      <c r="D41" s="51">
        <v>3</v>
      </c>
      <c r="E41" s="52">
        <f t="shared" si="0"/>
        <v>4.4887198470244281</v>
      </c>
      <c r="F41" s="53">
        <v>47113</v>
      </c>
      <c r="G41" s="54">
        <f>F41/C41</f>
        <v>7.0492352717620624E-2</v>
      </c>
      <c r="H41" s="51">
        <v>0</v>
      </c>
      <c r="I41" s="55">
        <f t="shared" si="1"/>
        <v>0</v>
      </c>
      <c r="J41" s="55">
        <f t="shared" si="2"/>
        <v>-7.0492352717620624E-2</v>
      </c>
      <c r="K41" s="56">
        <v>4001</v>
      </c>
      <c r="L41" s="57">
        <v>5.9864560359815782</v>
      </c>
    </row>
    <row r="42" spans="1:12" ht="15">
      <c r="A42" s="48" t="s">
        <v>21278</v>
      </c>
      <c r="B42" s="49" t="s">
        <v>21279</v>
      </c>
      <c r="C42" s="50">
        <v>450980</v>
      </c>
      <c r="D42" s="51">
        <v>2</v>
      </c>
      <c r="E42" s="52">
        <f t="shared" si="0"/>
        <v>4.4347864650317081</v>
      </c>
      <c r="F42" s="53">
        <v>83210</v>
      </c>
      <c r="G42" s="54">
        <f>F42/C42</f>
        <v>0.18450929087764426</v>
      </c>
      <c r="H42" s="51">
        <v>2</v>
      </c>
      <c r="I42" s="55">
        <f t="shared" si="1"/>
        <v>1</v>
      </c>
      <c r="J42" s="55">
        <f t="shared" si="2"/>
        <v>0.81549070912235577</v>
      </c>
      <c r="K42" s="56">
        <v>660</v>
      </c>
      <c r="L42" s="57">
        <v>1.463479533460464</v>
      </c>
    </row>
    <row r="43" spans="1:12" ht="15">
      <c r="A43" s="48" t="s">
        <v>21280</v>
      </c>
      <c r="B43" s="49" t="s">
        <v>21281</v>
      </c>
      <c r="C43" s="50">
        <v>557169</v>
      </c>
      <c r="D43" s="51">
        <v>2</v>
      </c>
      <c r="E43" s="52">
        <f t="shared" si="0"/>
        <v>3.5895751558324314</v>
      </c>
      <c r="F43" s="53">
        <v>14878</v>
      </c>
      <c r="G43" s="54">
        <f>F43/C43</f>
        <v>2.6702849584237458E-2</v>
      </c>
      <c r="H43" s="51">
        <v>0</v>
      </c>
      <c r="I43" s="55">
        <f t="shared" si="1"/>
        <v>0</v>
      </c>
      <c r="J43" s="55">
        <f t="shared" si="2"/>
        <v>-2.6702849584237458E-2</v>
      </c>
      <c r="K43" s="56">
        <v>4934</v>
      </c>
      <c r="L43" s="57">
        <v>8.8554819094386072</v>
      </c>
    </row>
    <row r="44" spans="1:12" ht="15">
      <c r="A44" s="48" t="s">
        <v>21282</v>
      </c>
      <c r="B44" s="49" t="s">
        <v>21241</v>
      </c>
      <c r="C44" s="50">
        <v>1436697</v>
      </c>
      <c r="D44" s="51">
        <v>5</v>
      </c>
      <c r="E44" s="52">
        <f t="shared" si="0"/>
        <v>3.4802049423086427</v>
      </c>
      <c r="F44" s="53">
        <v>83365</v>
      </c>
      <c r="G44" s="54">
        <f>F44/C44</f>
        <v>5.8025457003111999E-2</v>
      </c>
      <c r="H44" s="51">
        <v>1</v>
      </c>
      <c r="I44" s="55">
        <f t="shared" si="1"/>
        <v>0.2</v>
      </c>
      <c r="J44" s="55">
        <f t="shared" si="2"/>
        <v>0.141974542996888</v>
      </c>
      <c r="K44" s="56">
        <v>7704</v>
      </c>
      <c r="L44" s="57">
        <v>5.3622997751091566</v>
      </c>
    </row>
    <row r="45" spans="1:12" ht="15">
      <c r="A45" s="48" t="s">
        <v>21283</v>
      </c>
      <c r="B45" s="49" t="s">
        <v>21284</v>
      </c>
      <c r="C45" s="50">
        <v>612780</v>
      </c>
      <c r="D45" s="51">
        <v>2</v>
      </c>
      <c r="E45" s="52">
        <f t="shared" si="0"/>
        <v>3.2638140931492541</v>
      </c>
      <c r="F45" s="53">
        <v>135138</v>
      </c>
      <c r="G45" s="54">
        <f>F45/C45</f>
        <v>0.22053265446000195</v>
      </c>
      <c r="H45" s="51">
        <v>1</v>
      </c>
      <c r="I45" s="55">
        <f t="shared" si="1"/>
        <v>0.5</v>
      </c>
      <c r="J45" s="55">
        <f t="shared" si="2"/>
        <v>0.27946734553999808</v>
      </c>
      <c r="K45" s="56">
        <v>4005</v>
      </c>
      <c r="L45" s="57">
        <v>6.5357877215313822</v>
      </c>
    </row>
    <row r="46" spans="1:12" ht="15">
      <c r="A46" s="48" t="s">
        <v>21285</v>
      </c>
      <c r="B46" s="49" t="s">
        <v>21286</v>
      </c>
      <c r="C46" s="50">
        <v>655884</v>
      </c>
      <c r="D46" s="51">
        <v>2</v>
      </c>
      <c r="E46" s="52">
        <f t="shared" si="0"/>
        <v>3.0493196967756493</v>
      </c>
      <c r="F46" s="53">
        <v>138073</v>
      </c>
      <c r="G46" s="54">
        <f>F46/C46</f>
        <v>0.21051435924645212</v>
      </c>
      <c r="H46" s="51">
        <v>2</v>
      </c>
      <c r="I46" s="55">
        <f t="shared" si="1"/>
        <v>1</v>
      </c>
      <c r="J46" s="55">
        <f t="shared" si="2"/>
        <v>0.78948564075354788</v>
      </c>
      <c r="K46" s="56">
        <v>4749</v>
      </c>
      <c r="L46" s="57">
        <v>7.2406096199937799</v>
      </c>
    </row>
    <row r="47" spans="1:12" ht="15">
      <c r="A47" s="48" t="s">
        <v>21287</v>
      </c>
      <c r="B47" s="49" t="s">
        <v>3709</v>
      </c>
      <c r="C47" s="50">
        <v>658893</v>
      </c>
      <c r="D47" s="51">
        <v>2</v>
      </c>
      <c r="E47" s="52">
        <f t="shared" si="0"/>
        <v>3.035394214235088</v>
      </c>
      <c r="F47" s="53">
        <v>301053</v>
      </c>
      <c r="G47" s="54">
        <f>F47/C47</f>
        <v>0.456907267189058</v>
      </c>
      <c r="H47" s="51">
        <v>2</v>
      </c>
      <c r="I47" s="55">
        <f t="shared" si="1"/>
        <v>1</v>
      </c>
      <c r="J47" s="55">
        <f t="shared" si="2"/>
        <v>0.54309273281094206</v>
      </c>
      <c r="K47" s="56">
        <v>7810</v>
      </c>
      <c r="L47" s="57">
        <v>11.85321440658802</v>
      </c>
    </row>
    <row r="48" spans="1:12" ht="15">
      <c r="A48" s="48" t="s">
        <v>21288</v>
      </c>
      <c r="B48" s="49" t="s">
        <v>21289</v>
      </c>
      <c r="C48" s="50">
        <v>2722389</v>
      </c>
      <c r="D48" s="51">
        <v>8</v>
      </c>
      <c r="E48" s="52">
        <f t="shared" si="0"/>
        <v>2.9385954762526589</v>
      </c>
      <c r="F48" s="53">
        <v>872286</v>
      </c>
      <c r="G48" s="54">
        <f>F48/C48</f>
        <v>0.32041196169981584</v>
      </c>
      <c r="H48" s="51">
        <v>5</v>
      </c>
      <c r="I48" s="55">
        <f t="shared" si="1"/>
        <v>0.625</v>
      </c>
      <c r="J48" s="55">
        <f t="shared" si="2"/>
        <v>0.30458803830018416</v>
      </c>
      <c r="K48" s="56">
        <v>24089</v>
      </c>
      <c r="L48" s="57">
        <v>8.8484783034312873</v>
      </c>
    </row>
    <row r="49" spans="1:12" ht="15">
      <c r="A49" s="48" t="s">
        <v>21290</v>
      </c>
      <c r="B49" s="49" t="s">
        <v>3992</v>
      </c>
      <c r="C49" s="50">
        <v>350399</v>
      </c>
      <c r="D49" s="51">
        <v>1</v>
      </c>
      <c r="E49" s="52">
        <f t="shared" si="0"/>
        <v>2.8538894232004086</v>
      </c>
      <c r="F49" s="53">
        <v>4642</v>
      </c>
      <c r="G49" s="54">
        <f>F49/C49</f>
        <v>1.3247754702496298E-2</v>
      </c>
      <c r="H49" s="51">
        <v>0</v>
      </c>
      <c r="I49" s="55">
        <f t="shared" si="1"/>
        <v>0</v>
      </c>
      <c r="J49" s="55">
        <f t="shared" si="2"/>
        <v>-1.3247754702496298E-2</v>
      </c>
      <c r="K49" s="58">
        <v>1025</v>
      </c>
      <c r="L49" s="57">
        <v>2.9252366587804191</v>
      </c>
    </row>
    <row r="50" spans="1:12" ht="15">
      <c r="A50" s="48" t="s">
        <v>21291</v>
      </c>
      <c r="B50" s="49" t="s">
        <v>1105</v>
      </c>
      <c r="C50" s="50">
        <v>399682</v>
      </c>
      <c r="D50" s="51">
        <v>1</v>
      </c>
      <c r="E50" s="52">
        <f t="shared" si="0"/>
        <v>2.5019890813196493</v>
      </c>
      <c r="F50" s="53">
        <v>61230</v>
      </c>
      <c r="G50" s="54">
        <f>F50/C50</f>
        <v>0.15319679144920212</v>
      </c>
      <c r="H50" s="51">
        <v>0</v>
      </c>
      <c r="I50" s="55">
        <f t="shared" si="1"/>
        <v>0</v>
      </c>
      <c r="J50" s="55">
        <f t="shared" si="2"/>
        <v>-0.15319679144920212</v>
      </c>
      <c r="K50" s="56">
        <v>3217</v>
      </c>
      <c r="L50" s="57">
        <v>8.0488988746053103</v>
      </c>
    </row>
    <row r="51" spans="1:12" ht="15">
      <c r="A51" s="48" t="s">
        <v>21292</v>
      </c>
      <c r="B51" s="49" t="s">
        <v>21293</v>
      </c>
      <c r="C51" s="50">
        <v>407207</v>
      </c>
      <c r="D51" s="51">
        <v>1</v>
      </c>
      <c r="E51" s="52">
        <f t="shared" si="0"/>
        <v>2.4557534619984431</v>
      </c>
      <c r="F51" s="53">
        <v>69971</v>
      </c>
      <c r="G51" s="54">
        <f>F51/C51</f>
        <v>0.17183152548949307</v>
      </c>
      <c r="H51" s="51">
        <v>1</v>
      </c>
      <c r="I51" s="55">
        <f t="shared" si="1"/>
        <v>1</v>
      </c>
      <c r="J51" s="55">
        <f t="shared" si="2"/>
        <v>0.8281684745105069</v>
      </c>
      <c r="K51" s="56">
        <v>4093</v>
      </c>
      <c r="L51" s="57">
        <v>10.051398919959627</v>
      </c>
    </row>
    <row r="52" spans="1:12" ht="15">
      <c r="A52" s="48" t="s">
        <v>21294</v>
      </c>
      <c r="B52" s="49" t="s">
        <v>21295</v>
      </c>
      <c r="C52" s="50">
        <v>439896</v>
      </c>
      <c r="D52" s="51">
        <v>1</v>
      </c>
      <c r="E52" s="52">
        <f t="shared" si="0"/>
        <v>2.2732645898121375</v>
      </c>
      <c r="F52" s="53">
        <v>115976</v>
      </c>
      <c r="G52" s="54">
        <f>F52/C52</f>
        <v>0.26364413406805243</v>
      </c>
      <c r="H52" s="51">
        <v>1</v>
      </c>
      <c r="I52" s="55">
        <f t="shared" si="1"/>
        <v>1</v>
      </c>
      <c r="J52" s="55">
        <f t="shared" si="2"/>
        <v>0.73635586593194757</v>
      </c>
      <c r="K52" s="58">
        <v>1842</v>
      </c>
      <c r="L52" s="57">
        <v>4.1873533744339575</v>
      </c>
    </row>
    <row r="53" spans="1:12" ht="15">
      <c r="A53" s="48" t="s">
        <v>21296</v>
      </c>
      <c r="B53" s="49" t="s">
        <v>21239</v>
      </c>
      <c r="C53" s="50">
        <v>445830</v>
      </c>
      <c r="D53" s="51">
        <v>1</v>
      </c>
      <c r="E53" s="52">
        <f t="shared" si="0"/>
        <v>2.2430074243545746</v>
      </c>
      <c r="F53" s="53">
        <v>24391</v>
      </c>
      <c r="G53" s="54">
        <f>F53/C53</f>
        <v>5.4709194087432432E-2</v>
      </c>
      <c r="H53" s="51">
        <v>0</v>
      </c>
      <c r="I53" s="55">
        <f t="shared" si="1"/>
        <v>0</v>
      </c>
      <c r="J53" s="55">
        <f t="shared" si="2"/>
        <v>-5.4709194087432432E-2</v>
      </c>
      <c r="K53" s="56">
        <v>2039</v>
      </c>
      <c r="L53" s="57">
        <v>4.5734921382589775</v>
      </c>
    </row>
    <row r="54" spans="1:12" ht="15">
      <c r="A54" s="48" t="s">
        <v>21297</v>
      </c>
      <c r="B54" s="49" t="s">
        <v>21225</v>
      </c>
      <c r="C54" s="50">
        <v>485199</v>
      </c>
      <c r="D54" s="51">
        <v>1</v>
      </c>
      <c r="E54" s="52">
        <f t="shared" si="0"/>
        <v>2.0610100185697005</v>
      </c>
      <c r="F54" s="53">
        <v>64967</v>
      </c>
      <c r="G54" s="54">
        <f>F54/C54</f>
        <v>0.13389763787641773</v>
      </c>
      <c r="H54" s="51">
        <v>0</v>
      </c>
      <c r="I54" s="55">
        <f t="shared" si="1"/>
        <v>0</v>
      </c>
      <c r="J54" s="55">
        <f t="shared" si="2"/>
        <v>-0.13389763787641773</v>
      </c>
      <c r="K54" s="56">
        <v>2968</v>
      </c>
      <c r="L54" s="57">
        <v>6.1170777351148704</v>
      </c>
    </row>
    <row r="55" spans="1:12" ht="15">
      <c r="A55" s="48" t="s">
        <v>21298</v>
      </c>
      <c r="B55" s="49" t="s">
        <v>21299</v>
      </c>
      <c r="C55" s="50">
        <v>599642</v>
      </c>
      <c r="D55" s="51">
        <v>1</v>
      </c>
      <c r="E55" s="52">
        <f t="shared" si="0"/>
        <v>1.6676617048172075</v>
      </c>
      <c r="F55" s="53">
        <v>233325</v>
      </c>
      <c r="G55" s="54">
        <f>F55/C55</f>
        <v>0.38910716727647499</v>
      </c>
      <c r="H55" s="51">
        <v>1</v>
      </c>
      <c r="I55" s="55">
        <f t="shared" si="1"/>
        <v>1</v>
      </c>
      <c r="J55" s="55">
        <f t="shared" si="2"/>
        <v>0.61089283272352501</v>
      </c>
      <c r="K55" s="56">
        <v>8864</v>
      </c>
      <c r="L55" s="57">
        <v>14.782153351499728</v>
      </c>
    </row>
    <row r="56" spans="1:12" ht="15">
      <c r="A56" s="48" t="s">
        <v>21300</v>
      </c>
      <c r="B56" s="49" t="s">
        <v>21239</v>
      </c>
      <c r="C56" s="50">
        <v>663862</v>
      </c>
      <c r="D56" s="51">
        <v>1</v>
      </c>
      <c r="E56" s="52">
        <f t="shared" si="0"/>
        <v>1.5063371604339455</v>
      </c>
      <c r="F56" s="53">
        <v>58388</v>
      </c>
      <c r="G56" s="54">
        <f>F56/C56</f>
        <v>8.7952014123417216E-2</v>
      </c>
      <c r="H56" s="51">
        <v>0</v>
      </c>
      <c r="I56" s="55">
        <f t="shared" si="1"/>
        <v>0</v>
      </c>
      <c r="J56" s="55">
        <f t="shared" si="2"/>
        <v>-8.7952014123417216E-2</v>
      </c>
      <c r="K56" s="56">
        <v>3983</v>
      </c>
      <c r="L56" s="57">
        <v>5.9997409100084056</v>
      </c>
    </row>
    <row r="57" spans="1:12" ht="15">
      <c r="A57" s="48" t="s">
        <v>21301</v>
      </c>
      <c r="B57" s="49" t="s">
        <v>21302</v>
      </c>
      <c r="C57" s="50">
        <v>680250</v>
      </c>
      <c r="D57" s="51">
        <v>1</v>
      </c>
      <c r="E57" s="52">
        <f t="shared" si="0"/>
        <v>1.470047776552738</v>
      </c>
      <c r="F57" s="53">
        <v>586573</v>
      </c>
      <c r="G57" s="54">
        <f>F57/C57</f>
        <v>0.86229033443586922</v>
      </c>
      <c r="H57" s="51">
        <v>1</v>
      </c>
      <c r="I57" s="55">
        <f t="shared" si="1"/>
        <v>1</v>
      </c>
      <c r="J57" s="55">
        <f t="shared" si="2"/>
        <v>0.13770966556413078</v>
      </c>
      <c r="K57" s="56">
        <v>13616</v>
      </c>
      <c r="L57" s="57">
        <v>20.01617052554208</v>
      </c>
    </row>
    <row r="58" spans="1:12" ht="15">
      <c r="A58" s="48" t="s">
        <v>21303</v>
      </c>
      <c r="B58" s="49" t="s">
        <v>762</v>
      </c>
      <c r="C58" s="50">
        <v>8491079</v>
      </c>
      <c r="D58" s="51">
        <v>11</v>
      </c>
      <c r="E58" s="52">
        <f t="shared" si="0"/>
        <v>1.2954772885754566</v>
      </c>
      <c r="F58" s="53">
        <v>1861295</v>
      </c>
      <c r="G58" s="54">
        <f>F58/C58</f>
        <v>0.21920594543991406</v>
      </c>
      <c r="H58" s="51">
        <v>7</v>
      </c>
      <c r="I58" s="55">
        <f t="shared" si="1"/>
        <v>0.63636363636363635</v>
      </c>
      <c r="J58" s="55">
        <f t="shared" si="2"/>
        <v>0.41715769092372229</v>
      </c>
      <c r="K58" s="56">
        <v>50564</v>
      </c>
      <c r="L58" s="57">
        <v>5.9549557835935811</v>
      </c>
    </row>
    <row r="59" spans="1:12" ht="15">
      <c r="A59" s="48" t="s">
        <v>21304</v>
      </c>
      <c r="B59" s="49" t="s">
        <v>21305</v>
      </c>
      <c r="C59" s="50">
        <v>1560297</v>
      </c>
      <c r="D59" s="51">
        <v>2</v>
      </c>
      <c r="E59" s="52">
        <f t="shared" si="0"/>
        <v>1.2818072456718177</v>
      </c>
      <c r="F59" s="53">
        <v>644287</v>
      </c>
      <c r="G59" s="54">
        <f>F59/C59</f>
        <v>0.4129258724460792</v>
      </c>
      <c r="H59" s="51">
        <v>2</v>
      </c>
      <c r="I59" s="55">
        <f t="shared" si="1"/>
        <v>1</v>
      </c>
      <c r="J59" s="55">
        <f t="shared" si="2"/>
        <v>0.58707412755392085</v>
      </c>
      <c r="K59" s="56">
        <v>15925</v>
      </c>
      <c r="L59" s="57">
        <v>10.206390193661848</v>
      </c>
    </row>
    <row r="60" spans="1:12" ht="15">
      <c r="A60" s="48" t="s">
        <v>21306</v>
      </c>
      <c r="B60" s="49" t="s">
        <v>21295</v>
      </c>
      <c r="C60" s="50">
        <v>809958</v>
      </c>
      <c r="D60" s="51">
        <v>1</v>
      </c>
      <c r="E60" s="52">
        <f t="shared" si="0"/>
        <v>1.2346319191859332</v>
      </c>
      <c r="F60" s="53">
        <v>252007</v>
      </c>
      <c r="G60" s="54">
        <f>F60/C60</f>
        <v>0.31113588605828946</v>
      </c>
      <c r="H60" s="51">
        <v>1</v>
      </c>
      <c r="I60" s="55">
        <f t="shared" si="1"/>
        <v>1</v>
      </c>
      <c r="J60" s="55">
        <f t="shared" si="2"/>
        <v>0.68886411394171054</v>
      </c>
      <c r="K60" s="56">
        <v>5054</v>
      </c>
      <c r="L60" s="57">
        <v>6.239829719565706</v>
      </c>
    </row>
    <row r="61" spans="1:12" ht="15">
      <c r="A61" s="48" t="s">
        <v>21307</v>
      </c>
      <c r="B61" s="49" t="s">
        <v>21225</v>
      </c>
      <c r="C61" s="50">
        <v>319504</v>
      </c>
      <c r="D61" s="51">
        <v>0</v>
      </c>
      <c r="E61" s="52">
        <f t="shared" si="0"/>
        <v>0</v>
      </c>
      <c r="F61" s="53">
        <v>19917</v>
      </c>
      <c r="G61" s="54">
        <f>F61/C61</f>
        <v>6.2337247733987682E-2</v>
      </c>
      <c r="H61" s="51">
        <v>0</v>
      </c>
      <c r="I61" s="55">
        <v>0</v>
      </c>
      <c r="J61" s="55">
        <f t="shared" si="2"/>
        <v>-6.2337247733987682E-2</v>
      </c>
      <c r="K61" s="56">
        <v>1384</v>
      </c>
      <c r="L61" s="57">
        <v>4.3317141569432618</v>
      </c>
    </row>
    <row r="62" spans="1:12" ht="15">
      <c r="A62" s="48" t="s">
        <v>21308</v>
      </c>
      <c r="B62" s="51"/>
      <c r="C62" s="50">
        <v>53931009</v>
      </c>
      <c r="D62" s="51">
        <v>249</v>
      </c>
      <c r="E62" s="52">
        <f t="shared" si="0"/>
        <v>4.6170098542009477</v>
      </c>
      <c r="F62" s="53">
        <f>SUM(F30:F61)</f>
        <v>7788497.1160000004</v>
      </c>
      <c r="G62" s="54">
        <f>F62/C62</f>
        <v>0.14441593547786211</v>
      </c>
      <c r="H62" s="51">
        <v>102</v>
      </c>
      <c r="I62" s="55">
        <f>H62/D62</f>
        <v>0.40963855421686746</v>
      </c>
      <c r="J62" s="55">
        <f t="shared" si="2"/>
        <v>0.26522261873900532</v>
      </c>
      <c r="L62" s="56"/>
    </row>
    <row r="63" spans="1:12" ht="15">
      <c r="A63" s="48" t="s">
        <v>21309</v>
      </c>
      <c r="B63" s="49"/>
      <c r="C63" s="50">
        <v>318900000</v>
      </c>
      <c r="D63" s="51">
        <v>1152</v>
      </c>
      <c r="E63" s="52">
        <f t="shared" si="0"/>
        <v>3.6124176857949202</v>
      </c>
      <c r="F63" s="50">
        <v>42094800</v>
      </c>
      <c r="G63" s="54">
        <f>F63/C63</f>
        <v>0.13200000000000001</v>
      </c>
      <c r="H63" s="51">
        <v>321</v>
      </c>
      <c r="I63" s="55">
        <f>H63/D63</f>
        <v>0.27864583333333331</v>
      </c>
      <c r="J63" s="55">
        <f t="shared" si="2"/>
        <v>0.14664583333333331</v>
      </c>
      <c r="L63" s="56">
        <v>3.66</v>
      </c>
    </row>
    <row r="64" spans="1:12" ht="15">
      <c r="K64" s="56" t="s">
        <v>21310</v>
      </c>
    </row>
  </sheetData>
  <conditionalFormatting sqref="J2:J1048576">
    <cfRule type="cellIs" dxfId="1" priority="1" operator="greaterThan">
      <formula>0</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2013-2015 Police Killings</vt:lpstr>
      <vt:lpstr>2015 Police Violence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SINYANGWE</cp:lastModifiedBy>
  <dcterms:created xsi:type="dcterms:W3CDTF">2015-11-04T15:56:20Z</dcterms:created>
  <dcterms:modified xsi:type="dcterms:W3CDTF">2015-12-21T15:39:43Z</dcterms:modified>
</cp:coreProperties>
</file>