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ocumentos\INFORME AFOROS\INFORMACIÓN PAGINA WEB1\"/>
    </mc:Choice>
  </mc:AlternateContent>
  <bookViews>
    <workbookView xWindow="0" yWindow="0" windowWidth="24000" windowHeight="9630" firstSheet="3" activeTab="6"/>
  </bookViews>
  <sheets>
    <sheet name="Planta y sección típica" sheetId="1" r:id="rId1"/>
    <sheet name="Aforo 1" sheetId="35" r:id="rId2"/>
    <sheet name="Aforo 2" sheetId="36" r:id="rId3"/>
    <sheet name="Aforo 3" sheetId="37" r:id="rId4"/>
    <sheet name="Aforo 4" sheetId="38" r:id="rId5"/>
    <sheet name="Aforo 5" sheetId="39" r:id="rId6"/>
    <sheet name=" Aforo 6" sheetId="40" r:id="rId7"/>
  </sheets>
  <definedNames>
    <definedName name="_xlnm.Print_Area" localSheetId="6">' Aforo 6'!$B$1:$P$86</definedName>
    <definedName name="_xlnm.Print_Area" localSheetId="1">'Aforo 1'!$B$1:$P$62</definedName>
    <definedName name="_xlnm.Print_Area" localSheetId="2">'Aforo 2'!$B$1:$P$89</definedName>
    <definedName name="_xlnm.Print_Area" localSheetId="3">'Aforo 3'!$B$1:$P$83</definedName>
    <definedName name="_xlnm.Print_Area" localSheetId="4">'Aforo 4'!$B$1:$P$80</definedName>
    <definedName name="_xlnm.Print_Area" localSheetId="5">'Aforo 5'!$B$1:$P$86</definedName>
    <definedName name="_xlnm.Print_Titles" localSheetId="6">' Aforo 6'!$1:$15</definedName>
    <definedName name="_xlnm.Print_Titles" localSheetId="1">'Aforo 1'!$1:$15</definedName>
    <definedName name="_xlnm.Print_Titles" localSheetId="2">'Aforo 2'!$1:$15</definedName>
    <definedName name="_xlnm.Print_Titles" localSheetId="3">'Aforo 3'!$1:$15</definedName>
    <definedName name="_xlnm.Print_Titles" localSheetId="4">'Aforo 4'!$1:$15</definedName>
    <definedName name="_xlnm.Print_Titles" localSheetId="5">'Aforo 5'!$1:$15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7" i="40" l="1"/>
  <c r="D66" i="40"/>
  <c r="K61" i="40"/>
  <c r="E61" i="40"/>
  <c r="G70" i="40" s="1"/>
  <c r="B61" i="40"/>
  <c r="G60" i="40"/>
  <c r="G59" i="40"/>
  <c r="K58" i="40"/>
  <c r="G58" i="40"/>
  <c r="D58" i="40"/>
  <c r="G57" i="40"/>
  <c r="G56" i="40"/>
  <c r="K55" i="40"/>
  <c r="G55" i="40"/>
  <c r="D55" i="40"/>
  <c r="G54" i="40"/>
  <c r="G53" i="40"/>
  <c r="K52" i="40"/>
  <c r="G52" i="40"/>
  <c r="D52" i="40"/>
  <c r="G51" i="40"/>
  <c r="G50" i="40"/>
  <c r="K49" i="40"/>
  <c r="G49" i="40"/>
  <c r="D49" i="40"/>
  <c r="G48" i="40"/>
  <c r="G47" i="40"/>
  <c r="K46" i="40"/>
  <c r="G46" i="40"/>
  <c r="D46" i="40"/>
  <c r="G45" i="40"/>
  <c r="G44" i="40"/>
  <c r="G43" i="40"/>
  <c r="D43" i="40"/>
  <c r="D61" i="40" s="1"/>
  <c r="G42" i="40"/>
  <c r="G41" i="40"/>
  <c r="K40" i="40"/>
  <c r="G40" i="40"/>
  <c r="D40" i="40"/>
  <c r="G39" i="40"/>
  <c r="G38" i="40"/>
  <c r="K37" i="40"/>
  <c r="G37" i="40"/>
  <c r="D37" i="40"/>
  <c r="G36" i="40"/>
  <c r="G35" i="40"/>
  <c r="K34" i="40"/>
  <c r="G34" i="40"/>
  <c r="D34" i="40"/>
  <c r="G33" i="40"/>
  <c r="G32" i="40"/>
  <c r="K31" i="40"/>
  <c r="G31" i="40"/>
  <c r="D31" i="40"/>
  <c r="G30" i="40"/>
  <c r="G29" i="40"/>
  <c r="K28" i="40"/>
  <c r="G28" i="40"/>
  <c r="D28" i="40"/>
  <c r="G27" i="40"/>
  <c r="G26" i="40"/>
  <c r="K25" i="40"/>
  <c r="G25" i="40"/>
  <c r="D25" i="40"/>
  <c r="G24" i="40"/>
  <c r="G23" i="40"/>
  <c r="K22" i="40"/>
  <c r="G22" i="40"/>
  <c r="D22" i="40"/>
  <c r="G21" i="40"/>
  <c r="G20" i="40"/>
  <c r="K19" i="40"/>
  <c r="G19" i="40"/>
  <c r="D19" i="40"/>
  <c r="G18" i="40"/>
  <c r="G17" i="40"/>
  <c r="K16" i="40"/>
  <c r="G16" i="40"/>
  <c r="C16" i="40"/>
  <c r="C18" i="40" s="1"/>
  <c r="L16" i="40" l="1"/>
  <c r="C19" i="40"/>
  <c r="C21" i="40" s="1"/>
  <c r="G68" i="40"/>
  <c r="G65" i="40"/>
  <c r="G62" i="40"/>
  <c r="G63" i="40"/>
  <c r="G69" i="40"/>
  <c r="G64" i="40"/>
  <c r="G66" i="40"/>
  <c r="C22" i="40" l="1"/>
  <c r="C24" i="40" s="1"/>
  <c r="L19" i="40"/>
  <c r="M19" i="40" s="1"/>
  <c r="M16" i="40"/>
  <c r="C25" i="40" l="1"/>
  <c r="C27" i="40" s="1"/>
  <c r="L22" i="40"/>
  <c r="M22" i="40" s="1"/>
  <c r="C28" i="40" l="1"/>
  <c r="C30" i="40" s="1"/>
  <c r="L25" i="40"/>
  <c r="M25" i="40" l="1"/>
  <c r="C31" i="40"/>
  <c r="C33" i="40" s="1"/>
  <c r="L28" i="40"/>
  <c r="M28" i="40" s="1"/>
  <c r="C34" i="40" l="1"/>
  <c r="C36" i="40" s="1"/>
  <c r="L31" i="40"/>
  <c r="M31" i="40" s="1"/>
  <c r="C37" i="40" l="1"/>
  <c r="C39" i="40" s="1"/>
  <c r="L34" i="40"/>
  <c r="M34" i="40" s="1"/>
  <c r="C40" i="40" l="1"/>
  <c r="C42" i="40" s="1"/>
  <c r="L37" i="40"/>
  <c r="M37" i="40" s="1"/>
  <c r="C43" i="40" l="1"/>
  <c r="L40" i="40"/>
  <c r="M40" i="40" s="1"/>
  <c r="C61" i="40" l="1"/>
  <c r="C45" i="40"/>
  <c r="C46" i="40" l="1"/>
  <c r="C48" i="40" s="1"/>
  <c r="C66" i="40"/>
  <c r="L61" i="40" s="1"/>
  <c r="M61" i="40" l="1"/>
  <c r="C49" i="40"/>
  <c r="C51" i="40" s="1"/>
  <c r="L46" i="40"/>
  <c r="M46" i="40" s="1"/>
  <c r="C52" i="40" l="1"/>
  <c r="C54" i="40" s="1"/>
  <c r="L49" i="40"/>
  <c r="M49" i="40" s="1"/>
  <c r="C55" i="40" l="1"/>
  <c r="C57" i="40" s="1"/>
  <c r="L52" i="40"/>
  <c r="M52" i="40" s="1"/>
  <c r="C58" i="40" l="1"/>
  <c r="C60" i="40" s="1"/>
  <c r="L58" i="40" s="1"/>
  <c r="M58" i="40" s="1"/>
  <c r="L55" i="40"/>
  <c r="M55" i="40" s="1"/>
  <c r="M71" i="40" s="1"/>
  <c r="N19" i="40" l="1"/>
  <c r="N16" i="40"/>
  <c r="N22" i="40"/>
  <c r="N28" i="40"/>
  <c r="N25" i="40"/>
  <c r="N31" i="40"/>
  <c r="N34" i="40"/>
  <c r="N37" i="40"/>
  <c r="N40" i="40"/>
  <c r="N61" i="40"/>
  <c r="N46" i="40"/>
  <c r="N49" i="40"/>
  <c r="N52" i="40"/>
  <c r="N55" i="40"/>
  <c r="N58" i="40"/>
  <c r="L71" i="40"/>
  <c r="K71" i="40" s="1"/>
  <c r="N71" i="40" l="1"/>
  <c r="D66" i="39" l="1"/>
  <c r="G65" i="39"/>
  <c r="K61" i="39"/>
  <c r="E61" i="39"/>
  <c r="G70" i="39" s="1"/>
  <c r="B61" i="39"/>
  <c r="G60" i="39"/>
  <c r="G59" i="39"/>
  <c r="K58" i="39"/>
  <c r="G58" i="39"/>
  <c r="D58" i="39"/>
  <c r="G57" i="39"/>
  <c r="G56" i="39"/>
  <c r="K55" i="39"/>
  <c r="G55" i="39"/>
  <c r="D55" i="39"/>
  <c r="G54" i="39"/>
  <c r="G53" i="39"/>
  <c r="K52" i="39"/>
  <c r="G52" i="39"/>
  <c r="D52" i="39"/>
  <c r="G51" i="39"/>
  <c r="G50" i="39"/>
  <c r="K49" i="39"/>
  <c r="G49" i="39"/>
  <c r="D49" i="39"/>
  <c r="G48" i="39"/>
  <c r="G47" i="39"/>
  <c r="K46" i="39"/>
  <c r="G46" i="39"/>
  <c r="D46" i="39"/>
  <c r="G45" i="39"/>
  <c r="G44" i="39"/>
  <c r="K43" i="39"/>
  <c r="G43" i="39"/>
  <c r="D43" i="39"/>
  <c r="G42" i="39"/>
  <c r="G41" i="39"/>
  <c r="G40" i="39"/>
  <c r="D40" i="39"/>
  <c r="D61" i="39" s="1"/>
  <c r="G39" i="39"/>
  <c r="G38" i="39"/>
  <c r="K37" i="39"/>
  <c r="G37" i="39"/>
  <c r="D37" i="39"/>
  <c r="G36" i="39"/>
  <c r="G35" i="39"/>
  <c r="K34" i="39"/>
  <c r="G34" i="39"/>
  <c r="D34" i="39"/>
  <c r="G33" i="39"/>
  <c r="G32" i="39"/>
  <c r="K31" i="39"/>
  <c r="G31" i="39"/>
  <c r="D31" i="39"/>
  <c r="G30" i="39"/>
  <c r="G29" i="39"/>
  <c r="K28" i="39"/>
  <c r="G28" i="39"/>
  <c r="D28" i="39"/>
  <c r="G27" i="39"/>
  <c r="G26" i="39"/>
  <c r="K25" i="39"/>
  <c r="G25" i="39"/>
  <c r="D25" i="39"/>
  <c r="G24" i="39"/>
  <c r="G23" i="39"/>
  <c r="K22" i="39"/>
  <c r="G22" i="39"/>
  <c r="D22" i="39"/>
  <c r="G21" i="39"/>
  <c r="G20" i="39"/>
  <c r="K19" i="39"/>
  <c r="G19" i="39"/>
  <c r="D19" i="39"/>
  <c r="G18" i="39"/>
  <c r="G17" i="39"/>
  <c r="K16" i="39"/>
  <c r="G16" i="39"/>
  <c r="C16" i="39"/>
  <c r="C18" i="39" s="1"/>
  <c r="L16" i="39" l="1"/>
  <c r="C19" i="39"/>
  <c r="C21" i="39" s="1"/>
  <c r="G62" i="39"/>
  <c r="G63" i="39"/>
  <c r="G69" i="39"/>
  <c r="G67" i="39"/>
  <c r="G68" i="39"/>
  <c r="G64" i="39"/>
  <c r="G66" i="39"/>
  <c r="M16" i="39" l="1"/>
  <c r="C22" i="39"/>
  <c r="C24" i="39" s="1"/>
  <c r="L19" i="39"/>
  <c r="M19" i="39" s="1"/>
  <c r="C25" i="39" l="1"/>
  <c r="C27" i="39" s="1"/>
  <c r="L22" i="39"/>
  <c r="M22" i="39" s="1"/>
  <c r="C28" i="39" l="1"/>
  <c r="C30" i="39" s="1"/>
  <c r="L25" i="39"/>
  <c r="M25" i="39" l="1"/>
  <c r="C31" i="39"/>
  <c r="C33" i="39" s="1"/>
  <c r="L28" i="39"/>
  <c r="M28" i="39" s="1"/>
  <c r="C34" i="39" l="1"/>
  <c r="C36" i="39" s="1"/>
  <c r="L31" i="39"/>
  <c r="M31" i="39" s="1"/>
  <c r="C37" i="39" l="1"/>
  <c r="C39" i="39" s="1"/>
  <c r="L34" i="39"/>
  <c r="M34" i="39" l="1"/>
  <c r="C40" i="39"/>
  <c r="L37" i="39"/>
  <c r="M37" i="39" s="1"/>
  <c r="C42" i="39" l="1"/>
  <c r="C61" i="39"/>
  <c r="C66" i="39" l="1"/>
  <c r="L61" i="39" s="1"/>
  <c r="C43" i="39"/>
  <c r="C45" i="39" s="1"/>
  <c r="C46" i="39" l="1"/>
  <c r="C48" i="39" s="1"/>
  <c r="L43" i="39"/>
  <c r="M43" i="39" s="1"/>
  <c r="M61" i="39"/>
  <c r="C49" i="39" l="1"/>
  <c r="C51" i="39" s="1"/>
  <c r="L46" i="39"/>
  <c r="C52" i="39" l="1"/>
  <c r="C54" i="39" s="1"/>
  <c r="L49" i="39"/>
  <c r="M49" i="39" s="1"/>
  <c r="M46" i="39"/>
  <c r="C55" i="39" l="1"/>
  <c r="C57" i="39" s="1"/>
  <c r="L52" i="39"/>
  <c r="C58" i="39" l="1"/>
  <c r="C60" i="39" s="1"/>
  <c r="L58" i="39" s="1"/>
  <c r="M58" i="39" s="1"/>
  <c r="L55" i="39"/>
  <c r="M55" i="39" s="1"/>
  <c r="M52" i="39"/>
  <c r="L71" i="39"/>
  <c r="M71" i="39" l="1"/>
  <c r="N58" i="39"/>
  <c r="K71" i="39" l="1"/>
  <c r="N19" i="39"/>
  <c r="N16" i="39"/>
  <c r="N22" i="39"/>
  <c r="N28" i="39"/>
  <c r="N25" i="39"/>
  <c r="N31" i="39"/>
  <c r="N37" i="39"/>
  <c r="N34" i="39"/>
  <c r="N61" i="39"/>
  <c r="N43" i="39"/>
  <c r="N46" i="39"/>
  <c r="N49" i="39"/>
  <c r="N52" i="39"/>
  <c r="N55" i="39"/>
  <c r="N71" i="39" l="1"/>
  <c r="D60" i="38" l="1"/>
  <c r="K55" i="38"/>
  <c r="E55" i="38"/>
  <c r="G64" i="38" s="1"/>
  <c r="B55" i="38"/>
  <c r="G54" i="38"/>
  <c r="G53" i="38"/>
  <c r="K52" i="38"/>
  <c r="G52" i="38"/>
  <c r="D52" i="38"/>
  <c r="G51" i="38"/>
  <c r="G50" i="38"/>
  <c r="K49" i="38"/>
  <c r="G49" i="38"/>
  <c r="D49" i="38"/>
  <c r="G48" i="38"/>
  <c r="G47" i="38"/>
  <c r="K46" i="38"/>
  <c r="G46" i="38"/>
  <c r="D46" i="38"/>
  <c r="G45" i="38"/>
  <c r="G44" i="38"/>
  <c r="K43" i="38"/>
  <c r="G43" i="38"/>
  <c r="D43" i="38"/>
  <c r="G42" i="38"/>
  <c r="G41" i="38"/>
  <c r="K40" i="38"/>
  <c r="G40" i="38"/>
  <c r="D40" i="38"/>
  <c r="G39" i="38"/>
  <c r="G38" i="38"/>
  <c r="K37" i="38"/>
  <c r="G37" i="38"/>
  <c r="D37" i="38"/>
  <c r="G36" i="38"/>
  <c r="G35" i="38"/>
  <c r="G34" i="38"/>
  <c r="D34" i="38"/>
  <c r="D55" i="38" s="1"/>
  <c r="G33" i="38"/>
  <c r="G32" i="38"/>
  <c r="K31" i="38"/>
  <c r="G31" i="38"/>
  <c r="D31" i="38"/>
  <c r="G30" i="38"/>
  <c r="G29" i="38"/>
  <c r="K28" i="38"/>
  <c r="G28" i="38"/>
  <c r="D28" i="38"/>
  <c r="G27" i="38"/>
  <c r="G26" i="38"/>
  <c r="K25" i="38"/>
  <c r="G25" i="38"/>
  <c r="D25" i="38"/>
  <c r="G24" i="38"/>
  <c r="G23" i="38"/>
  <c r="K22" i="38"/>
  <c r="G22" i="38"/>
  <c r="D22" i="38"/>
  <c r="G21" i="38"/>
  <c r="G20" i="38"/>
  <c r="K19" i="38"/>
  <c r="G19" i="38"/>
  <c r="D19" i="38"/>
  <c r="G18" i="38"/>
  <c r="G17" i="38"/>
  <c r="K16" i="38"/>
  <c r="G16" i="38"/>
  <c r="C16" i="38"/>
  <c r="C18" i="38" s="1"/>
  <c r="L31" i="38" l="1"/>
  <c r="L16" i="38"/>
  <c r="C19" i="38"/>
  <c r="C21" i="38" s="1"/>
  <c r="C22" i="38" s="1"/>
  <c r="C24" i="38" s="1"/>
  <c r="C25" i="38" s="1"/>
  <c r="C27" i="38" s="1"/>
  <c r="C28" i="38" s="1"/>
  <c r="C30" i="38" s="1"/>
  <c r="C31" i="38" s="1"/>
  <c r="C33" i="38" s="1"/>
  <c r="C34" i="38" s="1"/>
  <c r="L19" i="38"/>
  <c r="M19" i="38" s="1"/>
  <c r="L22" i="38"/>
  <c r="M22" i="38" s="1"/>
  <c r="L25" i="38"/>
  <c r="M25" i="38" s="1"/>
  <c r="M31" i="38"/>
  <c r="G59" i="38"/>
  <c r="G61" i="38"/>
  <c r="G56" i="38"/>
  <c r="G62" i="38"/>
  <c r="G57" i="38"/>
  <c r="G63" i="38"/>
  <c r="G58" i="38"/>
  <c r="G60" i="38"/>
  <c r="M16" i="38" l="1"/>
  <c r="C36" i="38"/>
  <c r="C55" i="38"/>
  <c r="L28" i="38"/>
  <c r="M28" i="38" s="1"/>
  <c r="C60" i="38" l="1"/>
  <c r="L55" i="38" s="1"/>
  <c r="M55" i="38" s="1"/>
  <c r="C37" i="38"/>
  <c r="C39" i="38" s="1"/>
  <c r="C40" i="38" l="1"/>
  <c r="C42" i="38" s="1"/>
  <c r="L37" i="38"/>
  <c r="M37" i="38" l="1"/>
  <c r="C43" i="38"/>
  <c r="C45" i="38" s="1"/>
  <c r="L40" i="38"/>
  <c r="M40" i="38" s="1"/>
  <c r="C46" i="38" l="1"/>
  <c r="C48" i="38" s="1"/>
  <c r="L43" i="38"/>
  <c r="M43" i="38" s="1"/>
  <c r="C49" i="38" l="1"/>
  <c r="C51" i="38" s="1"/>
  <c r="L46" i="38"/>
  <c r="M46" i="38" l="1"/>
  <c r="C52" i="38"/>
  <c r="C54" i="38" s="1"/>
  <c r="L52" i="38" s="1"/>
  <c r="M52" i="38" s="1"/>
  <c r="L49" i="38"/>
  <c r="M49" i="38" s="1"/>
  <c r="N49" i="38" l="1"/>
  <c r="L65" i="38"/>
  <c r="N46" i="38"/>
  <c r="M65" i="38"/>
  <c r="K65" i="38" l="1"/>
  <c r="N19" i="38"/>
  <c r="N31" i="38"/>
  <c r="N22" i="38"/>
  <c r="N25" i="38"/>
  <c r="N16" i="38"/>
  <c r="N28" i="38"/>
  <c r="N55" i="38"/>
  <c r="N40" i="38"/>
  <c r="N37" i="38"/>
  <c r="N43" i="38"/>
  <c r="N52" i="38"/>
  <c r="N65" i="38" l="1"/>
  <c r="G67" i="37" l="1"/>
  <c r="G63" i="37"/>
  <c r="D63" i="37"/>
  <c r="G61" i="37"/>
  <c r="K58" i="37"/>
  <c r="E58" i="37"/>
  <c r="G66" i="37" s="1"/>
  <c r="D58" i="37"/>
  <c r="B58" i="37"/>
  <c r="G57" i="37"/>
  <c r="G56" i="37"/>
  <c r="K55" i="37"/>
  <c r="G55" i="37"/>
  <c r="D55" i="37"/>
  <c r="G54" i="37"/>
  <c r="G53" i="37"/>
  <c r="K52" i="37"/>
  <c r="G52" i="37"/>
  <c r="D52" i="37"/>
  <c r="G51" i="37"/>
  <c r="G50" i="37"/>
  <c r="K49" i="37"/>
  <c r="G49" i="37"/>
  <c r="D49" i="37"/>
  <c r="G48" i="37"/>
  <c r="G47" i="37"/>
  <c r="K46" i="37"/>
  <c r="G46" i="37"/>
  <c r="D46" i="37"/>
  <c r="G45" i="37"/>
  <c r="G44" i="37"/>
  <c r="K43" i="37"/>
  <c r="G43" i="37"/>
  <c r="D43" i="37"/>
  <c r="G42" i="37"/>
  <c r="G41" i="37"/>
  <c r="K40" i="37"/>
  <c r="G40" i="37"/>
  <c r="D40" i="37"/>
  <c r="G39" i="37"/>
  <c r="G38" i="37"/>
  <c r="K37" i="37"/>
  <c r="G37" i="37"/>
  <c r="D37" i="37"/>
  <c r="G36" i="37"/>
  <c r="G35" i="37"/>
  <c r="G34" i="37"/>
  <c r="D34" i="37"/>
  <c r="G33" i="37"/>
  <c r="G32" i="37"/>
  <c r="K31" i="37"/>
  <c r="G31" i="37"/>
  <c r="D31" i="37"/>
  <c r="G30" i="37"/>
  <c r="G29" i="37"/>
  <c r="K28" i="37"/>
  <c r="G28" i="37"/>
  <c r="D28" i="37"/>
  <c r="G27" i="37"/>
  <c r="G26" i="37"/>
  <c r="K25" i="37"/>
  <c r="G25" i="37"/>
  <c r="D25" i="37"/>
  <c r="G24" i="37"/>
  <c r="G23" i="37"/>
  <c r="K22" i="37"/>
  <c r="G22" i="37"/>
  <c r="D22" i="37"/>
  <c r="G21" i="37"/>
  <c r="G20" i="37"/>
  <c r="K19" i="37"/>
  <c r="G19" i="37"/>
  <c r="D19" i="37"/>
  <c r="G18" i="37"/>
  <c r="G17" i="37"/>
  <c r="K16" i="37"/>
  <c r="G16" i="37"/>
  <c r="C16" i="37"/>
  <c r="C18" i="37" s="1"/>
  <c r="Q15" i="37"/>
  <c r="C19" i="37" l="1"/>
  <c r="C21" i="37" s="1"/>
  <c r="L16" i="37"/>
  <c r="M16" i="37"/>
  <c r="G62" i="37"/>
  <c r="G64" i="37"/>
  <c r="G59" i="37"/>
  <c r="G65" i="37"/>
  <c r="G60" i="37"/>
  <c r="C22" i="37" l="1"/>
  <c r="C24" i="37" s="1"/>
  <c r="L19" i="37"/>
  <c r="M19" i="37" s="1"/>
  <c r="C25" i="37" l="1"/>
  <c r="C27" i="37" s="1"/>
  <c r="L22" i="37"/>
  <c r="M22" i="37" s="1"/>
  <c r="L25" i="37" l="1"/>
  <c r="M25" i="37" s="1"/>
  <c r="C28" i="37"/>
  <c r="C30" i="37" s="1"/>
  <c r="C31" i="37" l="1"/>
  <c r="C33" i="37" s="1"/>
  <c r="L28" i="37"/>
  <c r="M28" i="37" s="1"/>
  <c r="C34" i="37" l="1"/>
  <c r="L31" i="37"/>
  <c r="M31" i="37" s="1"/>
  <c r="C58" i="37" l="1"/>
  <c r="C36" i="37"/>
  <c r="C63" i="37" l="1"/>
  <c r="L58" i="37" s="1"/>
  <c r="C37" i="37"/>
  <c r="C39" i="37" s="1"/>
  <c r="M58" i="37" l="1"/>
  <c r="C40" i="37"/>
  <c r="C42" i="37" s="1"/>
  <c r="L37" i="37"/>
  <c r="M37" i="37" s="1"/>
  <c r="C43" i="37" l="1"/>
  <c r="C45" i="37" s="1"/>
  <c r="L40" i="37"/>
  <c r="M40" i="37" s="1"/>
  <c r="L43" i="37" l="1"/>
  <c r="M43" i="37" s="1"/>
  <c r="C46" i="37"/>
  <c r="C48" i="37" s="1"/>
  <c r="C49" i="37" l="1"/>
  <c r="C51" i="37" s="1"/>
  <c r="L46" i="37"/>
  <c r="M46" i="37" s="1"/>
  <c r="C52" i="37" l="1"/>
  <c r="C54" i="37" s="1"/>
  <c r="L49" i="37"/>
  <c r="M49" i="37" s="1"/>
  <c r="C55" i="37" l="1"/>
  <c r="C57" i="37" s="1"/>
  <c r="L55" i="37" s="1"/>
  <c r="L52" i="37"/>
  <c r="M52" i="37" s="1"/>
  <c r="M55" i="37" l="1"/>
  <c r="L68" i="37"/>
  <c r="M68" i="37" l="1"/>
  <c r="K68" i="37" l="1"/>
  <c r="N16" i="37"/>
  <c r="N19" i="37"/>
  <c r="N22" i="37"/>
  <c r="N25" i="37"/>
  <c r="N28" i="37"/>
  <c r="N31" i="37"/>
  <c r="N37" i="37"/>
  <c r="N58" i="37"/>
  <c r="N40" i="37"/>
  <c r="N43" i="37"/>
  <c r="N46" i="37"/>
  <c r="N49" i="37"/>
  <c r="N52" i="37"/>
  <c r="N55" i="37"/>
  <c r="N68" i="37" l="1"/>
  <c r="D69" i="36" l="1"/>
  <c r="K64" i="36"/>
  <c r="E64" i="36"/>
  <c r="G73" i="36" s="1"/>
  <c r="B64" i="36"/>
  <c r="G63" i="36"/>
  <c r="G62" i="36"/>
  <c r="K61" i="36"/>
  <c r="G61" i="36"/>
  <c r="D61" i="36"/>
  <c r="G60" i="36"/>
  <c r="G59" i="36"/>
  <c r="K58" i="36"/>
  <c r="G58" i="36"/>
  <c r="D58" i="36"/>
  <c r="G57" i="36"/>
  <c r="G56" i="36"/>
  <c r="K55" i="36"/>
  <c r="G55" i="36"/>
  <c r="D55" i="36"/>
  <c r="G54" i="36"/>
  <c r="G53" i="36"/>
  <c r="K52" i="36"/>
  <c r="G52" i="36"/>
  <c r="D52" i="36"/>
  <c r="G51" i="36"/>
  <c r="G50" i="36"/>
  <c r="K49" i="36"/>
  <c r="G49" i="36"/>
  <c r="D49" i="36"/>
  <c r="G48" i="36"/>
  <c r="G47" i="36"/>
  <c r="K46" i="36"/>
  <c r="G46" i="36"/>
  <c r="D46" i="36"/>
  <c r="G45" i="36"/>
  <c r="G44" i="36"/>
  <c r="K43" i="36"/>
  <c r="G43" i="36"/>
  <c r="D43" i="36"/>
  <c r="G42" i="36"/>
  <c r="G41" i="36"/>
  <c r="K40" i="36"/>
  <c r="G40" i="36"/>
  <c r="D40" i="36"/>
  <c r="G39" i="36"/>
  <c r="G38" i="36"/>
  <c r="G37" i="36"/>
  <c r="D37" i="36"/>
  <c r="D64" i="36" s="1"/>
  <c r="G36" i="36"/>
  <c r="G35" i="36"/>
  <c r="K34" i="36"/>
  <c r="G34" i="36"/>
  <c r="D34" i="36"/>
  <c r="G33" i="36"/>
  <c r="G32" i="36"/>
  <c r="K31" i="36"/>
  <c r="G31" i="36"/>
  <c r="D31" i="36"/>
  <c r="G30" i="36"/>
  <c r="G29" i="36"/>
  <c r="K28" i="36"/>
  <c r="G28" i="36"/>
  <c r="D28" i="36"/>
  <c r="G27" i="36"/>
  <c r="G26" i="36"/>
  <c r="K25" i="36"/>
  <c r="G25" i="36"/>
  <c r="D25" i="36"/>
  <c r="G24" i="36"/>
  <c r="G23" i="36"/>
  <c r="K22" i="36"/>
  <c r="G22" i="36"/>
  <c r="D22" i="36"/>
  <c r="G21" i="36"/>
  <c r="G20" i="36"/>
  <c r="K19" i="36"/>
  <c r="G19" i="36"/>
  <c r="D19" i="36"/>
  <c r="G18" i="36"/>
  <c r="G17" i="36"/>
  <c r="K16" i="36"/>
  <c r="G16" i="36"/>
  <c r="C16" i="36"/>
  <c r="C18" i="36" s="1"/>
  <c r="C19" i="36" l="1"/>
  <c r="C21" i="36" s="1"/>
  <c r="C22" i="36" s="1"/>
  <c r="C24" i="36" s="1"/>
  <c r="C25" i="36" s="1"/>
  <c r="C27" i="36" s="1"/>
  <c r="C28" i="36" s="1"/>
  <c r="C30" i="36" s="1"/>
  <c r="C31" i="36" s="1"/>
  <c r="C33" i="36" s="1"/>
  <c r="C34" i="36" s="1"/>
  <c r="C36" i="36" s="1"/>
  <c r="C37" i="36" s="1"/>
  <c r="L16" i="36"/>
  <c r="L25" i="36"/>
  <c r="M25" i="36" s="1"/>
  <c r="M16" i="36"/>
  <c r="G68" i="36"/>
  <c r="G70" i="36"/>
  <c r="G65" i="36"/>
  <c r="G71" i="36"/>
  <c r="G66" i="36"/>
  <c r="G72" i="36"/>
  <c r="G67" i="36"/>
  <c r="G69" i="36"/>
  <c r="L34" i="36" l="1"/>
  <c r="M34" i="36" s="1"/>
  <c r="C39" i="36"/>
  <c r="C64" i="36"/>
  <c r="L22" i="36"/>
  <c r="M22" i="36" s="1"/>
  <c r="L19" i="36"/>
  <c r="M19" i="36" s="1"/>
  <c r="L31" i="36"/>
  <c r="M31" i="36" s="1"/>
  <c r="L28" i="36"/>
  <c r="M28" i="36" s="1"/>
  <c r="C69" i="36" l="1"/>
  <c r="L64" i="36" s="1"/>
  <c r="M64" i="36" s="1"/>
  <c r="C40" i="36"/>
  <c r="C42" i="36" s="1"/>
  <c r="C43" i="36" l="1"/>
  <c r="C45" i="36" s="1"/>
  <c r="L40" i="36"/>
  <c r="M40" i="36" l="1"/>
  <c r="C46" i="36"/>
  <c r="C48" i="36" s="1"/>
  <c r="L43" i="36"/>
  <c r="M43" i="36" s="1"/>
  <c r="C49" i="36" l="1"/>
  <c r="C51" i="36" s="1"/>
  <c r="L46" i="36"/>
  <c r="M46" i="36" s="1"/>
  <c r="C52" i="36" l="1"/>
  <c r="C54" i="36" s="1"/>
  <c r="L49" i="36"/>
  <c r="M49" i="36" s="1"/>
  <c r="C55" i="36" l="1"/>
  <c r="C57" i="36" s="1"/>
  <c r="L52" i="36"/>
  <c r="M52" i="36" s="1"/>
  <c r="C58" i="36" l="1"/>
  <c r="C60" i="36" s="1"/>
  <c r="L55" i="36"/>
  <c r="M55" i="36" s="1"/>
  <c r="C61" i="36" l="1"/>
  <c r="C63" i="36" s="1"/>
  <c r="L61" i="36" s="1"/>
  <c r="L58" i="36"/>
  <c r="M58" i="36" s="1"/>
  <c r="M61" i="36" l="1"/>
  <c r="L74" i="36"/>
  <c r="M74" i="36" l="1"/>
  <c r="K74" i="36" l="1"/>
  <c r="N25" i="36"/>
  <c r="N16" i="36"/>
  <c r="N28" i="36"/>
  <c r="N22" i="36"/>
  <c r="N31" i="36"/>
  <c r="N19" i="36"/>
  <c r="N34" i="36"/>
  <c r="N64" i="36"/>
  <c r="N43" i="36"/>
  <c r="N40" i="36"/>
  <c r="N46" i="36"/>
  <c r="N49" i="36"/>
  <c r="N52" i="36"/>
  <c r="N55" i="36"/>
  <c r="N58" i="36"/>
  <c r="N61" i="36"/>
  <c r="N74" i="36" l="1"/>
  <c r="D42" i="35" l="1"/>
  <c r="K37" i="35"/>
  <c r="E37" i="35"/>
  <c r="G46" i="35" s="1"/>
  <c r="D37" i="35"/>
  <c r="B37" i="35"/>
  <c r="G36" i="35"/>
  <c r="G35" i="35"/>
  <c r="K34" i="35"/>
  <c r="G34" i="35"/>
  <c r="G33" i="35"/>
  <c r="G32" i="35"/>
  <c r="K31" i="35"/>
  <c r="G31" i="35"/>
  <c r="G30" i="35"/>
  <c r="G29" i="35"/>
  <c r="K28" i="35"/>
  <c r="G28" i="35"/>
  <c r="G27" i="35"/>
  <c r="G26" i="35"/>
  <c r="K25" i="35"/>
  <c r="G25" i="35"/>
  <c r="G24" i="35"/>
  <c r="G23" i="35"/>
  <c r="G22" i="35"/>
  <c r="G21" i="35"/>
  <c r="G20" i="35"/>
  <c r="K19" i="35"/>
  <c r="G19" i="35"/>
  <c r="G18" i="35"/>
  <c r="G17" i="35"/>
  <c r="K16" i="35"/>
  <c r="G16" i="35"/>
  <c r="C16" i="35"/>
  <c r="C18" i="35" s="1"/>
  <c r="C19" i="35" l="1"/>
  <c r="C21" i="35" s="1"/>
  <c r="L16" i="35"/>
  <c r="G43" i="35"/>
  <c r="G38" i="35"/>
  <c r="G44" i="35"/>
  <c r="G39" i="35"/>
  <c r="G45" i="35"/>
  <c r="G41" i="35"/>
  <c r="G40" i="35"/>
  <c r="G42" i="35"/>
  <c r="L19" i="35" l="1"/>
  <c r="M19" i="35" s="1"/>
  <c r="C22" i="35"/>
  <c r="M16" i="35"/>
  <c r="C24" i="35" l="1"/>
  <c r="C37" i="35"/>
  <c r="C42" i="35" l="1"/>
  <c r="L37" i="35" s="1"/>
  <c r="M37" i="35" s="1"/>
  <c r="C25" i="35"/>
  <c r="C27" i="35" s="1"/>
  <c r="C28" i="35" l="1"/>
  <c r="C30" i="35" s="1"/>
  <c r="L25" i="35"/>
  <c r="M25" i="35" l="1"/>
  <c r="C31" i="35"/>
  <c r="C33" i="35" s="1"/>
  <c r="L28" i="35"/>
  <c r="M28" i="35" s="1"/>
  <c r="L31" i="35" l="1"/>
  <c r="M31" i="35" s="1"/>
  <c r="C34" i="35"/>
  <c r="C36" i="35" s="1"/>
  <c r="L34" i="35" s="1"/>
  <c r="M34" i="35" s="1"/>
  <c r="L47" i="35"/>
  <c r="M47" i="35"/>
  <c r="N28" i="35" s="1"/>
  <c r="K47" i="35" l="1"/>
  <c r="N16" i="35"/>
  <c r="N19" i="35"/>
  <c r="N37" i="35"/>
  <c r="N34" i="35"/>
  <c r="N25" i="35"/>
  <c r="N31" i="35"/>
  <c r="N47" i="35" l="1"/>
</calcChain>
</file>

<file path=xl/sharedStrings.xml><?xml version="1.0" encoding="utf-8"?>
<sst xmlns="http://schemas.openxmlformats.org/spreadsheetml/2006/main" count="772" uniqueCount="101">
  <si>
    <t>Fecha</t>
  </si>
  <si>
    <t xml:space="preserve">Aforo No. </t>
  </si>
  <si>
    <t>Proyecto</t>
  </si>
  <si>
    <t>Lugar medición</t>
  </si>
  <si>
    <t>Coordenadas:</t>
  </si>
  <si>
    <t>X</t>
  </si>
  <si>
    <t>OTT / MF Pro</t>
  </si>
  <si>
    <t>Datos de inicio del aforo</t>
  </si>
  <si>
    <t>Inicio desde:</t>
  </si>
  <si>
    <t>Margen Izquierda</t>
  </si>
  <si>
    <t>Margen Derecha</t>
  </si>
  <si>
    <t>Hora de inicio</t>
  </si>
  <si>
    <t>Temperatura del agua ( °C )</t>
  </si>
  <si>
    <t>Ancho sección (w) [m]</t>
  </si>
  <si>
    <t>Hora de finalización</t>
  </si>
  <si>
    <t>Hora de medida</t>
  </si>
  <si>
    <t xml:space="preserve">Ancho dovela (b) [m] </t>
  </si>
  <si>
    <t>Nomenclatura</t>
  </si>
  <si>
    <t>Dovela #</t>
  </si>
  <si>
    <t>Abscisa [m]</t>
  </si>
  <si>
    <t>y [m]</t>
  </si>
  <si>
    <t>Bq</t>
  </si>
  <si>
    <t>[m/seg]</t>
  </si>
  <si>
    <t>[m/s]</t>
  </si>
  <si>
    <t>[%]</t>
  </si>
  <si>
    <t>[s]</t>
  </si>
  <si>
    <t>pulg</t>
  </si>
  <si>
    <t>Formulas</t>
  </si>
  <si>
    <t>0.5y</t>
  </si>
  <si>
    <t>Superficial</t>
  </si>
  <si>
    <t xml:space="preserve">Se tomaron muestras de sedimentos en las dovelas #  _____ , _____ , ______ , ______ , _______ </t>
  </si>
  <si>
    <t>Folio</t>
  </si>
  <si>
    <t>Vmedia</t>
  </si>
  <si>
    <t>%</t>
  </si>
  <si>
    <t>Distancia del sensor al nivel del agua (m)</t>
  </si>
  <si>
    <t>REGISTRO FOTOGRÁFICO</t>
  </si>
  <si>
    <t>Realizado por</t>
  </si>
  <si>
    <t>Revisado por</t>
  </si>
  <si>
    <t>VISTA EN PLANTA</t>
  </si>
  <si>
    <t>SECCIÓN TRANSVERSAL</t>
  </si>
  <si>
    <r>
      <t>h</t>
    </r>
    <r>
      <rPr>
        <b/>
        <vertAlign val="subscript"/>
        <sz val="11"/>
        <color theme="1"/>
        <rFont val="Calibri"/>
        <family val="2"/>
        <scheme val="minor"/>
      </rPr>
      <t xml:space="preserve">i      </t>
    </r>
    <r>
      <rPr>
        <b/>
        <sz val="11"/>
        <color theme="1"/>
        <rFont val="Calibri"/>
        <family val="2"/>
        <scheme val="minor"/>
      </rPr>
      <t xml:space="preserve">  [m]</t>
    </r>
  </si>
  <si>
    <r>
      <t>y</t>
    </r>
    <r>
      <rPr>
        <b/>
        <vertAlign val="subscript"/>
        <sz val="11"/>
        <color theme="1"/>
        <rFont val="Calibri"/>
        <family val="2"/>
        <scheme val="minor"/>
      </rPr>
      <t xml:space="preserve">i   </t>
    </r>
    <r>
      <rPr>
        <b/>
        <sz val="11"/>
        <color theme="1"/>
        <rFont val="Calibri"/>
        <family val="2"/>
        <scheme val="minor"/>
      </rPr>
      <t>[m]</t>
    </r>
  </si>
  <si>
    <r>
      <t>V</t>
    </r>
    <r>
      <rPr>
        <b/>
        <vertAlign val="subscript"/>
        <sz val="11"/>
        <color theme="1"/>
        <rFont val="Calibri"/>
        <family val="2"/>
        <scheme val="minor"/>
      </rPr>
      <t>i</t>
    </r>
  </si>
  <si>
    <r>
      <t>A</t>
    </r>
    <r>
      <rPr>
        <b/>
        <vertAlign val="subscript"/>
        <sz val="11"/>
        <color theme="1"/>
        <rFont val="Calibri"/>
        <family val="2"/>
        <scheme val="minor"/>
      </rPr>
      <t>i</t>
    </r>
  </si>
  <si>
    <r>
      <t>Q</t>
    </r>
    <r>
      <rPr>
        <b/>
        <vertAlign val="subscript"/>
        <sz val="11"/>
        <color theme="1"/>
        <rFont val="Calibri"/>
        <family val="2"/>
        <scheme val="minor"/>
      </rPr>
      <t>i</t>
    </r>
  </si>
  <si>
    <r>
      <t>T</t>
    </r>
    <r>
      <rPr>
        <b/>
        <vertAlign val="subscript"/>
        <sz val="11"/>
        <color theme="1"/>
        <rFont val="Calibri"/>
        <family val="2"/>
        <scheme val="minor"/>
      </rPr>
      <t>ll</t>
    </r>
  </si>
  <si>
    <r>
      <t>[m</t>
    </r>
    <r>
      <rPr>
        <b/>
        <vertAlign val="superscript"/>
        <sz val="11"/>
        <color theme="1"/>
        <rFont val="Calibri"/>
        <family val="2"/>
        <scheme val="minor"/>
      </rPr>
      <t>2</t>
    </r>
    <r>
      <rPr>
        <b/>
        <sz val="11"/>
        <color theme="1"/>
        <rFont val="Calibri"/>
        <family val="2"/>
        <scheme val="minor"/>
      </rPr>
      <t>]</t>
    </r>
  </si>
  <si>
    <r>
      <t>[m</t>
    </r>
    <r>
      <rPr>
        <b/>
        <vertAlign val="superscript"/>
        <sz val="11"/>
        <color theme="1"/>
        <rFont val="Calibri"/>
        <family val="2"/>
        <scheme val="minor"/>
      </rPr>
      <t>3</t>
    </r>
    <r>
      <rPr>
        <b/>
        <sz val="11"/>
        <color theme="1"/>
        <rFont val="Calibri"/>
        <family val="2"/>
        <scheme val="minor"/>
      </rPr>
      <t>/s]</t>
    </r>
  </si>
  <si>
    <r>
      <t xml:space="preserve">At = </t>
    </r>
    <r>
      <rPr>
        <sz val="10"/>
        <color theme="1"/>
        <rFont val="Calibri"/>
        <family val="2"/>
      </rPr>
      <t>ΣAi</t>
    </r>
  </si>
  <si>
    <r>
      <t xml:space="preserve">Qt = </t>
    </r>
    <r>
      <rPr>
        <sz val="10"/>
        <color theme="1"/>
        <rFont val="Calibri"/>
        <family val="2"/>
      </rPr>
      <t>ΣQi</t>
    </r>
  </si>
  <si>
    <r>
      <t xml:space="preserve">Nivel del agua en el sensor (m) </t>
    </r>
    <r>
      <rPr>
        <vertAlign val="subscript"/>
        <sz val="9"/>
        <color theme="1"/>
        <rFont val="Calibri"/>
        <family val="2"/>
        <scheme val="minor"/>
      </rPr>
      <t>(Dato suministrado por el administrador de la red)</t>
    </r>
  </si>
  <si>
    <t xml:space="preserve">OBSERVACIONES: </t>
  </si>
  <si>
    <t>Calido</t>
  </si>
  <si>
    <t>Frio</t>
  </si>
  <si>
    <t>Formato L1.2: Medición de caudal por el método área-velocidad: medidas desde la superficie del agua con medidor electromagnético</t>
  </si>
  <si>
    <t>Aforo N°</t>
  </si>
  <si>
    <t>QUEBRADA GUAYABAL - RECINTO DEL PENSAMIENTO</t>
  </si>
  <si>
    <t>N 5° 2' 40.74"</t>
  </si>
  <si>
    <t>W 75° 26' 56.88"</t>
  </si>
  <si>
    <t>Marca/Referencia del equipo</t>
  </si>
  <si>
    <t>Nivel inicial [cm]</t>
  </si>
  <si>
    <t>Nivel final [cm]</t>
  </si>
  <si>
    <t>Abscisa: Inicio Dovela # 1</t>
  </si>
  <si>
    <r>
      <rPr>
        <b/>
        <i/>
        <sz val="10"/>
        <color theme="1"/>
        <rFont val="Calibri"/>
        <family val="2"/>
        <scheme val="minor"/>
      </rPr>
      <t>Vi</t>
    </r>
    <r>
      <rPr>
        <sz val="10"/>
        <color theme="1"/>
        <rFont val="Calibri"/>
        <family val="2"/>
        <scheme val="minor"/>
      </rPr>
      <t>= Velocidad a cada yi</t>
    </r>
  </si>
  <si>
    <r>
      <rPr>
        <b/>
        <i/>
        <sz val="10"/>
        <color theme="1"/>
        <rFont val="Calibri"/>
        <family val="2"/>
        <scheme val="minor"/>
      </rPr>
      <t>hi</t>
    </r>
    <r>
      <rPr>
        <sz val="10"/>
        <color theme="1"/>
        <rFont val="Calibri"/>
        <family val="2"/>
        <scheme val="minor"/>
      </rPr>
      <t>= Profundidad correspondiente a cada abscisa</t>
    </r>
  </si>
  <si>
    <r>
      <rPr>
        <b/>
        <i/>
        <sz val="10"/>
        <color theme="1"/>
        <rFont val="Calibri"/>
        <family val="2"/>
        <scheme val="minor"/>
      </rPr>
      <t>y</t>
    </r>
    <r>
      <rPr>
        <b/>
        <sz val="10"/>
        <color theme="1"/>
        <rFont val="Calibri"/>
        <family val="2"/>
        <scheme val="minor"/>
      </rPr>
      <t>=</t>
    </r>
    <r>
      <rPr>
        <sz val="10"/>
        <color theme="1"/>
        <rFont val="Calibri"/>
        <family val="2"/>
        <scheme val="minor"/>
      </rPr>
      <t xml:space="preserve"> Profundidad en la mitad dovela</t>
    </r>
  </si>
  <si>
    <r>
      <rPr>
        <b/>
        <i/>
        <sz val="10"/>
        <color theme="1"/>
        <rFont val="Calibri"/>
        <family val="2"/>
        <scheme val="minor"/>
      </rPr>
      <t>Qi</t>
    </r>
    <r>
      <rPr>
        <sz val="10"/>
        <color theme="1"/>
        <rFont val="Calibri"/>
        <family val="2"/>
        <scheme val="minor"/>
      </rPr>
      <t>= Caudal por dovela</t>
    </r>
  </si>
  <si>
    <t xml:space="preserve">      = Velocidad promedio por dovela</t>
  </si>
  <si>
    <r>
      <rPr>
        <b/>
        <i/>
        <sz val="10"/>
        <color theme="1"/>
        <rFont val="Calibri"/>
        <family val="2"/>
        <scheme val="minor"/>
      </rPr>
      <t>Ai</t>
    </r>
    <r>
      <rPr>
        <sz val="10"/>
        <color theme="1"/>
        <rFont val="Calibri"/>
        <family val="2"/>
        <scheme val="minor"/>
      </rPr>
      <t>= Área por dovela</t>
    </r>
  </si>
  <si>
    <r>
      <rPr>
        <b/>
        <i/>
        <sz val="10"/>
        <color theme="1"/>
        <rFont val="Calibri"/>
        <family val="2"/>
        <scheme val="minor"/>
      </rPr>
      <t>T</t>
    </r>
    <r>
      <rPr>
        <b/>
        <i/>
        <vertAlign val="subscript"/>
        <sz val="10"/>
        <color theme="1"/>
        <rFont val="Calibri"/>
        <family val="2"/>
        <scheme val="minor"/>
      </rPr>
      <t>ll</t>
    </r>
    <r>
      <rPr>
        <sz val="10"/>
        <color theme="1"/>
        <rFont val="Calibri"/>
        <family val="2"/>
        <scheme val="minor"/>
      </rPr>
      <t>= Tiempo de llenado-solidos suspendidos</t>
    </r>
  </si>
  <si>
    <r>
      <rPr>
        <b/>
        <i/>
        <sz val="10"/>
        <color theme="1"/>
        <rFont val="Calibri"/>
        <family val="2"/>
        <scheme val="minor"/>
      </rPr>
      <t>Bq</t>
    </r>
    <r>
      <rPr>
        <sz val="10"/>
        <color theme="1"/>
        <rFont val="Calibri"/>
        <family val="2"/>
        <scheme val="minor"/>
      </rPr>
      <t xml:space="preserve"> = Boquilla muestreador solidos suspendidos</t>
    </r>
  </si>
  <si>
    <t>0.2y</t>
  </si>
  <si>
    <t>0.6y</t>
  </si>
  <si>
    <t>0.8y</t>
  </si>
  <si>
    <t>0.1y</t>
  </si>
  <si>
    <t>0.3y</t>
  </si>
  <si>
    <t>0.4y</t>
  </si>
  <si>
    <t>0.7y</t>
  </si>
  <si>
    <t>0.9y</t>
  </si>
  <si>
    <t xml:space="preserve">Nota 1:  Qi&lt;= 0.2Qt. Si no se cumple repetir                      
</t>
  </si>
  <si>
    <t xml:space="preserve">Nota 2:  Tomar la velocidad superficial del formato L2 </t>
  </si>
  <si>
    <t xml:space="preserve">Nota 3:  Para y&lt;0.2m medir solo a 0.4y </t>
  </si>
  <si>
    <t>Clima:</t>
  </si>
  <si>
    <t>Lluvioso</t>
  </si>
  <si>
    <t>Previamente se instalaron las escaleras de acceso al sitio de aforo. Durante la jornada de aforo se determinó el perfil de la sección de aforo, se midió la altura del nivel del agua al sensor. Teniendo en cuenta las observaciones de los asesores del GTA de Ingeniería Hidráulica y Ambiental los aforos se realizaron así: Si y &lt;= 0.20m se toma la velocidad a 0.6 de y. Si y&gt;0.20m se toman lecturas a 0.2 - 0.6 y 0.8y</t>
  </si>
  <si>
    <t>No hay registro</t>
  </si>
  <si>
    <t>Nota 4:  Tll es a partir de la curva "Sampling Volume 690 CC"   ingresando           en [ft/s]</t>
  </si>
  <si>
    <t>Detalle general</t>
  </si>
  <si>
    <t>Detalle punto de aforo</t>
  </si>
  <si>
    <t>Detalle general del aforo</t>
  </si>
  <si>
    <t>Detalle toma de temperatura</t>
  </si>
  <si>
    <t>NATALIA PEREZ VALENCIA</t>
  </si>
  <si>
    <t xml:space="preserve">Durante la jornada de aforo se determinó: Banca llena; Perfil longitudinal y perfil de la sección de aforo. Teniendo en cuenta las observaciones de los asesores del GTA de Ingeniería Hidráulica y Ambiental los aforos se realizaron así: Si y &lt; 0.12m se toma la velocidad a 0.6 de y; para y&gt;=0.12m, se toman lecturas a 0.2, 0.6 y 0.8 de y. </t>
  </si>
  <si>
    <t>MARIA DEL CARMEN RAMIREZ A.</t>
  </si>
  <si>
    <t>Calido con algunas lloviznas</t>
  </si>
  <si>
    <t xml:space="preserve">Durante la jornada se determinó: Banca llena; perfil de la sección de aforo. Teniendo en cuenta las observaciones de los asesores del GTA de Ingeniería Hidráulica y Ambiental los aforos se realizaron así: Si y &lt; 0.12m se toma la velocidad a 0.6 de y; para y&gt;=0.12m, se toman lecturas a 0.2, 0.6 y 0.8 de y. </t>
  </si>
  <si>
    <t>Detalle medida de la temperatura</t>
  </si>
  <si>
    <t>.</t>
  </si>
  <si>
    <t>Perfil transversal</t>
  </si>
  <si>
    <t>Durante la jornada de aforo se determinó: Perfil de la sección de aforo, banca llena; Altura del nivel del agua al sensor. Teniendo en cuenta las observaciones de los asesores del GTA de Ingeniería Hidráulica y Ambiental los aforos se realizaron así: Si y &lt;= 0.12m se toma la velocidad a 0.6 de h. Si y&gt;0.12m se toman velocidades a 0.2 - 0.6 y 0.8 de y</t>
  </si>
  <si>
    <t>Convenio 221/2016 OPERACIÓN Y MANTENIMIENTO REDES HIDROMETEOROLÓGICAS, SÍSMICAS Y DE CALIDAD DEL AIRE DEL DEPARTAMENTO DE CALDAS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</si>
</sst>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
    <numFmt numFmtId="166" formatCode="0.0000"/>
    <numFmt numFmtId="167" formatCode="_(&quot;$&quot;\ * #,##0.00_);_(&quot;$&quot;\ * \(#,##0.00\);_(&quot;$&quot;\ * &quot;-&quot;??_);_(@_)"/>
  </numFmts>
  <fonts count="18" x14ac:knownFonts="1">
    <font>
      <sz val="11"/>
      <color theme="1"/>
      <name val="Calibri"/>
      <family val="2"/>
      <scheme val="minor"/>
    </font>
    <font>
      <b/>
      <sz val="11"/>
      <color theme="1"/>
      <name val="Calibri"/>
      <family val="2"/>
      <scheme val="minor"/>
    </font>
    <font>
      <sz val="11"/>
      <color rgb="FF000000"/>
      <name val="Calibri"/>
      <family val="2"/>
    </font>
    <font>
      <sz val="10"/>
      <color theme="1"/>
      <name val="Calibri"/>
      <family val="2"/>
      <scheme val="minor"/>
    </font>
    <font>
      <b/>
      <sz val="10"/>
      <name val="Calibri"/>
      <family val="2"/>
      <scheme val="minor"/>
    </font>
    <font>
      <sz val="10"/>
      <name val="Calibri"/>
      <family val="2"/>
      <scheme val="minor"/>
    </font>
    <font>
      <b/>
      <sz val="10"/>
      <color theme="1"/>
      <name val="Calibri"/>
      <family val="2"/>
      <scheme val="minor"/>
    </font>
    <font>
      <b/>
      <vertAlign val="subscript"/>
      <sz val="11"/>
      <color theme="1"/>
      <name val="Calibri"/>
      <family val="2"/>
      <scheme val="minor"/>
    </font>
    <font>
      <b/>
      <vertAlign val="superscript"/>
      <sz val="11"/>
      <color theme="1"/>
      <name val="Calibri"/>
      <family val="2"/>
      <scheme val="minor"/>
    </font>
    <font>
      <sz val="10"/>
      <color theme="1"/>
      <name val="Calibri"/>
      <family val="2"/>
    </font>
    <font>
      <vertAlign val="subscript"/>
      <sz val="9"/>
      <color theme="1"/>
      <name val="Calibri"/>
      <family val="2"/>
      <scheme val="minor"/>
    </font>
    <font>
      <sz val="11"/>
      <color theme="1"/>
      <name val="Calibri"/>
      <family val="2"/>
      <scheme val="minor"/>
    </font>
    <font>
      <b/>
      <i/>
      <sz val="12"/>
      <color theme="1"/>
      <name val="Calibri"/>
      <family val="2"/>
      <scheme val="minor"/>
    </font>
    <font>
      <b/>
      <i/>
      <sz val="8"/>
      <color theme="1"/>
      <name val="Calibri"/>
      <family val="2"/>
      <scheme val="minor"/>
    </font>
    <font>
      <b/>
      <i/>
      <sz val="10"/>
      <color theme="1"/>
      <name val="Calibri"/>
      <family val="2"/>
      <scheme val="minor"/>
    </font>
    <font>
      <b/>
      <i/>
      <vertAlign val="subscript"/>
      <sz val="10"/>
      <color theme="1"/>
      <name val="Calibri"/>
      <family val="2"/>
      <scheme val="minor"/>
    </font>
    <font>
      <sz val="11"/>
      <name val="Calibri"/>
      <family val="2"/>
      <scheme val="minor"/>
    </font>
    <font>
      <sz val="12"/>
      <color rgb="FF222222"/>
      <name val="Arial"/>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indexed="64"/>
      </patternFill>
    </fill>
  </fills>
  <borders count="61">
    <border>
      <left/>
      <right/>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s>
  <cellStyleXfs count="3">
    <xf numFmtId="0" fontId="0" fillId="0" borderId="0"/>
    <xf numFmtId="0" fontId="2" fillId="0" borderId="0"/>
    <xf numFmtId="167" fontId="11" fillId="0" borderId="0" applyFont="0" applyFill="0" applyBorder="0" applyAlignment="0" applyProtection="0"/>
  </cellStyleXfs>
  <cellXfs count="294">
    <xf numFmtId="0" fontId="0" fillId="0" borderId="0" xfId="0"/>
    <xf numFmtId="0" fontId="0" fillId="0" borderId="0" xfId="0" applyAlignment="1"/>
    <xf numFmtId="0" fontId="0" fillId="0" borderId="0" xfId="0" applyFont="1"/>
    <xf numFmtId="0" fontId="3" fillId="0" borderId="0" xfId="0" applyFont="1"/>
    <xf numFmtId="0" fontId="1" fillId="0" borderId="26" xfId="0" applyFont="1" applyFill="1" applyBorder="1" applyAlignment="1"/>
    <xf numFmtId="0" fontId="0" fillId="0" borderId="33" xfId="0" applyBorder="1"/>
    <xf numFmtId="0" fontId="0" fillId="0" borderId="33" xfId="0" applyBorder="1" applyAlignment="1">
      <alignment horizontal="center"/>
    </xf>
    <xf numFmtId="0" fontId="0" fillId="0" borderId="0" xfId="0" applyBorder="1"/>
    <xf numFmtId="0" fontId="0" fillId="0" borderId="9" xfId="0" applyBorder="1" applyAlignment="1">
      <alignment vertical="center"/>
    </xf>
    <xf numFmtId="0" fontId="0" fillId="0" borderId="0" xfId="0" applyAlignment="1">
      <alignment vertical="center"/>
    </xf>
    <xf numFmtId="0" fontId="0" fillId="0" borderId="33" xfId="0" applyBorder="1" applyAlignment="1"/>
    <xf numFmtId="0" fontId="3" fillId="0" borderId="33" xfId="0" applyFont="1" applyBorder="1"/>
    <xf numFmtId="2" fontId="3" fillId="0" borderId="0" xfId="0" applyNumberFormat="1" applyFont="1" applyBorder="1" applyAlignment="1">
      <alignment horizontal="center"/>
    </xf>
    <xf numFmtId="0" fontId="3" fillId="0" borderId="16" xfId="0" applyFont="1" applyBorder="1" applyAlignment="1">
      <alignment horizontal="center" vertical="top"/>
    </xf>
    <xf numFmtId="166" fontId="5" fillId="0" borderId="37" xfId="0" applyNumberFormat="1" applyFont="1" applyBorder="1" applyAlignment="1">
      <alignment horizontal="center" vertical="center"/>
    </xf>
    <xf numFmtId="164" fontId="5" fillId="0" borderId="37" xfId="0" applyNumberFormat="1" applyFont="1" applyBorder="1" applyAlignment="1">
      <alignment horizontal="center" vertical="center"/>
    </xf>
    <xf numFmtId="0" fontId="0" fillId="0" borderId="33" xfId="0" applyFont="1" applyBorder="1"/>
    <xf numFmtId="0" fontId="3" fillId="0" borderId="33" xfId="0" applyFont="1" applyFill="1" applyBorder="1"/>
    <xf numFmtId="0" fontId="3" fillId="0" borderId="0" xfId="0" applyFont="1" applyFill="1"/>
    <xf numFmtId="0" fontId="0" fillId="0" borderId="33" xfId="0" applyFill="1" applyBorder="1"/>
    <xf numFmtId="0" fontId="0" fillId="0" borderId="0" xfId="0" applyFill="1"/>
    <xf numFmtId="20" fontId="6" fillId="0" borderId="12" xfId="0" applyNumberFormat="1" applyFont="1" applyFill="1" applyBorder="1" applyAlignment="1">
      <alignment horizontal="center"/>
    </xf>
    <xf numFmtId="0" fontId="4" fillId="0" borderId="18" xfId="0" applyFont="1" applyFill="1" applyBorder="1" applyAlignment="1">
      <alignment horizontal="center"/>
    </xf>
    <xf numFmtId="0" fontId="6" fillId="0" borderId="12" xfId="0" applyFont="1" applyFill="1" applyBorder="1" applyAlignment="1">
      <alignment horizontal="center" vertical="center"/>
    </xf>
    <xf numFmtId="0" fontId="3" fillId="0" borderId="48" xfId="0" applyFont="1" applyFill="1" applyBorder="1" applyAlignment="1">
      <alignment vertical="center"/>
    </xf>
    <xf numFmtId="0" fontId="3" fillId="0" borderId="53" xfId="0" applyFont="1" applyFill="1" applyBorder="1" applyAlignment="1">
      <alignment vertical="center"/>
    </xf>
    <xf numFmtId="0" fontId="3" fillId="0" borderId="53" xfId="0" applyFont="1" applyFill="1" applyBorder="1" applyAlignment="1">
      <alignment horizontal="center" vertical="center"/>
    </xf>
    <xf numFmtId="20" fontId="6" fillId="0" borderId="14" xfId="0" applyNumberFormat="1" applyFont="1" applyFill="1" applyBorder="1" applyAlignment="1">
      <alignment horizontal="center"/>
    </xf>
    <xf numFmtId="0" fontId="6" fillId="0" borderId="14" xfId="0" applyFont="1" applyFill="1" applyBorder="1" applyAlignment="1">
      <alignment horizontal="center" vertical="center"/>
    </xf>
    <xf numFmtId="0" fontId="0" fillId="0" borderId="18" xfId="0" applyFill="1" applyBorder="1"/>
    <xf numFmtId="0" fontId="3" fillId="0" borderId="12" xfId="0" applyFont="1" applyFill="1" applyBorder="1" applyAlignment="1">
      <alignment horizontal="center"/>
    </xf>
    <xf numFmtId="0" fontId="6" fillId="0" borderId="14" xfId="0" applyFont="1" applyFill="1" applyBorder="1" applyAlignment="1">
      <alignment horizontal="center" vertical="center" wrapText="1"/>
    </xf>
    <xf numFmtId="0" fontId="3" fillId="0" borderId="2" xfId="0" applyFont="1" applyBorder="1" applyAlignment="1"/>
    <xf numFmtId="0" fontId="3" fillId="0" borderId="0" xfId="0" applyFont="1" applyBorder="1"/>
    <xf numFmtId="0" fontId="3" fillId="0" borderId="0" xfId="0" applyFont="1" applyBorder="1" applyAlignment="1"/>
    <xf numFmtId="0" fontId="1" fillId="4" borderId="15" xfId="0" applyFont="1" applyFill="1" applyBorder="1" applyAlignment="1">
      <alignment vertical="center"/>
    </xf>
    <xf numFmtId="0" fontId="1" fillId="4" borderId="15"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14" xfId="0" applyFont="1" applyFill="1" applyBorder="1" applyAlignment="1">
      <alignment horizontal="center" vertical="center"/>
    </xf>
    <xf numFmtId="0" fontId="5" fillId="0" borderId="15" xfId="0" applyFont="1" applyBorder="1" applyAlignment="1">
      <alignment horizontal="center"/>
    </xf>
    <xf numFmtId="0" fontId="5" fillId="0" borderId="18" xfId="0" applyFont="1" applyBorder="1" applyAlignment="1">
      <alignment horizontal="center"/>
    </xf>
    <xf numFmtId="2" fontId="5" fillId="0" borderId="16" xfId="0" applyNumberFormat="1" applyFont="1" applyBorder="1" applyAlignment="1">
      <alignment horizontal="center" vertical="center"/>
    </xf>
    <xf numFmtId="164" fontId="5" fillId="0" borderId="16" xfId="0" applyNumberFormat="1" applyFont="1" applyBorder="1" applyAlignment="1">
      <alignment horizontal="center" vertical="center"/>
    </xf>
    <xf numFmtId="0" fontId="5" fillId="0" borderId="16" xfId="0" applyFont="1" applyBorder="1" applyAlignment="1">
      <alignment horizontal="center"/>
    </xf>
    <xf numFmtId="0" fontId="5" fillId="3" borderId="18" xfId="0" applyFont="1" applyFill="1" applyBorder="1" applyAlignment="1">
      <alignment horizontal="center"/>
    </xf>
    <xf numFmtId="164" fontId="0" fillId="0" borderId="0" xfId="0" applyNumberFormat="1" applyFont="1"/>
    <xf numFmtId="0" fontId="5" fillId="0" borderId="37" xfId="0" applyFont="1" applyBorder="1" applyAlignment="1">
      <alignment horizontal="center"/>
    </xf>
    <xf numFmtId="0" fontId="0" fillId="0" borderId="18" xfId="0" applyBorder="1"/>
    <xf numFmtId="0" fontId="0" fillId="0" borderId="17" xfId="0" applyFont="1" applyBorder="1" applyAlignment="1">
      <alignment vertical="top" wrapText="1"/>
    </xf>
    <xf numFmtId="0" fontId="5" fillId="0" borderId="40" xfId="0" applyFont="1" applyBorder="1" applyAlignment="1">
      <alignment horizontal="center"/>
    </xf>
    <xf numFmtId="0" fontId="5" fillId="3" borderId="15" xfId="0" applyFont="1" applyFill="1" applyBorder="1" applyAlignment="1">
      <alignment horizontal="center"/>
    </xf>
    <xf numFmtId="0" fontId="5" fillId="3" borderId="16" xfId="0" applyFont="1" applyFill="1" applyBorder="1" applyAlignment="1">
      <alignment horizontal="center"/>
    </xf>
    <xf numFmtId="0" fontId="5" fillId="0" borderId="33" xfId="0" applyFont="1" applyBorder="1"/>
    <xf numFmtId="0" fontId="5" fillId="0" borderId="0" xfId="0" applyFont="1"/>
    <xf numFmtId="164" fontId="0" fillId="0" borderId="0" xfId="0" applyNumberFormat="1"/>
    <xf numFmtId="0" fontId="3" fillId="0" borderId="28" xfId="0" applyFont="1" applyFill="1" applyBorder="1" applyAlignment="1">
      <alignment horizontal="center" vertical="center"/>
    </xf>
    <xf numFmtId="0" fontId="1" fillId="0" borderId="18" xfId="0" applyFont="1" applyBorder="1" applyAlignment="1">
      <alignment horizontal="center"/>
    </xf>
    <xf numFmtId="0" fontId="0" fillId="2" borderId="22" xfId="0" applyFill="1" applyBorder="1" applyAlignment="1">
      <alignment horizontal="center"/>
    </xf>
    <xf numFmtId="0" fontId="0" fillId="2" borderId="19" xfId="0" applyFill="1" applyBorder="1" applyAlignment="1">
      <alignment horizontal="center"/>
    </xf>
    <xf numFmtId="0" fontId="0" fillId="2" borderId="21" xfId="0" applyFill="1" applyBorder="1" applyAlignment="1">
      <alignment horizontal="center"/>
    </xf>
    <xf numFmtId="0" fontId="0" fillId="2" borderId="4" xfId="0" applyFill="1" applyBorder="1" applyAlignment="1">
      <alignment horizontal="center"/>
    </xf>
    <xf numFmtId="0" fontId="0" fillId="2" borderId="23" xfId="0" applyFill="1" applyBorder="1" applyAlignment="1">
      <alignment horizontal="center"/>
    </xf>
    <xf numFmtId="0" fontId="0" fillId="2" borderId="0" xfId="0" applyFill="1" applyBorder="1" applyAlignment="1">
      <alignment horizontal="center"/>
    </xf>
    <xf numFmtId="0" fontId="0" fillId="2" borderId="20" xfId="0" applyFill="1" applyBorder="1" applyAlignment="1">
      <alignment horizontal="center"/>
    </xf>
    <xf numFmtId="0" fontId="0" fillId="2" borderId="25" xfId="0" applyFill="1" applyBorder="1" applyAlignment="1">
      <alignment horizontal="center"/>
    </xf>
    <xf numFmtId="0" fontId="0" fillId="2" borderId="24" xfId="0" applyFill="1" applyBorder="1" applyAlignment="1">
      <alignment horizontal="center"/>
    </xf>
    <xf numFmtId="0" fontId="13" fillId="0" borderId="51" xfId="0" applyFont="1" applyBorder="1" applyAlignment="1">
      <alignment horizontal="center" wrapText="1"/>
    </xf>
    <xf numFmtId="0" fontId="13" fillId="0" borderId="3" xfId="0" applyFont="1" applyBorder="1" applyAlignment="1">
      <alignment horizontal="center" wrapText="1"/>
    </xf>
    <xf numFmtId="0" fontId="13" fillId="0" borderId="26" xfId="0" applyFont="1" applyBorder="1" applyAlignment="1">
      <alignment horizontal="center" wrapText="1"/>
    </xf>
    <xf numFmtId="0" fontId="13" fillId="0" borderId="8" xfId="0" applyFont="1" applyBorder="1" applyAlignment="1">
      <alignment horizontal="center" wrapText="1"/>
    </xf>
    <xf numFmtId="0" fontId="12" fillId="0" borderId="2" xfId="0" applyFont="1" applyBorder="1" applyAlignment="1">
      <alignment horizontal="center" wrapText="1"/>
    </xf>
    <xf numFmtId="14" fontId="6" fillId="0" borderId="29" xfId="0" applyNumberFormat="1" applyFont="1" applyFill="1" applyBorder="1" applyAlignment="1">
      <alignment horizontal="center" vertical="center"/>
    </xf>
    <xf numFmtId="0" fontId="6" fillId="0" borderId="49" xfId="0" applyFont="1" applyFill="1" applyBorder="1" applyAlignment="1">
      <alignment horizontal="center" vertical="center"/>
    </xf>
    <xf numFmtId="0" fontId="3" fillId="0" borderId="47" xfId="0" applyFont="1" applyFill="1" applyBorder="1" applyAlignment="1">
      <alignment horizontal="center" vertical="center"/>
    </xf>
    <xf numFmtId="0" fontId="3" fillId="0" borderId="29" xfId="0" applyFont="1" applyFill="1" applyBorder="1" applyAlignment="1">
      <alignment horizontal="center" vertical="center"/>
    </xf>
    <xf numFmtId="0" fontId="6" fillId="0" borderId="42" xfId="0" applyFont="1" applyFill="1" applyBorder="1" applyAlignment="1">
      <alignment horizontal="center" vertical="center"/>
    </xf>
    <xf numFmtId="0" fontId="0" fillId="0" borderId="51" xfId="0" applyFont="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0" fillId="0" borderId="26"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12" fillId="0" borderId="5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7" xfId="0" applyFont="1" applyBorder="1" applyAlignment="1">
      <alignment horizontal="center" vertical="center" wrapText="1"/>
    </xf>
    <xf numFmtId="0" fontId="3" fillId="0" borderId="28" xfId="0" applyFont="1" applyFill="1" applyBorder="1" applyAlignment="1">
      <alignment horizontal="center" vertical="center"/>
    </xf>
    <xf numFmtId="0" fontId="6" fillId="0" borderId="29" xfId="0" applyFont="1" applyFill="1" applyBorder="1" applyAlignment="1">
      <alignment horizontal="center" vertical="center"/>
    </xf>
    <xf numFmtId="0" fontId="6" fillId="0" borderId="30" xfId="0" applyFont="1" applyFill="1" applyBorder="1" applyAlignment="1">
      <alignment horizontal="center" vertical="center"/>
    </xf>
    <xf numFmtId="0" fontId="3" fillId="0" borderId="9" xfId="0" applyFont="1" applyFill="1" applyBorder="1" applyAlignment="1">
      <alignment horizontal="center" vertical="center"/>
    </xf>
    <xf numFmtId="0" fontId="6" fillId="0" borderId="47"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12" xfId="0" applyFont="1" applyFill="1" applyBorder="1" applyAlignment="1">
      <alignment horizontal="center" vertical="center"/>
    </xf>
    <xf numFmtId="0" fontId="3" fillId="0" borderId="45" xfId="0" applyFont="1" applyFill="1" applyBorder="1" applyAlignment="1">
      <alignment horizontal="left" vertical="center"/>
    </xf>
    <xf numFmtId="0" fontId="3" fillId="0" borderId="46" xfId="0" applyFont="1" applyFill="1" applyBorder="1" applyAlignment="1">
      <alignment horizontal="left" vertical="center"/>
    </xf>
    <xf numFmtId="0" fontId="3" fillId="0" borderId="52" xfId="0" applyFont="1" applyFill="1" applyBorder="1" applyAlignment="1">
      <alignment horizontal="left" vertical="center"/>
    </xf>
    <xf numFmtId="0" fontId="3" fillId="0" borderId="11" xfId="0" applyFont="1" applyFill="1" applyBorder="1" applyAlignment="1">
      <alignment horizontal="center"/>
    </xf>
    <xf numFmtId="0" fontId="3" fillId="0" borderId="15" xfId="0" applyFont="1" applyFill="1" applyBorder="1" applyAlignment="1">
      <alignment horizontal="center"/>
    </xf>
    <xf numFmtId="0" fontId="6" fillId="0" borderId="13" xfId="0" applyFont="1" applyFill="1" applyBorder="1" applyAlignment="1">
      <alignment horizontal="center"/>
    </xf>
    <xf numFmtId="0" fontId="6" fillId="0" borderId="16" xfId="0" applyFont="1" applyFill="1" applyBorder="1" applyAlignment="1">
      <alignment horizontal="center"/>
    </xf>
    <xf numFmtId="0" fontId="6" fillId="0" borderId="14" xfId="0" applyFont="1" applyFill="1" applyBorder="1" applyAlignment="1">
      <alignment horizontal="center"/>
    </xf>
    <xf numFmtId="0" fontId="3" fillId="0" borderId="13" xfId="0" applyFont="1" applyFill="1" applyBorder="1" applyAlignment="1">
      <alignment horizontal="center"/>
    </xf>
    <xf numFmtId="0" fontId="3" fillId="0" borderId="16" xfId="0" applyFont="1" applyFill="1" applyBorder="1" applyAlignment="1">
      <alignment horizontal="center"/>
    </xf>
    <xf numFmtId="0" fontId="3" fillId="0" borderId="13" xfId="0" applyFont="1" applyFill="1" applyBorder="1" applyAlignment="1">
      <alignment horizontal="center" vertical="center"/>
    </xf>
    <xf numFmtId="0" fontId="3" fillId="0" borderId="16" xfId="0" applyFont="1" applyFill="1" applyBorder="1" applyAlignment="1">
      <alignment horizontal="center" vertical="center"/>
    </xf>
    <xf numFmtId="0" fontId="6" fillId="0" borderId="11" xfId="0" applyFont="1" applyFill="1" applyBorder="1" applyAlignment="1">
      <alignment horizontal="center" vertical="center" wrapText="1"/>
    </xf>
    <xf numFmtId="0" fontId="6" fillId="0" borderId="34"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35"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51" xfId="0" applyFont="1" applyFill="1" applyBorder="1" applyAlignment="1">
      <alignment horizontal="center" vertical="center" wrapText="1"/>
    </xf>
    <xf numFmtId="0" fontId="3" fillId="0" borderId="54" xfId="0" applyFont="1" applyFill="1" applyBorder="1" applyAlignment="1">
      <alignment horizontal="center" vertical="center" wrapText="1"/>
    </xf>
    <xf numFmtId="0" fontId="3" fillId="0" borderId="26" xfId="0" applyFont="1" applyFill="1" applyBorder="1" applyAlignment="1">
      <alignment horizontal="center" vertical="center" wrapText="1"/>
    </xf>
    <xf numFmtId="0" fontId="3" fillId="0" borderId="56" xfId="0" applyFont="1" applyFill="1" applyBorder="1" applyAlignment="1">
      <alignment horizontal="center" vertical="center" wrapText="1"/>
    </xf>
    <xf numFmtId="0" fontId="6" fillId="0" borderId="55"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3" fillId="0" borderId="11" xfId="0" applyFont="1" applyFill="1" applyBorder="1" applyAlignment="1">
      <alignment horizontal="center" vertical="top"/>
    </xf>
    <xf numFmtId="0" fontId="3" fillId="0" borderId="15" xfId="0" applyFont="1" applyFill="1" applyBorder="1" applyAlignment="1">
      <alignment horizontal="center" vertical="top"/>
    </xf>
    <xf numFmtId="0" fontId="6" fillId="0" borderId="15" xfId="0" applyFont="1" applyFill="1" applyBorder="1" applyAlignment="1">
      <alignment horizontal="center" vertical="top"/>
    </xf>
    <xf numFmtId="0" fontId="6" fillId="0" borderId="12" xfId="0" applyFont="1" applyFill="1" applyBorder="1" applyAlignment="1">
      <alignment horizontal="center" vertical="top"/>
    </xf>
    <xf numFmtId="0" fontId="3" fillId="0" borderId="13" xfId="0" applyFont="1" applyFill="1" applyBorder="1" applyAlignment="1">
      <alignment horizontal="center" vertical="top"/>
    </xf>
    <xf numFmtId="0" fontId="3" fillId="0" borderId="16" xfId="0" applyFont="1" applyFill="1" applyBorder="1" applyAlignment="1">
      <alignment horizontal="center" vertical="top"/>
    </xf>
    <xf numFmtId="20" fontId="6" fillId="0" borderId="16" xfId="0" applyNumberFormat="1" applyFont="1" applyFill="1" applyBorder="1" applyAlignment="1">
      <alignment horizontal="center" vertical="top"/>
    </xf>
    <xf numFmtId="0" fontId="6" fillId="0" borderId="14" xfId="0" applyFont="1" applyFill="1" applyBorder="1" applyAlignment="1">
      <alignment horizontal="center" vertical="top"/>
    </xf>
    <xf numFmtId="0" fontId="6" fillId="4" borderId="57" xfId="0" applyFont="1" applyFill="1" applyBorder="1" applyAlignment="1">
      <alignment horizontal="center" vertical="center" textRotation="90" wrapText="1"/>
    </xf>
    <xf numFmtId="0" fontId="6" fillId="4" borderId="58" xfId="0" applyFont="1" applyFill="1" applyBorder="1" applyAlignment="1">
      <alignment horizontal="center" vertical="center" textRotation="90" wrapText="1"/>
    </xf>
    <xf numFmtId="0" fontId="6" fillId="4" borderId="50" xfId="0" applyFont="1" applyFill="1" applyBorder="1" applyAlignment="1">
      <alignment horizontal="center" vertical="center" textRotation="90" wrapText="1"/>
    </xf>
    <xf numFmtId="0" fontId="3" fillId="2" borderId="2" xfId="0" applyFont="1" applyFill="1" applyBorder="1" applyAlignment="1">
      <alignment horizontal="left" vertical="center"/>
    </xf>
    <xf numFmtId="0" fontId="3" fillId="2" borderId="2" xfId="0" applyFont="1" applyFill="1" applyBorder="1" applyAlignment="1">
      <alignment horizontal="left" vertical="center" wrapText="1"/>
    </xf>
    <xf numFmtId="0" fontId="3" fillId="0" borderId="2" xfId="0" applyFont="1" applyBorder="1" applyAlignment="1">
      <alignment horizontal="center"/>
    </xf>
    <xf numFmtId="0" fontId="3" fillId="0" borderId="0" xfId="0" applyFont="1" applyBorder="1" applyAlignment="1">
      <alignment horizontal="center"/>
    </xf>
    <xf numFmtId="0" fontId="3" fillId="0" borderId="7" xfId="0" applyFont="1" applyBorder="1" applyAlignment="1">
      <alignment horizontal="center"/>
    </xf>
    <xf numFmtId="0" fontId="3" fillId="2" borderId="3" xfId="0" applyFont="1" applyFill="1" applyBorder="1" applyAlignment="1">
      <alignment horizontal="left" vertical="center" wrapText="1"/>
    </xf>
    <xf numFmtId="0" fontId="3" fillId="2" borderId="0" xfId="0" applyFont="1" applyFill="1" applyBorder="1" applyAlignment="1">
      <alignment horizontal="left" vertical="center"/>
    </xf>
    <xf numFmtId="0" fontId="3" fillId="2" borderId="0"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2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1" fillId="4" borderId="11"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164" fontId="1" fillId="4" borderId="15" xfId="0" applyNumberFormat="1" applyFont="1" applyFill="1" applyBorder="1" applyAlignment="1">
      <alignment horizontal="center" vertical="center"/>
    </xf>
    <xf numFmtId="164" fontId="1" fillId="4" borderId="16"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54"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56" xfId="0" applyFont="1" applyFill="1" applyBorder="1" applyAlignment="1">
      <alignment horizontal="center" vertical="center"/>
    </xf>
    <xf numFmtId="0" fontId="1" fillId="4" borderId="34" xfId="0" applyFont="1" applyFill="1" applyBorder="1" applyAlignment="1">
      <alignment horizontal="center" vertical="center"/>
    </xf>
    <xf numFmtId="0" fontId="1" fillId="4" borderId="52" xfId="0" applyFont="1" applyFill="1" applyBorder="1" applyAlignment="1">
      <alignment horizontal="center" vertical="center"/>
    </xf>
    <xf numFmtId="0" fontId="1" fillId="4" borderId="35" xfId="0" applyFont="1" applyFill="1" applyBorder="1" applyAlignment="1">
      <alignment horizontal="center" vertical="center"/>
    </xf>
    <xf numFmtId="0" fontId="1" fillId="4" borderId="53" xfId="0" applyFont="1" applyFill="1" applyBorder="1" applyAlignment="1">
      <alignment horizontal="center" vertical="center"/>
    </xf>
    <xf numFmtId="164" fontId="5" fillId="0" borderId="15" xfId="0" applyNumberFormat="1" applyFont="1" applyBorder="1" applyAlignment="1">
      <alignment horizontal="center" vertical="center"/>
    </xf>
    <xf numFmtId="164" fontId="5" fillId="0" borderId="18" xfId="0" applyNumberFormat="1" applyFont="1" applyBorder="1" applyAlignment="1">
      <alignment horizontal="center" vertical="center"/>
    </xf>
    <xf numFmtId="164" fontId="5" fillId="0" borderId="16" xfId="0" applyNumberFormat="1" applyFont="1" applyBorder="1" applyAlignment="1">
      <alignment horizontal="center" vertical="center"/>
    </xf>
    <xf numFmtId="166" fontId="5" fillId="0" borderId="15" xfId="0" applyNumberFormat="1" applyFont="1" applyBorder="1" applyAlignment="1">
      <alignment horizontal="center" vertical="center"/>
    </xf>
    <xf numFmtId="166" fontId="5" fillId="0" borderId="18" xfId="0" applyNumberFormat="1" applyFont="1" applyBorder="1" applyAlignment="1">
      <alignment horizontal="center" vertical="center"/>
    </xf>
    <xf numFmtId="166" fontId="5" fillId="0" borderId="16" xfId="0" applyNumberFormat="1" applyFont="1" applyBorder="1" applyAlignment="1">
      <alignment horizontal="center" vertical="center"/>
    </xf>
    <xf numFmtId="165" fontId="5" fillId="0" borderId="15" xfId="0" applyNumberFormat="1" applyFont="1" applyBorder="1" applyAlignment="1">
      <alignment horizontal="center" vertical="center"/>
    </xf>
    <xf numFmtId="165" fontId="5" fillId="0" borderId="18" xfId="0" applyNumberFormat="1" applyFont="1" applyBorder="1" applyAlignment="1">
      <alignment horizontal="center" vertical="center"/>
    </xf>
    <xf numFmtId="165" fontId="5" fillId="0" borderId="16" xfId="0" applyNumberFormat="1" applyFont="1" applyBorder="1" applyAlignment="1">
      <alignment horizontal="center" vertical="center"/>
    </xf>
    <xf numFmtId="0" fontId="5" fillId="0" borderId="15" xfId="0" applyFont="1" applyBorder="1" applyAlignment="1">
      <alignment horizontal="center" vertical="center"/>
    </xf>
    <xf numFmtId="0" fontId="5" fillId="0" borderId="18" xfId="0" applyFont="1" applyBorder="1" applyAlignment="1">
      <alignment horizontal="center" vertical="center"/>
    </xf>
    <xf numFmtId="0" fontId="5" fillId="0" borderId="16" xfId="0" applyFont="1" applyBorder="1" applyAlignment="1">
      <alignment horizontal="center" vertical="center"/>
    </xf>
    <xf numFmtId="0" fontId="5" fillId="0" borderId="12" xfId="0" applyFont="1" applyBorder="1" applyAlignment="1">
      <alignment horizontal="center" vertical="center"/>
    </xf>
    <xf numFmtId="0" fontId="5" fillId="0" borderId="39" xfId="0" applyFont="1" applyBorder="1" applyAlignment="1">
      <alignment horizontal="center" vertical="center"/>
    </xf>
    <xf numFmtId="0" fontId="5" fillId="0" borderId="14" xfId="0" applyFont="1" applyBorder="1" applyAlignment="1">
      <alignment horizontal="center" vertical="center"/>
    </xf>
    <xf numFmtId="0" fontId="3" fillId="0" borderId="11" xfId="0" applyFont="1" applyBorder="1" applyAlignment="1">
      <alignment horizontal="center" vertical="center"/>
    </xf>
    <xf numFmtId="0" fontId="3" fillId="0" borderId="38" xfId="0" applyFont="1" applyBorder="1" applyAlignment="1">
      <alignment horizontal="center" vertical="center"/>
    </xf>
    <xf numFmtId="0" fontId="3" fillId="0" borderId="13" xfId="0" applyFont="1" applyBorder="1" applyAlignment="1">
      <alignment horizontal="center" vertical="center"/>
    </xf>
    <xf numFmtId="2" fontId="5" fillId="0" borderId="15" xfId="0" applyNumberFormat="1" applyFont="1" applyBorder="1" applyAlignment="1">
      <alignment horizontal="center" vertical="center"/>
    </xf>
    <xf numFmtId="2" fontId="5" fillId="0" borderId="18" xfId="0" applyNumberFormat="1" applyFont="1" applyBorder="1" applyAlignment="1">
      <alignment horizontal="center" vertical="center"/>
    </xf>
    <xf numFmtId="2" fontId="5" fillId="0" borderId="16" xfId="0" applyNumberFormat="1" applyFont="1" applyBorder="1" applyAlignment="1">
      <alignment horizontal="center" vertical="center"/>
    </xf>
    <xf numFmtId="164" fontId="5" fillId="0" borderId="41" xfId="0" applyNumberFormat="1" applyFont="1" applyBorder="1" applyAlignment="1">
      <alignment horizontal="center" vertical="center"/>
    </xf>
    <xf numFmtId="164" fontId="5" fillId="0" borderId="37" xfId="0" applyNumberFormat="1" applyFont="1" applyBorder="1" applyAlignment="1">
      <alignment horizontal="center" vertical="center"/>
    </xf>
    <xf numFmtId="164" fontId="5" fillId="0" borderId="31" xfId="0" applyNumberFormat="1" applyFont="1" applyBorder="1" applyAlignment="1">
      <alignment horizontal="center" vertical="center"/>
    </xf>
    <xf numFmtId="164" fontId="5" fillId="0" borderId="60" xfId="0" applyNumberFormat="1" applyFont="1" applyBorder="1" applyAlignment="1">
      <alignment horizontal="center" vertical="center"/>
    </xf>
    <xf numFmtId="0" fontId="5" fillId="0" borderId="34" xfId="0" applyFont="1" applyBorder="1" applyAlignment="1">
      <alignment horizontal="center" vertical="center"/>
    </xf>
    <xf numFmtId="0" fontId="5" fillId="0" borderId="52" xfId="0" applyFont="1" applyBorder="1" applyAlignment="1">
      <alignment horizontal="center" vertical="center"/>
    </xf>
    <xf numFmtId="0" fontId="5" fillId="0" borderId="33" xfId="0" applyFont="1" applyBorder="1" applyAlignment="1">
      <alignment horizontal="center" vertical="center"/>
    </xf>
    <xf numFmtId="0" fontId="5" fillId="0" borderId="59" xfId="0" applyFont="1" applyBorder="1" applyAlignment="1">
      <alignment horizontal="center" vertical="center"/>
    </xf>
    <xf numFmtId="0" fontId="5" fillId="0" borderId="35" xfId="0" applyFont="1" applyBorder="1" applyAlignment="1">
      <alignment horizontal="center" vertical="center"/>
    </xf>
    <xf numFmtId="0" fontId="5" fillId="0" borderId="53" xfId="0" applyFont="1" applyBorder="1" applyAlignment="1">
      <alignment horizontal="center" vertical="center"/>
    </xf>
    <xf numFmtId="0" fontId="5" fillId="3" borderId="18" xfId="0" applyFont="1" applyFill="1" applyBorder="1" applyAlignment="1">
      <alignment horizontal="center"/>
    </xf>
    <xf numFmtId="164" fontId="0" fillId="3" borderId="18" xfId="0" applyNumberFormat="1" applyFont="1" applyFill="1" applyBorder="1" applyAlignment="1">
      <alignment horizontal="center"/>
    </xf>
    <xf numFmtId="2" fontId="5" fillId="3" borderId="18" xfId="0" applyNumberFormat="1" applyFont="1" applyFill="1" applyBorder="1" applyAlignment="1">
      <alignment horizontal="center" vertical="center"/>
    </xf>
    <xf numFmtId="0" fontId="5" fillId="3" borderId="18" xfId="0" applyFont="1" applyFill="1" applyBorder="1" applyAlignment="1">
      <alignment horizontal="center" vertical="center"/>
    </xf>
    <xf numFmtId="164" fontId="5" fillId="3" borderId="18" xfId="0" applyNumberFormat="1" applyFont="1" applyFill="1" applyBorder="1" applyAlignment="1">
      <alignment horizontal="center" vertical="center"/>
    </xf>
    <xf numFmtId="0" fontId="6" fillId="4" borderId="36" xfId="0" applyFont="1" applyFill="1" applyBorder="1" applyAlignment="1">
      <alignment horizontal="left" vertical="top" wrapText="1"/>
    </xf>
    <xf numFmtId="0" fontId="6" fillId="4" borderId="37" xfId="0" applyFont="1" applyFill="1" applyBorder="1" applyAlignment="1">
      <alignment horizontal="left" vertical="top" wrapText="1"/>
    </xf>
    <xf numFmtId="0" fontId="6" fillId="4" borderId="13" xfId="0" applyFont="1" applyFill="1" applyBorder="1" applyAlignment="1">
      <alignment horizontal="left" vertical="top" wrapText="1"/>
    </xf>
    <xf numFmtId="0" fontId="6" fillId="4" borderId="16" xfId="0" applyFont="1" applyFill="1" applyBorder="1" applyAlignment="1">
      <alignment horizontal="left" vertical="top" wrapText="1"/>
    </xf>
    <xf numFmtId="0" fontId="6" fillId="4" borderId="36"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6" fillId="4" borderId="32" xfId="0" applyFont="1" applyFill="1" applyBorder="1" applyAlignment="1">
      <alignment horizontal="center" vertical="top" wrapText="1"/>
    </xf>
    <xf numFmtId="0" fontId="6" fillId="4" borderId="10" xfId="0" applyFont="1" applyFill="1" applyBorder="1" applyAlignment="1">
      <alignment horizontal="center" vertical="top" wrapText="1"/>
    </xf>
    <xf numFmtId="0" fontId="1" fillId="0" borderId="51"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3" xfId="0" applyFont="1" applyFill="1" applyBorder="1" applyAlignment="1">
      <alignment horizontal="left" vertical="top" wrapText="1"/>
    </xf>
    <xf numFmtId="0" fontId="1" fillId="0" borderId="28" xfId="0" applyFont="1" applyFill="1" applyBorder="1" applyAlignment="1">
      <alignment horizontal="center" vertical="top" wrapText="1"/>
    </xf>
    <xf numFmtId="0" fontId="1" fillId="0" borderId="29" xfId="0" applyFont="1" applyFill="1" applyBorder="1" applyAlignment="1">
      <alignment horizontal="center" vertical="top" wrapText="1"/>
    </xf>
    <xf numFmtId="0" fontId="1" fillId="0" borderId="30" xfId="0" applyFont="1" applyFill="1" applyBorder="1" applyAlignment="1">
      <alignment horizontal="center" vertical="top" wrapText="1"/>
    </xf>
    <xf numFmtId="166" fontId="5" fillId="3" borderId="18" xfId="0" applyNumberFormat="1" applyFont="1" applyFill="1" applyBorder="1" applyAlignment="1">
      <alignment horizontal="center" vertical="center"/>
    </xf>
    <xf numFmtId="0" fontId="0" fillId="0" borderId="27"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 fillId="4" borderId="9" xfId="0" applyFont="1" applyFill="1" applyBorder="1" applyAlignment="1">
      <alignment horizontal="left" vertical="top"/>
    </xf>
    <xf numFmtId="0" fontId="1" fillId="4" borderId="17" xfId="0" applyFont="1" applyFill="1" applyBorder="1" applyAlignment="1">
      <alignment horizontal="left" vertical="top"/>
    </xf>
    <xf numFmtId="0" fontId="1" fillId="4" borderId="42" xfId="0" applyFont="1" applyFill="1" applyBorder="1" applyAlignment="1">
      <alignment horizontal="left" vertical="top"/>
    </xf>
    <xf numFmtId="0" fontId="0" fillId="0" borderId="17" xfId="0" applyFont="1" applyBorder="1" applyAlignment="1">
      <alignment horizontal="left" vertical="top" wrapText="1"/>
    </xf>
    <xf numFmtId="0" fontId="0" fillId="0" borderId="42" xfId="0" applyFont="1" applyBorder="1" applyAlignment="1">
      <alignment horizontal="left" vertical="top" wrapText="1"/>
    </xf>
    <xf numFmtId="0" fontId="0" fillId="0" borderId="9" xfId="0" applyBorder="1" applyAlignment="1">
      <alignment horizontal="justify" vertical="justify" wrapText="1"/>
    </xf>
    <xf numFmtId="0" fontId="0" fillId="0" borderId="17" xfId="0" applyBorder="1" applyAlignment="1">
      <alignment horizontal="justify" vertical="justify" wrapText="1"/>
    </xf>
    <xf numFmtId="0" fontId="0" fillId="0" borderId="42" xfId="0" applyBorder="1" applyAlignment="1">
      <alignment horizontal="justify" vertical="justify" wrapText="1"/>
    </xf>
    <xf numFmtId="0" fontId="0" fillId="0" borderId="9" xfId="0" applyFont="1" applyBorder="1" applyAlignment="1">
      <alignment horizontal="center" wrapText="1"/>
    </xf>
    <xf numFmtId="0" fontId="0" fillId="0" borderId="17" xfId="0" applyFont="1" applyBorder="1" applyAlignment="1">
      <alignment horizontal="center" wrapText="1"/>
    </xf>
    <xf numFmtId="0" fontId="0" fillId="0" borderId="42" xfId="0" applyFont="1" applyBorder="1" applyAlignment="1">
      <alignment horizontal="center" wrapText="1"/>
    </xf>
    <xf numFmtId="0" fontId="16" fillId="5" borderId="9" xfId="0" applyFont="1" applyFill="1" applyBorder="1" applyAlignment="1">
      <alignment horizontal="center"/>
    </xf>
    <xf numFmtId="0" fontId="16" fillId="5" borderId="42" xfId="0" applyFont="1" applyFill="1" applyBorder="1" applyAlignment="1">
      <alignment horizontal="center"/>
    </xf>
    <xf numFmtId="0" fontId="0" fillId="0" borderId="9" xfId="0" applyFont="1" applyBorder="1" applyAlignment="1">
      <alignment horizontal="center" vertical="center" wrapText="1"/>
    </xf>
    <xf numFmtId="0" fontId="0" fillId="0" borderId="17" xfId="0" applyFont="1" applyBorder="1" applyAlignment="1">
      <alignment horizontal="center" vertical="center" wrapText="1"/>
    </xf>
    <xf numFmtId="0" fontId="0" fillId="0" borderId="42" xfId="0" applyFont="1" applyBorder="1" applyAlignment="1">
      <alignment horizontal="center" vertical="center" wrapText="1"/>
    </xf>
    <xf numFmtId="0" fontId="4" fillId="4" borderId="9" xfId="0" applyFont="1" applyFill="1" applyBorder="1" applyAlignment="1">
      <alignment horizontal="center" vertical="top" wrapText="1"/>
    </xf>
    <xf numFmtId="0" fontId="4" fillId="4" borderId="17" xfId="0" applyFont="1" applyFill="1" applyBorder="1" applyAlignment="1">
      <alignment horizontal="center" vertical="top" wrapText="1"/>
    </xf>
    <xf numFmtId="0" fontId="4" fillId="4" borderId="42" xfId="0" applyFont="1" applyFill="1" applyBorder="1" applyAlignment="1">
      <alignment horizontal="center" vertical="top"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3" fillId="0" borderId="28" xfId="0" applyFont="1" applyBorder="1" applyAlignment="1">
      <alignment horizontal="center"/>
    </xf>
    <xf numFmtId="0" fontId="3" fillId="0" borderId="29" xfId="0" applyFont="1" applyBorder="1" applyAlignment="1">
      <alignment horizontal="center"/>
    </xf>
    <xf numFmtId="0" fontId="3" fillId="0" borderId="30" xfId="0" applyFont="1" applyBorder="1" applyAlignment="1">
      <alignment horizontal="center"/>
    </xf>
    <xf numFmtId="0" fontId="0" fillId="0" borderId="17" xfId="0" applyBorder="1" applyAlignment="1">
      <alignment horizontal="center"/>
    </xf>
    <xf numFmtId="0" fontId="0" fillId="0" borderId="42" xfId="0" applyBorder="1" applyAlignment="1">
      <alignment horizontal="center"/>
    </xf>
    <xf numFmtId="0" fontId="1" fillId="4" borderId="9" xfId="0" applyFont="1" applyFill="1" applyBorder="1" applyAlignment="1">
      <alignment horizontal="center"/>
    </xf>
    <xf numFmtId="0" fontId="1" fillId="4" borderId="17" xfId="0" applyFont="1" applyFill="1" applyBorder="1" applyAlignment="1">
      <alignment horizontal="center"/>
    </xf>
    <xf numFmtId="0" fontId="1" fillId="4" borderId="42" xfId="0" applyFont="1" applyFill="1" applyBorder="1" applyAlignment="1">
      <alignment horizontal="center"/>
    </xf>
    <xf numFmtId="0" fontId="1" fillId="0" borderId="9" xfId="0" applyFont="1" applyFill="1" applyBorder="1" applyAlignment="1">
      <alignment horizontal="center"/>
    </xf>
    <xf numFmtId="0" fontId="1" fillId="0" borderId="17" xfId="0" applyFont="1" applyFill="1" applyBorder="1" applyAlignment="1">
      <alignment horizontal="center"/>
    </xf>
    <xf numFmtId="0" fontId="1" fillId="0" borderId="42" xfId="0" applyFont="1" applyFill="1" applyBorder="1" applyAlignment="1">
      <alignment horizontal="center"/>
    </xf>
    <xf numFmtId="0" fontId="0" fillId="0" borderId="9" xfId="0" applyBorder="1" applyAlignment="1">
      <alignment horizontal="center" vertical="center" wrapText="1"/>
    </xf>
    <xf numFmtId="0" fontId="5" fillId="0" borderId="40" xfId="0" applyFont="1" applyBorder="1" applyAlignment="1">
      <alignment horizontal="center" vertical="center"/>
    </xf>
    <xf numFmtId="0" fontId="5" fillId="0" borderId="43" xfId="0" applyFont="1" applyBorder="1" applyAlignment="1">
      <alignment horizontal="center" vertical="center"/>
    </xf>
    <xf numFmtId="0" fontId="3" fillId="0" borderId="44" xfId="0" applyFont="1" applyBorder="1" applyAlignment="1">
      <alignment horizontal="center" vertical="center"/>
    </xf>
    <xf numFmtId="164" fontId="5" fillId="0" borderId="40" xfId="0" applyNumberFormat="1" applyFont="1" applyBorder="1" applyAlignment="1">
      <alignment horizontal="center" vertical="center"/>
    </xf>
    <xf numFmtId="0" fontId="5" fillId="0" borderId="15" xfId="0" applyFont="1" applyBorder="1" applyAlignment="1">
      <alignment horizontal="center"/>
    </xf>
    <xf numFmtId="0" fontId="5" fillId="0" borderId="18" xfId="0" applyFont="1" applyBorder="1" applyAlignment="1">
      <alignment horizontal="center"/>
    </xf>
    <xf numFmtId="0" fontId="5" fillId="0" borderId="40" xfId="0" applyFont="1" applyBorder="1" applyAlignment="1">
      <alignment horizontal="center"/>
    </xf>
    <xf numFmtId="0" fontId="5" fillId="0" borderId="16" xfId="0" applyFont="1" applyBorder="1" applyAlignment="1">
      <alignment horizontal="center"/>
    </xf>
    <xf numFmtId="0" fontId="5" fillId="3" borderId="16" xfId="0" applyFont="1" applyFill="1" applyBorder="1" applyAlignment="1">
      <alignment horizontal="center" vertical="center"/>
    </xf>
    <xf numFmtId="164" fontId="5" fillId="3" borderId="16" xfId="0" applyNumberFormat="1" applyFont="1" applyFill="1" applyBorder="1" applyAlignment="1">
      <alignment horizontal="center" vertical="center"/>
    </xf>
    <xf numFmtId="2" fontId="5" fillId="3" borderId="15" xfId="0" applyNumberFormat="1" applyFont="1" applyFill="1" applyBorder="1" applyAlignment="1">
      <alignment horizontal="center" vertical="center"/>
    </xf>
    <xf numFmtId="164" fontId="5" fillId="3" borderId="15" xfId="0" applyNumberFormat="1" applyFont="1" applyFill="1" applyBorder="1" applyAlignment="1">
      <alignment horizontal="center" vertical="center"/>
    </xf>
    <xf numFmtId="2" fontId="5" fillId="3" borderId="16" xfId="0" applyNumberFormat="1" applyFont="1" applyFill="1" applyBorder="1" applyAlignment="1">
      <alignment horizontal="center" vertical="center"/>
    </xf>
    <xf numFmtId="0" fontId="5" fillId="3" borderId="15" xfId="0" applyFont="1" applyFill="1" applyBorder="1" applyAlignment="1">
      <alignment horizontal="center"/>
    </xf>
    <xf numFmtId="164" fontId="0" fillId="3" borderId="15" xfId="0" applyNumberFormat="1" applyFont="1" applyFill="1" applyBorder="1" applyAlignment="1">
      <alignment horizontal="center"/>
    </xf>
    <xf numFmtId="0" fontId="5" fillId="3" borderId="16" xfId="0" applyFont="1" applyFill="1" applyBorder="1" applyAlignment="1">
      <alignment horizontal="center"/>
    </xf>
    <xf numFmtId="0" fontId="5" fillId="3" borderId="15" xfId="0" applyFont="1" applyFill="1" applyBorder="1" applyAlignment="1">
      <alignment horizontal="center" vertical="center"/>
    </xf>
    <xf numFmtId="166" fontId="5" fillId="3" borderId="15" xfId="0" applyNumberFormat="1" applyFont="1" applyFill="1" applyBorder="1" applyAlignment="1">
      <alignment horizontal="center" vertical="center"/>
    </xf>
    <xf numFmtId="166" fontId="5" fillId="3" borderId="16" xfId="0" applyNumberFormat="1" applyFont="1" applyFill="1" applyBorder="1" applyAlignment="1">
      <alignment horizontal="center" vertical="center"/>
    </xf>
    <xf numFmtId="0" fontId="5" fillId="3" borderId="12" xfId="0" applyFont="1" applyFill="1" applyBorder="1" applyAlignment="1">
      <alignment horizontal="center" vertical="center"/>
    </xf>
    <xf numFmtId="0" fontId="5" fillId="3" borderId="39"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38" xfId="0" applyFont="1" applyFill="1" applyBorder="1" applyAlignment="1">
      <alignment horizontal="center" vertical="center"/>
    </xf>
    <xf numFmtId="0" fontId="5" fillId="3" borderId="13" xfId="0" applyFont="1" applyFill="1" applyBorder="1" applyAlignment="1">
      <alignment horizontal="center" vertical="center"/>
    </xf>
    <xf numFmtId="0" fontId="5" fillId="0" borderId="11" xfId="0" applyFont="1" applyBorder="1" applyAlignment="1">
      <alignment horizontal="center" vertical="center"/>
    </xf>
    <xf numFmtId="0" fontId="5" fillId="0" borderId="38" xfId="0" applyFont="1" applyBorder="1" applyAlignment="1">
      <alignment horizontal="center" vertical="center"/>
    </xf>
    <xf numFmtId="0" fontId="5" fillId="0" borderId="13" xfId="0" applyFont="1" applyBorder="1" applyAlignment="1">
      <alignment horizontal="center" vertical="center"/>
    </xf>
    <xf numFmtId="164" fontId="5" fillId="0" borderId="15" xfId="0" applyNumberFormat="1" applyFont="1" applyBorder="1" applyAlignment="1">
      <alignment horizontal="center"/>
    </xf>
    <xf numFmtId="164" fontId="5" fillId="0" borderId="16" xfId="0" applyNumberFormat="1" applyFont="1" applyBorder="1" applyAlignment="1">
      <alignment horizontal="center"/>
    </xf>
    <xf numFmtId="164" fontId="5" fillId="0" borderId="18" xfId="0" applyNumberFormat="1" applyFont="1" applyBorder="1" applyAlignment="1">
      <alignment horizontal="center"/>
    </xf>
    <xf numFmtId="164" fontId="5" fillId="0" borderId="34" xfId="0" applyNumberFormat="1" applyFont="1" applyBorder="1" applyAlignment="1">
      <alignment horizontal="center" vertical="center"/>
    </xf>
    <xf numFmtId="164" fontId="5" fillId="0" borderId="52" xfId="0" applyNumberFormat="1" applyFont="1" applyBorder="1" applyAlignment="1">
      <alignment horizontal="center" vertical="center"/>
    </xf>
    <xf numFmtId="164" fontId="5" fillId="0" borderId="33" xfId="0" applyNumberFormat="1" applyFont="1" applyBorder="1" applyAlignment="1">
      <alignment horizontal="center" vertical="center"/>
    </xf>
    <xf numFmtId="164" fontId="5" fillId="0" borderId="59" xfId="0" applyNumberFormat="1" applyFont="1" applyBorder="1" applyAlignment="1">
      <alignment horizontal="center" vertical="center"/>
    </xf>
    <xf numFmtId="164" fontId="5" fillId="0" borderId="35" xfId="0" applyNumberFormat="1" applyFont="1" applyBorder="1" applyAlignment="1">
      <alignment horizontal="center" vertical="center"/>
    </xf>
    <xf numFmtId="164" fontId="5" fillId="0" borderId="53" xfId="0" applyNumberFormat="1" applyFont="1" applyBorder="1" applyAlignment="1">
      <alignment horizontal="center" vertical="center"/>
    </xf>
    <xf numFmtId="164" fontId="5" fillId="0" borderId="40" xfId="0" applyNumberFormat="1" applyFont="1" applyBorder="1" applyAlignment="1">
      <alignment horizontal="center"/>
    </xf>
    <xf numFmtId="164" fontId="5" fillId="3" borderId="18" xfId="0" applyNumberFormat="1" applyFont="1" applyFill="1" applyBorder="1" applyAlignment="1">
      <alignment horizontal="center"/>
    </xf>
    <xf numFmtId="0" fontId="17" fillId="0" borderId="27" xfId="0" applyFont="1" applyBorder="1" applyAlignment="1">
      <alignment wrapText="1"/>
    </xf>
    <xf numFmtId="0" fontId="17" fillId="0" borderId="0" xfId="0" applyFont="1" applyBorder="1" applyAlignment="1">
      <alignment wrapText="1"/>
    </xf>
    <xf numFmtId="0" fontId="6" fillId="0" borderId="49" xfId="0" applyFont="1" applyFill="1" applyBorder="1" applyAlignment="1">
      <alignment horizontal="center" vertical="center" wrapText="1"/>
    </xf>
    <xf numFmtId="0" fontId="6" fillId="0" borderId="17" xfId="0" applyFont="1" applyFill="1" applyBorder="1" applyAlignment="1">
      <alignment horizontal="center" vertical="center" wrapText="1"/>
    </xf>
    <xf numFmtId="0" fontId="6" fillId="0" borderId="42" xfId="0" applyFont="1" applyFill="1" applyBorder="1" applyAlignment="1">
      <alignment horizontal="center" vertical="center" wrapText="1"/>
    </xf>
    <xf numFmtId="0" fontId="6" fillId="5" borderId="30" xfId="0" applyFont="1" applyFill="1" applyBorder="1" applyAlignment="1">
      <alignment horizontal="center" vertical="center"/>
    </xf>
  </cellXfs>
  <cellStyles count="3">
    <cellStyle name="Moneda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jpeg"/><Relationship Id="rId1" Type="http://schemas.openxmlformats.org/officeDocument/2006/relationships/image" Target="../media/image4.jpe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1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4.jpeg"/><Relationship Id="rId2" Type="http://schemas.openxmlformats.org/officeDocument/2006/relationships/image" Target="../media/image13.jpeg"/><Relationship Id="rId1" Type="http://schemas.openxmlformats.org/officeDocument/2006/relationships/image" Target="../media/image4.jpe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15.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7.jpeg"/><Relationship Id="rId2" Type="http://schemas.openxmlformats.org/officeDocument/2006/relationships/image" Target="../media/image16.jpeg"/><Relationship Id="rId1" Type="http://schemas.openxmlformats.org/officeDocument/2006/relationships/image" Target="../media/image4.jpe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18.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4.jpe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2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3.jpeg"/><Relationship Id="rId2" Type="http://schemas.openxmlformats.org/officeDocument/2006/relationships/image" Target="../media/image22.jpeg"/><Relationship Id="rId1" Type="http://schemas.openxmlformats.org/officeDocument/2006/relationships/image" Target="../media/image4.jpe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24.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9</xdr:col>
      <xdr:colOff>0</xdr:colOff>
      <xdr:row>24</xdr:row>
      <xdr:rowOff>0</xdr:rowOff>
    </xdr:to>
    <xdr:pic>
      <xdr:nvPicPr>
        <xdr:cNvPr id="4" name="Imagen 3"/>
        <xdr:cNvPicPr/>
      </xdr:nvPicPr>
      <xdr:blipFill>
        <a:blip xmlns:r="http://schemas.openxmlformats.org/officeDocument/2006/relationships" r:embed="rId1"/>
        <a:stretch>
          <a:fillRect/>
        </a:stretch>
      </xdr:blipFill>
      <xdr:spPr>
        <a:xfrm>
          <a:off x="847725" y="466725"/>
          <a:ext cx="5334000" cy="4000500"/>
        </a:xfrm>
        <a:prstGeom prst="rect">
          <a:avLst/>
        </a:prstGeom>
      </xdr:spPr>
    </xdr:pic>
    <xdr:clientData/>
  </xdr:twoCellAnchor>
  <xdr:twoCellAnchor editAs="oneCell">
    <xdr:from>
      <xdr:col>2</xdr:col>
      <xdr:colOff>0</xdr:colOff>
      <xdr:row>28</xdr:row>
      <xdr:rowOff>0</xdr:rowOff>
    </xdr:from>
    <xdr:to>
      <xdr:col>9</xdr:col>
      <xdr:colOff>0</xdr:colOff>
      <xdr:row>46</xdr:row>
      <xdr:rowOff>0</xdr:rowOff>
    </xdr:to>
    <xdr:pic>
      <xdr:nvPicPr>
        <xdr:cNvPr id="5" name="Imagen 4"/>
        <xdr:cNvPicPr/>
      </xdr:nvPicPr>
      <xdr:blipFill>
        <a:blip xmlns:r="http://schemas.openxmlformats.org/officeDocument/2006/relationships" r:embed="rId2"/>
        <a:stretch>
          <a:fillRect/>
        </a:stretch>
      </xdr:blipFill>
      <xdr:spPr>
        <a:xfrm>
          <a:off x="847725" y="5019675"/>
          <a:ext cx="5334000" cy="3429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335281</xdr:colOff>
      <xdr:row>13</xdr:row>
      <xdr:rowOff>0</xdr:rowOff>
    </xdr:from>
    <xdr:ext cx="153866" cy="196464"/>
    <xdr:sp macro="" textlink="">
      <xdr:nvSpPr>
        <xdr:cNvPr id="2" name="CuadroTexto 1">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318954</xdr:colOff>
      <xdr:row>50</xdr:row>
      <xdr:rowOff>69668</xdr:rowOff>
    </xdr:from>
    <xdr:to>
      <xdr:col>8</xdr:col>
      <xdr:colOff>293916</xdr:colOff>
      <xdr:row>52</xdr:row>
      <xdr:rowOff>1017814</xdr:rowOff>
    </xdr:to>
    <xdr:pic>
      <xdr:nvPicPr>
        <xdr:cNvPr id="3" name="Imagen 2">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479" y="9775643"/>
          <a:ext cx="3518262" cy="1367247"/>
        </a:xfrm>
        <a:prstGeom prst="rect">
          <a:avLst/>
        </a:prstGeom>
      </xdr:spPr>
    </xdr:pic>
    <xdr:clientData/>
  </xdr:twoCellAnchor>
  <xdr:oneCellAnchor>
    <xdr:from>
      <xdr:col>3</xdr:col>
      <xdr:colOff>403127</xdr:colOff>
      <xdr:row>48</xdr:row>
      <xdr:rowOff>397957</xdr:rowOff>
    </xdr:from>
    <xdr:ext cx="971571" cy="269241"/>
    <mc:AlternateContent xmlns:mc="http://schemas.openxmlformats.org/markup-compatibility/2006" xmlns:a14="http://schemas.microsoft.com/office/drawing/2010/main">
      <mc:Choice Requires="a14">
        <xdr:sp macro="" textlink="">
          <xdr:nvSpPr>
            <xdr:cNvPr id="5" name="19 CuadroTexto"/>
            <xdr:cNvSpPr txBox="1"/>
          </xdr:nvSpPr>
          <xdr:spPr>
            <a:xfrm>
              <a:off x="1355627" y="9037132"/>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5" name="19 CuadroTexto"/>
            <xdr:cNvSpPr txBox="1"/>
          </xdr:nvSpPr>
          <xdr:spPr>
            <a:xfrm>
              <a:off x="1355627" y="9037132"/>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185307</xdr:colOff>
      <xdr:row>48</xdr:row>
      <xdr:rowOff>320459</xdr:rowOff>
    </xdr:from>
    <xdr:ext cx="1857376" cy="420243"/>
    <mc:AlternateContent xmlns:mc="http://schemas.openxmlformats.org/markup-compatibility/2006" xmlns:a14="http://schemas.microsoft.com/office/drawing/2010/main">
      <mc:Choice Requires="a14">
        <xdr:sp macro="" textlink="">
          <xdr:nvSpPr>
            <xdr:cNvPr id="6" name="20 CuadroTexto"/>
            <xdr:cNvSpPr txBox="1"/>
          </xdr:nvSpPr>
          <xdr:spPr>
            <a:xfrm>
              <a:off x="3738132" y="8959634"/>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6" name="20 CuadroTexto"/>
            <xdr:cNvSpPr txBox="1"/>
          </xdr:nvSpPr>
          <xdr:spPr>
            <a:xfrm>
              <a:off x="3738132" y="8959634"/>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10</xdr:col>
      <xdr:colOff>422095</xdr:colOff>
      <xdr:row>48</xdr:row>
      <xdr:rowOff>27002</xdr:rowOff>
    </xdr:from>
    <xdr:ext cx="2933700" cy="409215"/>
    <mc:AlternateContent xmlns:mc="http://schemas.openxmlformats.org/markup-compatibility/2006" xmlns:a14="http://schemas.microsoft.com/office/drawing/2010/main">
      <mc:Choice Requires="a14">
        <xdr:sp macro="" textlink="">
          <xdr:nvSpPr>
            <xdr:cNvPr id="7" name="21 CuadroTexto"/>
            <xdr:cNvSpPr txBox="1"/>
          </xdr:nvSpPr>
          <xdr:spPr>
            <a:xfrm>
              <a:off x="4908370" y="8666177"/>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7" name="21 CuadroTexto"/>
            <xdr:cNvSpPr txBox="1"/>
          </xdr:nvSpPr>
          <xdr:spPr>
            <a:xfrm>
              <a:off x="4908370" y="8666177"/>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14</xdr:col>
      <xdr:colOff>276287</xdr:colOff>
      <xdr:row>48</xdr:row>
      <xdr:rowOff>18715</xdr:rowOff>
    </xdr:from>
    <xdr:ext cx="1055203" cy="410305"/>
    <mc:AlternateContent xmlns:mc="http://schemas.openxmlformats.org/markup-compatibility/2006" xmlns:a14="http://schemas.microsoft.com/office/drawing/2010/main">
      <mc:Choice Requires="a14">
        <xdr:sp macro="" textlink="">
          <xdr:nvSpPr>
            <xdr:cNvPr id="8" name="22 CuadroTexto"/>
            <xdr:cNvSpPr txBox="1"/>
          </xdr:nvSpPr>
          <xdr:spPr>
            <a:xfrm>
              <a:off x="7696262" y="8657890"/>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2 CuadroTexto"/>
            <xdr:cNvSpPr txBox="1"/>
          </xdr:nvSpPr>
          <xdr:spPr>
            <a:xfrm>
              <a:off x="7696262" y="8657890"/>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48</xdr:row>
      <xdr:rowOff>47061</xdr:rowOff>
    </xdr:from>
    <xdr:ext cx="4906839" cy="416524"/>
    <mc:AlternateContent xmlns:mc="http://schemas.openxmlformats.org/markup-compatibility/2006" xmlns:a14="http://schemas.microsoft.com/office/drawing/2010/main">
      <mc:Choice Requires="a14">
        <xdr:sp macro="" textlink="">
          <xdr:nvSpPr>
            <xdr:cNvPr id="9" name="21 CuadroTexto"/>
            <xdr:cNvSpPr txBox="1"/>
          </xdr:nvSpPr>
          <xdr:spPr>
            <a:xfrm>
              <a:off x="737549" y="8686236"/>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1 CuadroTexto"/>
            <xdr:cNvSpPr txBox="1"/>
          </xdr:nvSpPr>
          <xdr:spPr>
            <a:xfrm>
              <a:off x="737549" y="8686236"/>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166236</xdr:colOff>
      <xdr:row>48</xdr:row>
      <xdr:rowOff>319663</xdr:rowOff>
    </xdr:from>
    <xdr:ext cx="1279721" cy="355738"/>
    <mc:AlternateContent xmlns:mc="http://schemas.openxmlformats.org/markup-compatibility/2006" xmlns:a14="http://schemas.microsoft.com/office/drawing/2010/main">
      <mc:Choice Requires="a14">
        <xdr:sp macro="" textlink="">
          <xdr:nvSpPr>
            <xdr:cNvPr id="10" name="19 CuadroTexto"/>
            <xdr:cNvSpPr txBox="1"/>
          </xdr:nvSpPr>
          <xdr:spPr>
            <a:xfrm>
              <a:off x="6719436" y="8958838"/>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0" name="19 CuadroTexto"/>
            <xdr:cNvSpPr txBox="1"/>
          </xdr:nvSpPr>
          <xdr:spPr>
            <a:xfrm>
              <a:off x="6719436" y="8958838"/>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784860</xdr:colOff>
      <xdr:row>55</xdr:row>
      <xdr:rowOff>0</xdr:rowOff>
    </xdr:from>
    <xdr:ext cx="153866" cy="196464"/>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204835" y="1174432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204835" y="1174432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twoCellAnchor editAs="oneCell">
    <xdr:from>
      <xdr:col>12</xdr:col>
      <xdr:colOff>481460</xdr:colOff>
      <xdr:row>58</xdr:row>
      <xdr:rowOff>130315</xdr:rowOff>
    </xdr:from>
    <xdr:to>
      <xdr:col>15</xdr:col>
      <xdr:colOff>140430</xdr:colOff>
      <xdr:row>58</xdr:row>
      <xdr:rowOff>1709058</xdr:rowOff>
    </xdr:to>
    <xdr:pic>
      <xdr:nvPicPr>
        <xdr:cNvPr id="12" name="Imagen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01235" y="12436615"/>
          <a:ext cx="2040220" cy="1578743"/>
        </a:xfrm>
        <a:prstGeom prst="rect">
          <a:avLst/>
        </a:prstGeom>
      </xdr:spPr>
    </xdr:pic>
    <xdr:clientData/>
  </xdr:twoCellAnchor>
  <xdr:twoCellAnchor editAs="oneCell">
    <xdr:from>
      <xdr:col>2</xdr:col>
      <xdr:colOff>341698</xdr:colOff>
      <xdr:row>58</xdr:row>
      <xdr:rowOff>144780</xdr:rowOff>
    </xdr:from>
    <xdr:to>
      <xdr:col>4</xdr:col>
      <xdr:colOff>224295</xdr:colOff>
      <xdr:row>58</xdr:row>
      <xdr:rowOff>1676399</xdr:rowOff>
    </xdr:to>
    <xdr:pic>
      <xdr:nvPicPr>
        <xdr:cNvPr id="13" name="Imagen 1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8898" y="12451080"/>
          <a:ext cx="1111322" cy="1531619"/>
        </a:xfrm>
        <a:prstGeom prst="rect">
          <a:avLst/>
        </a:prstGeom>
      </xdr:spPr>
    </xdr:pic>
    <xdr:clientData/>
  </xdr:twoCellAnchor>
  <xdr:oneCellAnchor>
    <xdr:from>
      <xdr:col>2</xdr:col>
      <xdr:colOff>0</xdr:colOff>
      <xdr:row>12</xdr:row>
      <xdr:rowOff>0</xdr:rowOff>
    </xdr:from>
    <xdr:ext cx="169469" cy="196464"/>
    <xdr:sp macro="" textlink="">
      <xdr:nvSpPr>
        <xdr:cNvPr id="14" name="CuadroTexto 13">
          <a:extLst>
            <a:ext uri="{FF2B5EF4-FFF2-40B4-BE49-F238E27FC236}">
              <a16:creationId xmlns:a16="http://schemas.microsoft.com/office/drawing/2014/main" id="{FD240DDD-5F74-41EA-B78E-E3B54C280256}"/>
            </a:ext>
          </a:extLst>
        </xdr:cNvPr>
        <xdr:cNvSpPr txBox="1"/>
      </xdr:nvSpPr>
      <xdr:spPr>
        <a:xfrm>
          <a:off x="457200" y="2257425"/>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xdr:from>
      <xdr:col>7</xdr:col>
      <xdr:colOff>83457</xdr:colOff>
      <xdr:row>58</xdr:row>
      <xdr:rowOff>130628</xdr:rowOff>
    </xdr:from>
    <xdr:to>
      <xdr:col>15</xdr:col>
      <xdr:colOff>194485</xdr:colOff>
      <xdr:row>58</xdr:row>
      <xdr:rowOff>1719943</xdr:rowOff>
    </xdr:to>
    <xdr:grpSp>
      <xdr:nvGrpSpPr>
        <xdr:cNvPr id="15" name="Grupo 14"/>
        <xdr:cNvGrpSpPr/>
      </xdr:nvGrpSpPr>
      <xdr:grpSpPr>
        <a:xfrm>
          <a:off x="3274332" y="12465503"/>
          <a:ext cx="5147372" cy="1589315"/>
          <a:chOff x="3337197" y="13526588"/>
          <a:chExt cx="5117368" cy="1589315"/>
        </a:xfrm>
      </xdr:grpSpPr>
      <xdr:pic>
        <xdr:nvPicPr>
          <xdr:cNvPr id="16" name="Imagen 1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37197" y="13526588"/>
            <a:ext cx="2119086" cy="1589315"/>
          </a:xfrm>
          <a:prstGeom prst="rect">
            <a:avLst/>
          </a:prstGeom>
        </xdr:spPr>
      </xdr:pic>
      <xdr:cxnSp macro="">
        <xdr:nvCxnSpPr>
          <xdr:cNvPr id="17" name="Conector recto de flecha 16"/>
          <xdr:cNvCxnSpPr/>
        </xdr:nvCxnSpPr>
        <xdr:spPr>
          <a:xfrm flipH="1" flipV="1">
            <a:off x="7635240" y="14257020"/>
            <a:ext cx="601980" cy="5257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8" name="CuadroTexto 17"/>
          <xdr:cNvSpPr txBox="1"/>
        </xdr:nvSpPr>
        <xdr:spPr>
          <a:xfrm>
            <a:off x="7589520" y="14726194"/>
            <a:ext cx="865045"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MX" sz="800">
                <a:solidFill>
                  <a:srgbClr val="C00000"/>
                </a:solidFill>
              </a:rPr>
              <a:t>Sentido del flujo</a:t>
            </a:r>
          </a:p>
        </xdr:txBody>
      </xdr:sp>
    </xdr:grpSp>
    <xdr:clientData/>
  </xdr:twoCellAnchor>
  <xdr:oneCellAnchor>
    <xdr:from>
      <xdr:col>6</xdr:col>
      <xdr:colOff>0</xdr:colOff>
      <xdr:row>11</xdr:row>
      <xdr:rowOff>0</xdr:rowOff>
    </xdr:from>
    <xdr:ext cx="169469" cy="196464"/>
    <xdr:sp macro="" textlink="">
      <xdr:nvSpPr>
        <xdr:cNvPr id="19" name="CuadroTexto 18">
          <a:extLst>
            <a:ext uri="{FF2B5EF4-FFF2-40B4-BE49-F238E27FC236}">
              <a16:creationId xmlns:a16="http://schemas.microsoft.com/office/drawing/2014/main" id="{FD240DDD-5F74-41EA-B78E-E3B54C280256}"/>
            </a:ext>
          </a:extLst>
        </xdr:cNvPr>
        <xdr:cNvSpPr txBox="1"/>
      </xdr:nvSpPr>
      <xdr:spPr>
        <a:xfrm>
          <a:off x="2724150" y="2038350"/>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20" name="CuadroTexto 19">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104775</xdr:colOff>
      <xdr:row>1</xdr:row>
      <xdr:rowOff>15062</xdr:rowOff>
    </xdr:from>
    <xdr:to>
      <xdr:col>3</xdr:col>
      <xdr:colOff>657225</xdr:colOff>
      <xdr:row>2</xdr:row>
      <xdr:rowOff>242545</xdr:rowOff>
    </xdr:to>
    <xdr:pic>
      <xdr:nvPicPr>
        <xdr:cNvPr id="21"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442266</xdr:colOff>
      <xdr:row>1</xdr:row>
      <xdr:rowOff>38100</xdr:rowOff>
    </xdr:from>
    <xdr:to>
      <xdr:col>15</xdr:col>
      <xdr:colOff>331493</xdr:colOff>
      <xdr:row>2</xdr:row>
      <xdr:rowOff>219075</xdr:rowOff>
    </xdr:to>
    <xdr:pic>
      <xdr:nvPicPr>
        <xdr:cNvPr id="22"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862241" y="95250"/>
          <a:ext cx="670277" cy="561975"/>
        </a:xfrm>
        <a:prstGeom prst="rect">
          <a:avLst/>
        </a:prstGeom>
        <a:noFill/>
        <a:ln w="9525">
          <a:noFill/>
          <a:miter lim="800000"/>
          <a:headEnd/>
          <a:tailEnd/>
        </a:ln>
        <a:effec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10</xdr:col>
      <xdr:colOff>335281</xdr:colOff>
      <xdr:row>13</xdr:row>
      <xdr:rowOff>0</xdr:rowOff>
    </xdr:from>
    <xdr:ext cx="153866" cy="196464"/>
    <xdr:sp macro="" textlink="">
      <xdr:nvSpPr>
        <xdr:cNvPr id="2" name="CuadroTexto 1">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318954</xdr:colOff>
      <xdr:row>77</xdr:row>
      <xdr:rowOff>69668</xdr:rowOff>
    </xdr:from>
    <xdr:to>
      <xdr:col>8</xdr:col>
      <xdr:colOff>293916</xdr:colOff>
      <xdr:row>79</xdr:row>
      <xdr:rowOff>1017814</xdr:rowOff>
    </xdr:to>
    <xdr:pic>
      <xdr:nvPicPr>
        <xdr:cNvPr id="3" name="Imagen 2">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479" y="14414318"/>
          <a:ext cx="3518262" cy="1367246"/>
        </a:xfrm>
        <a:prstGeom prst="rect">
          <a:avLst/>
        </a:prstGeom>
      </xdr:spPr>
    </xdr:pic>
    <xdr:clientData/>
  </xdr:twoCellAnchor>
  <xdr:oneCellAnchor>
    <xdr:from>
      <xdr:col>3</xdr:col>
      <xdr:colOff>403127</xdr:colOff>
      <xdr:row>75</xdr:row>
      <xdr:rowOff>397957</xdr:rowOff>
    </xdr:from>
    <xdr:ext cx="971571" cy="269241"/>
    <mc:AlternateContent xmlns:mc="http://schemas.openxmlformats.org/markup-compatibility/2006" xmlns:a14="http://schemas.microsoft.com/office/drawing/2010/main">
      <mc:Choice Requires="a14">
        <xdr:sp macro="" textlink="">
          <xdr:nvSpPr>
            <xdr:cNvPr id="5" name="19 CuadroTexto"/>
            <xdr:cNvSpPr txBox="1"/>
          </xdr:nvSpPr>
          <xdr:spPr>
            <a:xfrm>
              <a:off x="1355627" y="13675807"/>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5" name="19 CuadroTexto"/>
            <xdr:cNvSpPr txBox="1"/>
          </xdr:nvSpPr>
          <xdr:spPr>
            <a:xfrm>
              <a:off x="1355627" y="13675807"/>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185307</xdr:colOff>
      <xdr:row>75</xdr:row>
      <xdr:rowOff>320459</xdr:rowOff>
    </xdr:from>
    <xdr:ext cx="1857376" cy="420243"/>
    <mc:AlternateContent xmlns:mc="http://schemas.openxmlformats.org/markup-compatibility/2006" xmlns:a14="http://schemas.microsoft.com/office/drawing/2010/main">
      <mc:Choice Requires="a14">
        <xdr:sp macro="" textlink="">
          <xdr:nvSpPr>
            <xdr:cNvPr id="6" name="20 CuadroTexto"/>
            <xdr:cNvSpPr txBox="1"/>
          </xdr:nvSpPr>
          <xdr:spPr>
            <a:xfrm>
              <a:off x="3738132" y="13598309"/>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6" name="20 CuadroTexto"/>
            <xdr:cNvSpPr txBox="1"/>
          </xdr:nvSpPr>
          <xdr:spPr>
            <a:xfrm>
              <a:off x="3738132" y="13598309"/>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10</xdr:col>
      <xdr:colOff>422095</xdr:colOff>
      <xdr:row>75</xdr:row>
      <xdr:rowOff>27002</xdr:rowOff>
    </xdr:from>
    <xdr:ext cx="2933700" cy="409215"/>
    <mc:AlternateContent xmlns:mc="http://schemas.openxmlformats.org/markup-compatibility/2006" xmlns:a14="http://schemas.microsoft.com/office/drawing/2010/main">
      <mc:Choice Requires="a14">
        <xdr:sp macro="" textlink="">
          <xdr:nvSpPr>
            <xdr:cNvPr id="7" name="21 CuadroTexto"/>
            <xdr:cNvSpPr txBox="1"/>
          </xdr:nvSpPr>
          <xdr:spPr>
            <a:xfrm>
              <a:off x="4908370" y="13304852"/>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7" name="21 CuadroTexto"/>
            <xdr:cNvSpPr txBox="1"/>
          </xdr:nvSpPr>
          <xdr:spPr>
            <a:xfrm>
              <a:off x="4908370" y="13304852"/>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14</xdr:col>
      <xdr:colOff>276287</xdr:colOff>
      <xdr:row>75</xdr:row>
      <xdr:rowOff>18715</xdr:rowOff>
    </xdr:from>
    <xdr:ext cx="1055203" cy="410305"/>
    <mc:AlternateContent xmlns:mc="http://schemas.openxmlformats.org/markup-compatibility/2006" xmlns:a14="http://schemas.microsoft.com/office/drawing/2010/main">
      <mc:Choice Requires="a14">
        <xdr:sp macro="" textlink="">
          <xdr:nvSpPr>
            <xdr:cNvPr id="8" name="22 CuadroTexto"/>
            <xdr:cNvSpPr txBox="1"/>
          </xdr:nvSpPr>
          <xdr:spPr>
            <a:xfrm>
              <a:off x="7543862" y="13296565"/>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2 CuadroTexto"/>
            <xdr:cNvSpPr txBox="1"/>
          </xdr:nvSpPr>
          <xdr:spPr>
            <a:xfrm>
              <a:off x="7543862" y="13296565"/>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75</xdr:row>
      <xdr:rowOff>47061</xdr:rowOff>
    </xdr:from>
    <xdr:ext cx="4906839" cy="416524"/>
    <mc:AlternateContent xmlns:mc="http://schemas.openxmlformats.org/markup-compatibility/2006" xmlns:a14="http://schemas.microsoft.com/office/drawing/2010/main">
      <mc:Choice Requires="a14">
        <xdr:sp macro="" textlink="">
          <xdr:nvSpPr>
            <xdr:cNvPr id="9" name="21 CuadroTexto"/>
            <xdr:cNvSpPr txBox="1"/>
          </xdr:nvSpPr>
          <xdr:spPr>
            <a:xfrm>
              <a:off x="737549" y="13324911"/>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1 CuadroTexto"/>
            <xdr:cNvSpPr txBox="1"/>
          </xdr:nvSpPr>
          <xdr:spPr>
            <a:xfrm>
              <a:off x="737549" y="13324911"/>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166236</xdr:colOff>
      <xdr:row>75</xdr:row>
      <xdr:rowOff>319663</xdr:rowOff>
    </xdr:from>
    <xdr:ext cx="1279721" cy="355738"/>
    <mc:AlternateContent xmlns:mc="http://schemas.openxmlformats.org/markup-compatibility/2006" xmlns:a14="http://schemas.microsoft.com/office/drawing/2010/main">
      <mc:Choice Requires="a14">
        <xdr:sp macro="" textlink="">
          <xdr:nvSpPr>
            <xdr:cNvPr id="10" name="19 CuadroTexto"/>
            <xdr:cNvSpPr txBox="1"/>
          </xdr:nvSpPr>
          <xdr:spPr>
            <a:xfrm>
              <a:off x="6719436" y="13597513"/>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0" name="19 CuadroTexto"/>
            <xdr:cNvSpPr txBox="1"/>
          </xdr:nvSpPr>
          <xdr:spPr>
            <a:xfrm>
              <a:off x="6719436" y="13597513"/>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777240</xdr:colOff>
      <xdr:row>82</xdr:row>
      <xdr:rowOff>0</xdr:rowOff>
    </xdr:from>
    <xdr:ext cx="153866" cy="196464"/>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044815" y="163830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044815" y="1638300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twoCellAnchor editAs="oneCell">
    <xdr:from>
      <xdr:col>7</xdr:col>
      <xdr:colOff>202060</xdr:colOff>
      <xdr:row>85</xdr:row>
      <xdr:rowOff>113381</xdr:rowOff>
    </xdr:from>
    <xdr:to>
      <xdr:col>11</xdr:col>
      <xdr:colOff>131117</xdr:colOff>
      <xdr:row>85</xdr:row>
      <xdr:rowOff>1692123</xdr:rowOff>
    </xdr:to>
    <xdr:pic>
      <xdr:nvPicPr>
        <xdr:cNvPr id="12" name="Imagen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73885" y="17058356"/>
          <a:ext cx="2043607" cy="1578742"/>
        </a:xfrm>
        <a:prstGeom prst="rect">
          <a:avLst/>
        </a:prstGeom>
      </xdr:spPr>
    </xdr:pic>
    <xdr:clientData/>
  </xdr:twoCellAnchor>
  <xdr:twoCellAnchor editAs="oneCell">
    <xdr:from>
      <xdr:col>12</xdr:col>
      <xdr:colOff>623147</xdr:colOff>
      <xdr:row>85</xdr:row>
      <xdr:rowOff>100808</xdr:rowOff>
    </xdr:from>
    <xdr:to>
      <xdr:col>15</xdr:col>
      <xdr:colOff>409150</xdr:colOff>
      <xdr:row>85</xdr:row>
      <xdr:rowOff>1656079</xdr:rowOff>
    </xdr:to>
    <xdr:pic>
      <xdr:nvPicPr>
        <xdr:cNvPr id="13" name="Imagen 1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42922" y="17045783"/>
          <a:ext cx="2014853" cy="1555271"/>
        </a:xfrm>
        <a:prstGeom prst="rect">
          <a:avLst/>
        </a:prstGeom>
      </xdr:spPr>
    </xdr:pic>
    <xdr:clientData/>
  </xdr:twoCellAnchor>
  <xdr:oneCellAnchor>
    <xdr:from>
      <xdr:col>2</xdr:col>
      <xdr:colOff>0</xdr:colOff>
      <xdr:row>12</xdr:row>
      <xdr:rowOff>0</xdr:rowOff>
    </xdr:from>
    <xdr:ext cx="169469" cy="196464"/>
    <xdr:sp macro="" textlink="">
      <xdr:nvSpPr>
        <xdr:cNvPr id="14" name="CuadroTexto 13">
          <a:extLst>
            <a:ext uri="{FF2B5EF4-FFF2-40B4-BE49-F238E27FC236}">
              <a16:creationId xmlns:a16="http://schemas.microsoft.com/office/drawing/2014/main" id="{FD240DDD-5F74-41EA-B78E-E3B54C280256}"/>
            </a:ext>
          </a:extLst>
        </xdr:cNvPr>
        <xdr:cNvSpPr txBox="1"/>
      </xdr:nvSpPr>
      <xdr:spPr>
        <a:xfrm>
          <a:off x="457200" y="2257425"/>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xdr:from>
      <xdr:col>1</xdr:col>
      <xdr:colOff>313284</xdr:colOff>
      <xdr:row>85</xdr:row>
      <xdr:rowOff>79828</xdr:rowOff>
    </xdr:from>
    <xdr:to>
      <xdr:col>5</xdr:col>
      <xdr:colOff>239504</xdr:colOff>
      <xdr:row>85</xdr:row>
      <xdr:rowOff>1669143</xdr:rowOff>
    </xdr:to>
    <xdr:pic>
      <xdr:nvPicPr>
        <xdr:cNvPr id="15" name="Imagen 1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2809" y="17024803"/>
          <a:ext cx="2059820" cy="1589315"/>
        </a:xfrm>
        <a:prstGeom prst="rect">
          <a:avLst/>
        </a:prstGeom>
      </xdr:spPr>
    </xdr:pic>
    <xdr:clientData/>
  </xdr:twoCellAnchor>
  <xdr:oneCellAnchor>
    <xdr:from>
      <xdr:col>6</xdr:col>
      <xdr:colOff>0</xdr:colOff>
      <xdr:row>11</xdr:row>
      <xdr:rowOff>0</xdr:rowOff>
    </xdr:from>
    <xdr:ext cx="169469" cy="196464"/>
    <xdr:sp macro="" textlink="">
      <xdr:nvSpPr>
        <xdr:cNvPr id="16" name="CuadroTexto 15">
          <a:extLst>
            <a:ext uri="{FF2B5EF4-FFF2-40B4-BE49-F238E27FC236}">
              <a16:creationId xmlns:a16="http://schemas.microsoft.com/office/drawing/2014/main" id="{FD240DDD-5F74-41EA-B78E-E3B54C280256}"/>
            </a:ext>
          </a:extLst>
        </xdr:cNvPr>
        <xdr:cNvSpPr txBox="1"/>
      </xdr:nvSpPr>
      <xdr:spPr>
        <a:xfrm>
          <a:off x="2724150" y="2038350"/>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17" name="CuadroTexto 16">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104775</xdr:colOff>
      <xdr:row>1</xdr:row>
      <xdr:rowOff>15062</xdr:rowOff>
    </xdr:from>
    <xdr:to>
      <xdr:col>3</xdr:col>
      <xdr:colOff>657225</xdr:colOff>
      <xdr:row>2</xdr:row>
      <xdr:rowOff>242545</xdr:rowOff>
    </xdr:to>
    <xdr:pic>
      <xdr:nvPicPr>
        <xdr:cNvPr id="18"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442266</xdr:colOff>
      <xdr:row>1</xdr:row>
      <xdr:rowOff>38100</xdr:rowOff>
    </xdr:from>
    <xdr:to>
      <xdr:col>15</xdr:col>
      <xdr:colOff>331493</xdr:colOff>
      <xdr:row>2</xdr:row>
      <xdr:rowOff>219075</xdr:rowOff>
    </xdr:to>
    <xdr:pic>
      <xdr:nvPicPr>
        <xdr:cNvPr id="19"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862241" y="95250"/>
          <a:ext cx="670277" cy="561975"/>
        </a:xfrm>
        <a:prstGeom prst="rect">
          <a:avLst/>
        </a:prstGeom>
        <a:noFill/>
        <a:ln w="9525">
          <a:noFill/>
          <a:miter lim="800000"/>
          <a:headEnd/>
          <a:tailEnd/>
        </a:ln>
        <a:effec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10</xdr:col>
      <xdr:colOff>335281</xdr:colOff>
      <xdr:row>13</xdr:row>
      <xdr:rowOff>0</xdr:rowOff>
    </xdr:from>
    <xdr:ext cx="153866" cy="196464"/>
    <xdr:sp macro="" textlink="">
      <xdr:nvSpPr>
        <xdr:cNvPr id="2" name="CuadroTexto 1">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318954</xdr:colOff>
      <xdr:row>71</xdr:row>
      <xdr:rowOff>69668</xdr:rowOff>
    </xdr:from>
    <xdr:to>
      <xdr:col>8</xdr:col>
      <xdr:colOff>293916</xdr:colOff>
      <xdr:row>73</xdr:row>
      <xdr:rowOff>1017814</xdr:rowOff>
    </xdr:to>
    <xdr:pic>
      <xdr:nvPicPr>
        <xdr:cNvPr id="3" name="Imagen 2">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479" y="13376093"/>
          <a:ext cx="3518262" cy="1367246"/>
        </a:xfrm>
        <a:prstGeom prst="rect">
          <a:avLst/>
        </a:prstGeom>
      </xdr:spPr>
    </xdr:pic>
    <xdr:clientData/>
  </xdr:twoCellAnchor>
  <xdr:oneCellAnchor>
    <xdr:from>
      <xdr:col>3</xdr:col>
      <xdr:colOff>403127</xdr:colOff>
      <xdr:row>69</xdr:row>
      <xdr:rowOff>397957</xdr:rowOff>
    </xdr:from>
    <xdr:ext cx="971571" cy="269241"/>
    <mc:AlternateContent xmlns:mc="http://schemas.openxmlformats.org/markup-compatibility/2006" xmlns:a14="http://schemas.microsoft.com/office/drawing/2010/main">
      <mc:Choice Requires="a14">
        <xdr:sp macro="" textlink="">
          <xdr:nvSpPr>
            <xdr:cNvPr id="5" name="19 CuadroTexto"/>
            <xdr:cNvSpPr txBox="1"/>
          </xdr:nvSpPr>
          <xdr:spPr>
            <a:xfrm>
              <a:off x="1355627" y="12637582"/>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5" name="19 CuadroTexto"/>
            <xdr:cNvSpPr txBox="1"/>
          </xdr:nvSpPr>
          <xdr:spPr>
            <a:xfrm>
              <a:off x="1355627" y="12637582"/>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185307</xdr:colOff>
      <xdr:row>69</xdr:row>
      <xdr:rowOff>320459</xdr:rowOff>
    </xdr:from>
    <xdr:ext cx="1857376" cy="420243"/>
    <mc:AlternateContent xmlns:mc="http://schemas.openxmlformats.org/markup-compatibility/2006" xmlns:a14="http://schemas.microsoft.com/office/drawing/2010/main">
      <mc:Choice Requires="a14">
        <xdr:sp macro="" textlink="">
          <xdr:nvSpPr>
            <xdr:cNvPr id="6" name="20 CuadroTexto"/>
            <xdr:cNvSpPr txBox="1"/>
          </xdr:nvSpPr>
          <xdr:spPr>
            <a:xfrm>
              <a:off x="3738132" y="12560084"/>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6" name="20 CuadroTexto"/>
            <xdr:cNvSpPr txBox="1"/>
          </xdr:nvSpPr>
          <xdr:spPr>
            <a:xfrm>
              <a:off x="3738132" y="12560084"/>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10</xdr:col>
      <xdr:colOff>422095</xdr:colOff>
      <xdr:row>69</xdr:row>
      <xdr:rowOff>27002</xdr:rowOff>
    </xdr:from>
    <xdr:ext cx="2933700" cy="409215"/>
    <mc:AlternateContent xmlns:mc="http://schemas.openxmlformats.org/markup-compatibility/2006" xmlns:a14="http://schemas.microsoft.com/office/drawing/2010/main">
      <mc:Choice Requires="a14">
        <xdr:sp macro="" textlink="">
          <xdr:nvSpPr>
            <xdr:cNvPr id="7" name="21 CuadroTexto"/>
            <xdr:cNvSpPr txBox="1"/>
          </xdr:nvSpPr>
          <xdr:spPr>
            <a:xfrm>
              <a:off x="4908370" y="12266627"/>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7" name="21 CuadroTexto"/>
            <xdr:cNvSpPr txBox="1"/>
          </xdr:nvSpPr>
          <xdr:spPr>
            <a:xfrm>
              <a:off x="4908370" y="12266627"/>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14</xdr:col>
      <xdr:colOff>276287</xdr:colOff>
      <xdr:row>69</xdr:row>
      <xdr:rowOff>18715</xdr:rowOff>
    </xdr:from>
    <xdr:ext cx="1055203" cy="410305"/>
    <mc:AlternateContent xmlns:mc="http://schemas.openxmlformats.org/markup-compatibility/2006" xmlns:a14="http://schemas.microsoft.com/office/drawing/2010/main">
      <mc:Choice Requires="a14">
        <xdr:sp macro="" textlink="">
          <xdr:nvSpPr>
            <xdr:cNvPr id="8" name="22 CuadroTexto"/>
            <xdr:cNvSpPr txBox="1"/>
          </xdr:nvSpPr>
          <xdr:spPr>
            <a:xfrm>
              <a:off x="7543862" y="12258340"/>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2 CuadroTexto"/>
            <xdr:cNvSpPr txBox="1"/>
          </xdr:nvSpPr>
          <xdr:spPr>
            <a:xfrm>
              <a:off x="7543862" y="12258340"/>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69</xdr:row>
      <xdr:rowOff>47061</xdr:rowOff>
    </xdr:from>
    <xdr:ext cx="4906839" cy="416524"/>
    <mc:AlternateContent xmlns:mc="http://schemas.openxmlformats.org/markup-compatibility/2006" xmlns:a14="http://schemas.microsoft.com/office/drawing/2010/main">
      <mc:Choice Requires="a14">
        <xdr:sp macro="" textlink="">
          <xdr:nvSpPr>
            <xdr:cNvPr id="9" name="21 CuadroTexto"/>
            <xdr:cNvSpPr txBox="1"/>
          </xdr:nvSpPr>
          <xdr:spPr>
            <a:xfrm>
              <a:off x="737549" y="12286686"/>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1 CuadroTexto"/>
            <xdr:cNvSpPr txBox="1"/>
          </xdr:nvSpPr>
          <xdr:spPr>
            <a:xfrm>
              <a:off x="737549" y="12286686"/>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166236</xdr:colOff>
      <xdr:row>69</xdr:row>
      <xdr:rowOff>319663</xdr:rowOff>
    </xdr:from>
    <xdr:ext cx="1279721" cy="355738"/>
    <mc:AlternateContent xmlns:mc="http://schemas.openxmlformats.org/markup-compatibility/2006" xmlns:a14="http://schemas.microsoft.com/office/drawing/2010/main">
      <mc:Choice Requires="a14">
        <xdr:sp macro="" textlink="">
          <xdr:nvSpPr>
            <xdr:cNvPr id="10" name="19 CuadroTexto"/>
            <xdr:cNvSpPr txBox="1"/>
          </xdr:nvSpPr>
          <xdr:spPr>
            <a:xfrm>
              <a:off x="6719436" y="12559288"/>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0" name="19 CuadroTexto"/>
            <xdr:cNvSpPr txBox="1"/>
          </xdr:nvSpPr>
          <xdr:spPr>
            <a:xfrm>
              <a:off x="6719436" y="12559288"/>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777240</xdr:colOff>
      <xdr:row>75</xdr:row>
      <xdr:rowOff>175260</xdr:rowOff>
    </xdr:from>
    <xdr:ext cx="153866" cy="196464"/>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044815" y="1532001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044815" y="1532001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twoCellAnchor editAs="oneCell">
    <xdr:from>
      <xdr:col>7</xdr:col>
      <xdr:colOff>202060</xdr:colOff>
      <xdr:row>79</xdr:row>
      <xdr:rowOff>114968</xdr:rowOff>
    </xdr:from>
    <xdr:to>
      <xdr:col>11</xdr:col>
      <xdr:colOff>131117</xdr:colOff>
      <xdr:row>79</xdr:row>
      <xdr:rowOff>1690535</xdr:rowOff>
    </xdr:to>
    <xdr:pic>
      <xdr:nvPicPr>
        <xdr:cNvPr id="12" name="Imagen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73885" y="16021718"/>
          <a:ext cx="2043607" cy="1575567"/>
        </a:xfrm>
        <a:prstGeom prst="rect">
          <a:avLst/>
        </a:prstGeom>
      </xdr:spPr>
    </xdr:pic>
    <xdr:clientData/>
  </xdr:twoCellAnchor>
  <xdr:twoCellAnchor editAs="oneCell">
    <xdr:from>
      <xdr:col>12</xdr:col>
      <xdr:colOff>623147</xdr:colOff>
      <xdr:row>79</xdr:row>
      <xdr:rowOff>101442</xdr:rowOff>
    </xdr:from>
    <xdr:to>
      <xdr:col>15</xdr:col>
      <xdr:colOff>409150</xdr:colOff>
      <xdr:row>79</xdr:row>
      <xdr:rowOff>1655444</xdr:rowOff>
    </xdr:to>
    <xdr:pic>
      <xdr:nvPicPr>
        <xdr:cNvPr id="13" name="Imagen 1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42922" y="16008192"/>
          <a:ext cx="2014853" cy="1554002"/>
        </a:xfrm>
        <a:prstGeom prst="rect">
          <a:avLst/>
        </a:prstGeom>
      </xdr:spPr>
    </xdr:pic>
    <xdr:clientData/>
  </xdr:twoCellAnchor>
  <xdr:oneCellAnchor>
    <xdr:from>
      <xdr:col>2</xdr:col>
      <xdr:colOff>0</xdr:colOff>
      <xdr:row>12</xdr:row>
      <xdr:rowOff>0</xdr:rowOff>
    </xdr:from>
    <xdr:ext cx="169469" cy="196464"/>
    <xdr:sp macro="" textlink="">
      <xdr:nvSpPr>
        <xdr:cNvPr id="14" name="CuadroTexto 13">
          <a:extLst>
            <a:ext uri="{FF2B5EF4-FFF2-40B4-BE49-F238E27FC236}">
              <a16:creationId xmlns:a16="http://schemas.microsoft.com/office/drawing/2014/main" id="{FD240DDD-5F74-41EA-B78E-E3B54C280256}"/>
            </a:ext>
          </a:extLst>
        </xdr:cNvPr>
        <xdr:cNvSpPr txBox="1"/>
      </xdr:nvSpPr>
      <xdr:spPr>
        <a:xfrm>
          <a:off x="457200" y="2257425"/>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xdr:from>
      <xdr:col>1</xdr:col>
      <xdr:colOff>314131</xdr:colOff>
      <xdr:row>79</xdr:row>
      <xdr:rowOff>79828</xdr:rowOff>
    </xdr:from>
    <xdr:to>
      <xdr:col>5</xdr:col>
      <xdr:colOff>238657</xdr:colOff>
      <xdr:row>79</xdr:row>
      <xdr:rowOff>1669143</xdr:rowOff>
    </xdr:to>
    <xdr:pic>
      <xdr:nvPicPr>
        <xdr:cNvPr id="15" name="Imagen 1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3656" y="15986578"/>
          <a:ext cx="2058126" cy="1589315"/>
        </a:xfrm>
        <a:prstGeom prst="rect">
          <a:avLst/>
        </a:prstGeom>
      </xdr:spPr>
    </xdr:pic>
    <xdr:clientData/>
  </xdr:twoCellAnchor>
  <xdr:oneCellAnchor>
    <xdr:from>
      <xdr:col>6</xdr:col>
      <xdr:colOff>0</xdr:colOff>
      <xdr:row>11</xdr:row>
      <xdr:rowOff>0</xdr:rowOff>
    </xdr:from>
    <xdr:ext cx="169469" cy="196464"/>
    <xdr:sp macro="" textlink="">
      <xdr:nvSpPr>
        <xdr:cNvPr id="16" name="CuadroTexto 15">
          <a:extLst>
            <a:ext uri="{FF2B5EF4-FFF2-40B4-BE49-F238E27FC236}">
              <a16:creationId xmlns:a16="http://schemas.microsoft.com/office/drawing/2014/main" id="{FD240DDD-5F74-41EA-B78E-E3B54C280256}"/>
            </a:ext>
          </a:extLst>
        </xdr:cNvPr>
        <xdr:cNvSpPr txBox="1"/>
      </xdr:nvSpPr>
      <xdr:spPr>
        <a:xfrm>
          <a:off x="2724150" y="2038350"/>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17" name="CuadroTexto 16">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104775</xdr:colOff>
      <xdr:row>1</xdr:row>
      <xdr:rowOff>15062</xdr:rowOff>
    </xdr:from>
    <xdr:to>
      <xdr:col>3</xdr:col>
      <xdr:colOff>657225</xdr:colOff>
      <xdr:row>2</xdr:row>
      <xdr:rowOff>242545</xdr:rowOff>
    </xdr:to>
    <xdr:pic>
      <xdr:nvPicPr>
        <xdr:cNvPr id="18"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442266</xdr:colOff>
      <xdr:row>1</xdr:row>
      <xdr:rowOff>38100</xdr:rowOff>
    </xdr:from>
    <xdr:to>
      <xdr:col>15</xdr:col>
      <xdr:colOff>331493</xdr:colOff>
      <xdr:row>2</xdr:row>
      <xdr:rowOff>219075</xdr:rowOff>
    </xdr:to>
    <xdr:pic>
      <xdr:nvPicPr>
        <xdr:cNvPr id="19"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862241" y="95250"/>
          <a:ext cx="670277" cy="561975"/>
        </a:xfrm>
        <a:prstGeom prst="rect">
          <a:avLst/>
        </a:prstGeom>
        <a:noFill/>
        <a:ln w="9525">
          <a:noFill/>
          <a:miter lim="800000"/>
          <a:headEnd/>
          <a:tailEnd/>
        </a:ln>
        <a:effec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10</xdr:col>
      <xdr:colOff>335281</xdr:colOff>
      <xdr:row>13</xdr:row>
      <xdr:rowOff>0</xdr:rowOff>
    </xdr:from>
    <xdr:ext cx="153866" cy="196464"/>
    <xdr:sp macro="" textlink="">
      <xdr:nvSpPr>
        <xdr:cNvPr id="2" name="CuadroTexto 1">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318954</xdr:colOff>
      <xdr:row>68</xdr:row>
      <xdr:rowOff>69668</xdr:rowOff>
    </xdr:from>
    <xdr:to>
      <xdr:col>8</xdr:col>
      <xdr:colOff>293916</xdr:colOff>
      <xdr:row>70</xdr:row>
      <xdr:rowOff>1017814</xdr:rowOff>
    </xdr:to>
    <xdr:pic>
      <xdr:nvPicPr>
        <xdr:cNvPr id="3" name="Imagen 2">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479" y="12861743"/>
          <a:ext cx="3518262" cy="1367247"/>
        </a:xfrm>
        <a:prstGeom prst="rect">
          <a:avLst/>
        </a:prstGeom>
      </xdr:spPr>
    </xdr:pic>
    <xdr:clientData/>
  </xdr:twoCellAnchor>
  <xdr:oneCellAnchor>
    <xdr:from>
      <xdr:col>3</xdr:col>
      <xdr:colOff>403127</xdr:colOff>
      <xdr:row>66</xdr:row>
      <xdr:rowOff>397957</xdr:rowOff>
    </xdr:from>
    <xdr:ext cx="971571" cy="269241"/>
    <mc:AlternateContent xmlns:mc="http://schemas.openxmlformats.org/markup-compatibility/2006" xmlns:a14="http://schemas.microsoft.com/office/drawing/2010/main">
      <mc:Choice Requires="a14">
        <xdr:sp macro="" textlink="">
          <xdr:nvSpPr>
            <xdr:cNvPr id="5" name="19 CuadroTexto"/>
            <xdr:cNvSpPr txBox="1"/>
          </xdr:nvSpPr>
          <xdr:spPr>
            <a:xfrm>
              <a:off x="1355627" y="12123232"/>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5" name="19 CuadroTexto"/>
            <xdr:cNvSpPr txBox="1"/>
          </xdr:nvSpPr>
          <xdr:spPr>
            <a:xfrm>
              <a:off x="1355627" y="12123232"/>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185307</xdr:colOff>
      <xdr:row>66</xdr:row>
      <xdr:rowOff>320459</xdr:rowOff>
    </xdr:from>
    <xdr:ext cx="1857376" cy="420243"/>
    <mc:AlternateContent xmlns:mc="http://schemas.openxmlformats.org/markup-compatibility/2006" xmlns:a14="http://schemas.microsoft.com/office/drawing/2010/main">
      <mc:Choice Requires="a14">
        <xdr:sp macro="" textlink="">
          <xdr:nvSpPr>
            <xdr:cNvPr id="6" name="20 CuadroTexto"/>
            <xdr:cNvSpPr txBox="1"/>
          </xdr:nvSpPr>
          <xdr:spPr>
            <a:xfrm>
              <a:off x="3738132" y="12045734"/>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6" name="20 CuadroTexto"/>
            <xdr:cNvSpPr txBox="1"/>
          </xdr:nvSpPr>
          <xdr:spPr>
            <a:xfrm>
              <a:off x="3738132" y="12045734"/>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10</xdr:col>
      <xdr:colOff>422095</xdr:colOff>
      <xdr:row>66</xdr:row>
      <xdr:rowOff>27002</xdr:rowOff>
    </xdr:from>
    <xdr:ext cx="2933700" cy="409215"/>
    <mc:AlternateContent xmlns:mc="http://schemas.openxmlformats.org/markup-compatibility/2006" xmlns:a14="http://schemas.microsoft.com/office/drawing/2010/main">
      <mc:Choice Requires="a14">
        <xdr:sp macro="" textlink="">
          <xdr:nvSpPr>
            <xdr:cNvPr id="7" name="21 CuadroTexto"/>
            <xdr:cNvSpPr txBox="1"/>
          </xdr:nvSpPr>
          <xdr:spPr>
            <a:xfrm>
              <a:off x="4908370" y="11752277"/>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7" name="21 CuadroTexto"/>
            <xdr:cNvSpPr txBox="1"/>
          </xdr:nvSpPr>
          <xdr:spPr>
            <a:xfrm>
              <a:off x="4908370" y="11752277"/>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14</xdr:col>
      <xdr:colOff>276287</xdr:colOff>
      <xdr:row>66</xdr:row>
      <xdr:rowOff>18715</xdr:rowOff>
    </xdr:from>
    <xdr:ext cx="1055203" cy="410305"/>
    <mc:AlternateContent xmlns:mc="http://schemas.openxmlformats.org/markup-compatibility/2006" xmlns:a14="http://schemas.microsoft.com/office/drawing/2010/main">
      <mc:Choice Requires="a14">
        <xdr:sp macro="" textlink="">
          <xdr:nvSpPr>
            <xdr:cNvPr id="8" name="22 CuadroTexto"/>
            <xdr:cNvSpPr txBox="1"/>
          </xdr:nvSpPr>
          <xdr:spPr>
            <a:xfrm>
              <a:off x="7543862" y="11743990"/>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2 CuadroTexto"/>
            <xdr:cNvSpPr txBox="1"/>
          </xdr:nvSpPr>
          <xdr:spPr>
            <a:xfrm>
              <a:off x="7543862" y="11743990"/>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66</xdr:row>
      <xdr:rowOff>47061</xdr:rowOff>
    </xdr:from>
    <xdr:ext cx="4906839" cy="416524"/>
    <mc:AlternateContent xmlns:mc="http://schemas.openxmlformats.org/markup-compatibility/2006" xmlns:a14="http://schemas.microsoft.com/office/drawing/2010/main">
      <mc:Choice Requires="a14">
        <xdr:sp macro="" textlink="">
          <xdr:nvSpPr>
            <xdr:cNvPr id="9" name="21 CuadroTexto"/>
            <xdr:cNvSpPr txBox="1"/>
          </xdr:nvSpPr>
          <xdr:spPr>
            <a:xfrm>
              <a:off x="737549" y="11772336"/>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1 CuadroTexto"/>
            <xdr:cNvSpPr txBox="1"/>
          </xdr:nvSpPr>
          <xdr:spPr>
            <a:xfrm>
              <a:off x="737549" y="11772336"/>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166236</xdr:colOff>
      <xdr:row>66</xdr:row>
      <xdr:rowOff>319663</xdr:rowOff>
    </xdr:from>
    <xdr:ext cx="1279721" cy="355738"/>
    <mc:AlternateContent xmlns:mc="http://schemas.openxmlformats.org/markup-compatibility/2006" xmlns:a14="http://schemas.microsoft.com/office/drawing/2010/main">
      <mc:Choice Requires="a14">
        <xdr:sp macro="" textlink="">
          <xdr:nvSpPr>
            <xdr:cNvPr id="10" name="19 CuadroTexto"/>
            <xdr:cNvSpPr txBox="1"/>
          </xdr:nvSpPr>
          <xdr:spPr>
            <a:xfrm>
              <a:off x="6719436" y="12044938"/>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0" name="19 CuadroTexto"/>
            <xdr:cNvSpPr txBox="1"/>
          </xdr:nvSpPr>
          <xdr:spPr>
            <a:xfrm>
              <a:off x="6719436" y="12044938"/>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777240</xdr:colOff>
      <xdr:row>72</xdr:row>
      <xdr:rowOff>175260</xdr:rowOff>
    </xdr:from>
    <xdr:ext cx="153866" cy="196464"/>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044815" y="1480566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044815" y="1480566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twoCellAnchor editAs="oneCell">
    <xdr:from>
      <xdr:col>8</xdr:col>
      <xdr:colOff>272981</xdr:colOff>
      <xdr:row>76</xdr:row>
      <xdr:rowOff>114968</xdr:rowOff>
    </xdr:from>
    <xdr:to>
      <xdr:col>10</xdr:col>
      <xdr:colOff>494536</xdr:colOff>
      <xdr:row>76</xdr:row>
      <xdr:rowOff>1690535</xdr:rowOff>
    </xdr:to>
    <xdr:pic>
      <xdr:nvPicPr>
        <xdr:cNvPr id="12" name="Imagen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25806" y="15507368"/>
          <a:ext cx="1155005" cy="1575567"/>
        </a:xfrm>
        <a:prstGeom prst="rect">
          <a:avLst/>
        </a:prstGeom>
      </xdr:spPr>
    </xdr:pic>
    <xdr:clientData/>
  </xdr:twoCellAnchor>
  <xdr:twoCellAnchor editAs="oneCell">
    <xdr:from>
      <xdr:col>13</xdr:col>
      <xdr:colOff>322018</xdr:colOff>
      <xdr:row>76</xdr:row>
      <xdr:rowOff>101442</xdr:rowOff>
    </xdr:from>
    <xdr:to>
      <xdr:col>14</xdr:col>
      <xdr:colOff>755999</xdr:colOff>
      <xdr:row>76</xdr:row>
      <xdr:rowOff>1655444</xdr:rowOff>
    </xdr:to>
    <xdr:pic>
      <xdr:nvPicPr>
        <xdr:cNvPr id="13" name="Imagen 1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75218" y="15493842"/>
          <a:ext cx="1148356" cy="1554002"/>
        </a:xfrm>
        <a:prstGeom prst="rect">
          <a:avLst/>
        </a:prstGeom>
      </xdr:spPr>
    </xdr:pic>
    <xdr:clientData/>
  </xdr:twoCellAnchor>
  <xdr:oneCellAnchor>
    <xdr:from>
      <xdr:col>2</xdr:col>
      <xdr:colOff>0</xdr:colOff>
      <xdr:row>12</xdr:row>
      <xdr:rowOff>0</xdr:rowOff>
    </xdr:from>
    <xdr:ext cx="169469" cy="196464"/>
    <xdr:sp macro="" textlink="">
      <xdr:nvSpPr>
        <xdr:cNvPr id="14" name="CuadroTexto 13">
          <a:extLst>
            <a:ext uri="{FF2B5EF4-FFF2-40B4-BE49-F238E27FC236}">
              <a16:creationId xmlns:a16="http://schemas.microsoft.com/office/drawing/2014/main" id="{FD240DDD-5F74-41EA-B78E-E3B54C280256}"/>
            </a:ext>
          </a:extLst>
        </xdr:cNvPr>
        <xdr:cNvSpPr txBox="1"/>
      </xdr:nvSpPr>
      <xdr:spPr>
        <a:xfrm>
          <a:off x="457200" y="2257425"/>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xdr:from>
      <xdr:col>2</xdr:col>
      <xdr:colOff>320481</xdr:colOff>
      <xdr:row>76</xdr:row>
      <xdr:rowOff>79828</xdr:rowOff>
    </xdr:from>
    <xdr:to>
      <xdr:col>4</xdr:col>
      <xdr:colOff>247547</xdr:colOff>
      <xdr:row>76</xdr:row>
      <xdr:rowOff>1669143</xdr:rowOff>
    </xdr:to>
    <xdr:pic>
      <xdr:nvPicPr>
        <xdr:cNvPr id="15" name="Imagen 1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7681" y="15472228"/>
          <a:ext cx="1155791" cy="1589315"/>
        </a:xfrm>
        <a:prstGeom prst="rect">
          <a:avLst/>
        </a:prstGeom>
      </xdr:spPr>
    </xdr:pic>
    <xdr:clientData/>
  </xdr:twoCellAnchor>
  <xdr:oneCellAnchor>
    <xdr:from>
      <xdr:col>6</xdr:col>
      <xdr:colOff>0</xdr:colOff>
      <xdr:row>11</xdr:row>
      <xdr:rowOff>0</xdr:rowOff>
    </xdr:from>
    <xdr:ext cx="169469" cy="196464"/>
    <xdr:sp macro="" textlink="">
      <xdr:nvSpPr>
        <xdr:cNvPr id="16" name="CuadroTexto 15">
          <a:extLst>
            <a:ext uri="{FF2B5EF4-FFF2-40B4-BE49-F238E27FC236}">
              <a16:creationId xmlns:a16="http://schemas.microsoft.com/office/drawing/2014/main" id="{FD240DDD-5F74-41EA-B78E-E3B54C280256}"/>
            </a:ext>
          </a:extLst>
        </xdr:cNvPr>
        <xdr:cNvSpPr txBox="1"/>
      </xdr:nvSpPr>
      <xdr:spPr>
        <a:xfrm>
          <a:off x="2724150" y="2038350"/>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17" name="CuadroTexto 16">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104775</xdr:colOff>
      <xdr:row>1</xdr:row>
      <xdr:rowOff>15062</xdr:rowOff>
    </xdr:from>
    <xdr:to>
      <xdr:col>3</xdr:col>
      <xdr:colOff>657225</xdr:colOff>
      <xdr:row>2</xdr:row>
      <xdr:rowOff>242545</xdr:rowOff>
    </xdr:to>
    <xdr:pic>
      <xdr:nvPicPr>
        <xdr:cNvPr id="18"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442266</xdr:colOff>
      <xdr:row>1</xdr:row>
      <xdr:rowOff>38100</xdr:rowOff>
    </xdr:from>
    <xdr:to>
      <xdr:col>15</xdr:col>
      <xdr:colOff>331493</xdr:colOff>
      <xdr:row>2</xdr:row>
      <xdr:rowOff>219075</xdr:rowOff>
    </xdr:to>
    <xdr:pic>
      <xdr:nvPicPr>
        <xdr:cNvPr id="19"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862241" y="95250"/>
          <a:ext cx="670277" cy="561975"/>
        </a:xfrm>
        <a:prstGeom prst="rect">
          <a:avLst/>
        </a:prstGeom>
        <a:noFill/>
        <a:ln w="9525">
          <a:noFill/>
          <a:miter lim="800000"/>
          <a:headEnd/>
          <a:tailEnd/>
        </a:ln>
        <a:effec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10</xdr:col>
      <xdr:colOff>335281</xdr:colOff>
      <xdr:row>13</xdr:row>
      <xdr:rowOff>0</xdr:rowOff>
    </xdr:from>
    <xdr:ext cx="153866" cy="196464"/>
    <xdr:sp macro="" textlink="">
      <xdr:nvSpPr>
        <xdr:cNvPr id="2" name="CuadroTexto 1">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318954</xdr:colOff>
      <xdr:row>74</xdr:row>
      <xdr:rowOff>69668</xdr:rowOff>
    </xdr:from>
    <xdr:to>
      <xdr:col>8</xdr:col>
      <xdr:colOff>293916</xdr:colOff>
      <xdr:row>76</xdr:row>
      <xdr:rowOff>1017814</xdr:rowOff>
    </xdr:to>
    <xdr:pic>
      <xdr:nvPicPr>
        <xdr:cNvPr id="3" name="Imagen 2">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479" y="13890443"/>
          <a:ext cx="3518262" cy="1367246"/>
        </a:xfrm>
        <a:prstGeom prst="rect">
          <a:avLst/>
        </a:prstGeom>
      </xdr:spPr>
    </xdr:pic>
    <xdr:clientData/>
  </xdr:twoCellAnchor>
  <xdr:oneCellAnchor>
    <xdr:from>
      <xdr:col>3</xdr:col>
      <xdr:colOff>403127</xdr:colOff>
      <xdr:row>72</xdr:row>
      <xdr:rowOff>397957</xdr:rowOff>
    </xdr:from>
    <xdr:ext cx="971571" cy="269241"/>
    <mc:AlternateContent xmlns:mc="http://schemas.openxmlformats.org/markup-compatibility/2006" xmlns:a14="http://schemas.microsoft.com/office/drawing/2010/main">
      <mc:Choice Requires="a14">
        <xdr:sp macro="" textlink="">
          <xdr:nvSpPr>
            <xdr:cNvPr id="5" name="19 CuadroTexto"/>
            <xdr:cNvSpPr txBox="1"/>
          </xdr:nvSpPr>
          <xdr:spPr>
            <a:xfrm>
              <a:off x="1355627" y="13151932"/>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5" name="19 CuadroTexto"/>
            <xdr:cNvSpPr txBox="1"/>
          </xdr:nvSpPr>
          <xdr:spPr>
            <a:xfrm>
              <a:off x="1355627" y="13151932"/>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185307</xdr:colOff>
      <xdr:row>72</xdr:row>
      <xdr:rowOff>320459</xdr:rowOff>
    </xdr:from>
    <xdr:ext cx="1857376" cy="420243"/>
    <mc:AlternateContent xmlns:mc="http://schemas.openxmlformats.org/markup-compatibility/2006" xmlns:a14="http://schemas.microsoft.com/office/drawing/2010/main">
      <mc:Choice Requires="a14">
        <xdr:sp macro="" textlink="">
          <xdr:nvSpPr>
            <xdr:cNvPr id="6" name="20 CuadroTexto"/>
            <xdr:cNvSpPr txBox="1"/>
          </xdr:nvSpPr>
          <xdr:spPr>
            <a:xfrm>
              <a:off x="3738132" y="13074434"/>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6" name="20 CuadroTexto"/>
            <xdr:cNvSpPr txBox="1"/>
          </xdr:nvSpPr>
          <xdr:spPr>
            <a:xfrm>
              <a:off x="3738132" y="13074434"/>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10</xdr:col>
      <xdr:colOff>422095</xdr:colOff>
      <xdr:row>72</xdr:row>
      <xdr:rowOff>27002</xdr:rowOff>
    </xdr:from>
    <xdr:ext cx="2933700" cy="409215"/>
    <mc:AlternateContent xmlns:mc="http://schemas.openxmlformats.org/markup-compatibility/2006" xmlns:a14="http://schemas.microsoft.com/office/drawing/2010/main">
      <mc:Choice Requires="a14">
        <xdr:sp macro="" textlink="">
          <xdr:nvSpPr>
            <xdr:cNvPr id="7" name="21 CuadroTexto"/>
            <xdr:cNvSpPr txBox="1"/>
          </xdr:nvSpPr>
          <xdr:spPr>
            <a:xfrm>
              <a:off x="4908370" y="12780977"/>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7" name="21 CuadroTexto"/>
            <xdr:cNvSpPr txBox="1"/>
          </xdr:nvSpPr>
          <xdr:spPr>
            <a:xfrm>
              <a:off x="4908370" y="12780977"/>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14</xdr:col>
      <xdr:colOff>276287</xdr:colOff>
      <xdr:row>72</xdr:row>
      <xdr:rowOff>18715</xdr:rowOff>
    </xdr:from>
    <xdr:ext cx="1055203" cy="410305"/>
    <mc:AlternateContent xmlns:mc="http://schemas.openxmlformats.org/markup-compatibility/2006" xmlns:a14="http://schemas.microsoft.com/office/drawing/2010/main">
      <mc:Choice Requires="a14">
        <xdr:sp macro="" textlink="">
          <xdr:nvSpPr>
            <xdr:cNvPr id="8" name="22 CuadroTexto"/>
            <xdr:cNvSpPr txBox="1"/>
          </xdr:nvSpPr>
          <xdr:spPr>
            <a:xfrm>
              <a:off x="7543862" y="12772690"/>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2 CuadroTexto"/>
            <xdr:cNvSpPr txBox="1"/>
          </xdr:nvSpPr>
          <xdr:spPr>
            <a:xfrm>
              <a:off x="7543862" y="12772690"/>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72</xdr:row>
      <xdr:rowOff>47061</xdr:rowOff>
    </xdr:from>
    <xdr:ext cx="4906839" cy="416524"/>
    <mc:AlternateContent xmlns:mc="http://schemas.openxmlformats.org/markup-compatibility/2006" xmlns:a14="http://schemas.microsoft.com/office/drawing/2010/main">
      <mc:Choice Requires="a14">
        <xdr:sp macro="" textlink="">
          <xdr:nvSpPr>
            <xdr:cNvPr id="9" name="21 CuadroTexto"/>
            <xdr:cNvSpPr txBox="1"/>
          </xdr:nvSpPr>
          <xdr:spPr>
            <a:xfrm>
              <a:off x="737549" y="12801036"/>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1 CuadroTexto"/>
            <xdr:cNvSpPr txBox="1"/>
          </xdr:nvSpPr>
          <xdr:spPr>
            <a:xfrm>
              <a:off x="737549" y="12801036"/>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166236</xdr:colOff>
      <xdr:row>72</xdr:row>
      <xdr:rowOff>319663</xdr:rowOff>
    </xdr:from>
    <xdr:ext cx="1279721" cy="355738"/>
    <mc:AlternateContent xmlns:mc="http://schemas.openxmlformats.org/markup-compatibility/2006" xmlns:a14="http://schemas.microsoft.com/office/drawing/2010/main">
      <mc:Choice Requires="a14">
        <xdr:sp macro="" textlink="">
          <xdr:nvSpPr>
            <xdr:cNvPr id="10" name="19 CuadroTexto"/>
            <xdr:cNvSpPr txBox="1"/>
          </xdr:nvSpPr>
          <xdr:spPr>
            <a:xfrm>
              <a:off x="6719436" y="13073638"/>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0" name="19 CuadroTexto"/>
            <xdr:cNvSpPr txBox="1"/>
          </xdr:nvSpPr>
          <xdr:spPr>
            <a:xfrm>
              <a:off x="6719436" y="13073638"/>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777240</xdr:colOff>
      <xdr:row>78</xdr:row>
      <xdr:rowOff>175260</xdr:rowOff>
    </xdr:from>
    <xdr:ext cx="153866" cy="196464"/>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044815" y="1583436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044815" y="1583436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oneCellAnchor>
    <xdr:from>
      <xdr:col>2</xdr:col>
      <xdr:colOff>0</xdr:colOff>
      <xdr:row>12</xdr:row>
      <xdr:rowOff>0</xdr:rowOff>
    </xdr:from>
    <xdr:ext cx="169469" cy="196464"/>
    <xdr:sp macro="" textlink="">
      <xdr:nvSpPr>
        <xdr:cNvPr id="12" name="CuadroTexto 11">
          <a:extLst>
            <a:ext uri="{FF2B5EF4-FFF2-40B4-BE49-F238E27FC236}">
              <a16:creationId xmlns:a16="http://schemas.microsoft.com/office/drawing/2014/main" id="{FD240DDD-5F74-41EA-B78E-E3B54C280256}"/>
            </a:ext>
          </a:extLst>
        </xdr:cNvPr>
        <xdr:cNvSpPr txBox="1"/>
      </xdr:nvSpPr>
      <xdr:spPr>
        <a:xfrm>
          <a:off x="457200" y="2257425"/>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6</xdr:col>
      <xdr:colOff>0</xdr:colOff>
      <xdr:row>11</xdr:row>
      <xdr:rowOff>0</xdr:rowOff>
    </xdr:from>
    <xdr:ext cx="169469" cy="196464"/>
    <xdr:sp macro="" textlink="">
      <xdr:nvSpPr>
        <xdr:cNvPr id="13" name="CuadroTexto 12">
          <a:extLst>
            <a:ext uri="{FF2B5EF4-FFF2-40B4-BE49-F238E27FC236}">
              <a16:creationId xmlns:a16="http://schemas.microsoft.com/office/drawing/2014/main" id="{FD240DDD-5F74-41EA-B78E-E3B54C280256}"/>
            </a:ext>
          </a:extLst>
        </xdr:cNvPr>
        <xdr:cNvSpPr txBox="1"/>
      </xdr:nvSpPr>
      <xdr:spPr>
        <a:xfrm>
          <a:off x="2724150" y="2038350"/>
          <a:ext cx="169469"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14" name="CuadroTexto 13">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12</xdr:col>
      <xdr:colOff>387351</xdr:colOff>
      <xdr:row>82</xdr:row>
      <xdr:rowOff>57150</xdr:rowOff>
    </xdr:from>
    <xdr:to>
      <xdr:col>15</xdr:col>
      <xdr:colOff>419101</xdr:colOff>
      <xdr:row>82</xdr:row>
      <xdr:rowOff>1752600</xdr:rowOff>
    </xdr:to>
    <xdr:pic>
      <xdr:nvPicPr>
        <xdr:cNvPr id="15" name="Imagen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07126" y="16478250"/>
          <a:ext cx="2260600" cy="1695450"/>
        </a:xfrm>
        <a:prstGeom prst="rect">
          <a:avLst/>
        </a:prstGeom>
      </xdr:spPr>
    </xdr:pic>
    <xdr:clientData/>
  </xdr:twoCellAnchor>
  <xdr:twoCellAnchor editAs="oneCell">
    <xdr:from>
      <xdr:col>7</xdr:col>
      <xdr:colOff>32525</xdr:colOff>
      <xdr:row>82</xdr:row>
      <xdr:rowOff>35700</xdr:rowOff>
    </xdr:from>
    <xdr:to>
      <xdr:col>11</xdr:col>
      <xdr:colOff>209550</xdr:colOff>
      <xdr:row>82</xdr:row>
      <xdr:rowOff>1754381</xdr:rowOff>
    </xdr:to>
    <xdr:pic>
      <xdr:nvPicPr>
        <xdr:cNvPr id="16" name="Imagen 1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04350" y="16456800"/>
          <a:ext cx="2291575" cy="1718681"/>
        </a:xfrm>
        <a:prstGeom prst="rect">
          <a:avLst/>
        </a:prstGeom>
      </xdr:spPr>
    </xdr:pic>
    <xdr:clientData/>
  </xdr:twoCellAnchor>
  <xdr:twoCellAnchor editAs="oneCell">
    <xdr:from>
      <xdr:col>1</xdr:col>
      <xdr:colOff>220625</xdr:colOff>
      <xdr:row>82</xdr:row>
      <xdr:rowOff>42825</xdr:rowOff>
    </xdr:from>
    <xdr:to>
      <xdr:col>5</xdr:col>
      <xdr:colOff>361950</xdr:colOff>
      <xdr:row>82</xdr:row>
      <xdr:rowOff>1749019</xdr:rowOff>
    </xdr:to>
    <xdr:pic>
      <xdr:nvPicPr>
        <xdr:cNvPr id="17" name="Imagen 1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0150" y="16463925"/>
          <a:ext cx="2274925" cy="1706194"/>
        </a:xfrm>
        <a:prstGeom prst="rect">
          <a:avLst/>
        </a:prstGeom>
      </xdr:spPr>
    </xdr:pic>
    <xdr:clientData/>
  </xdr:twoCellAnchor>
  <xdr:twoCellAnchor editAs="oneCell">
    <xdr:from>
      <xdr:col>1</xdr:col>
      <xdr:colOff>104775</xdr:colOff>
      <xdr:row>1</xdr:row>
      <xdr:rowOff>15062</xdr:rowOff>
    </xdr:from>
    <xdr:to>
      <xdr:col>3</xdr:col>
      <xdr:colOff>657225</xdr:colOff>
      <xdr:row>2</xdr:row>
      <xdr:rowOff>242545</xdr:rowOff>
    </xdr:to>
    <xdr:pic>
      <xdr:nvPicPr>
        <xdr:cNvPr id="18"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442266</xdr:colOff>
      <xdr:row>1</xdr:row>
      <xdr:rowOff>38100</xdr:rowOff>
    </xdr:from>
    <xdr:to>
      <xdr:col>15</xdr:col>
      <xdr:colOff>331493</xdr:colOff>
      <xdr:row>2</xdr:row>
      <xdr:rowOff>219075</xdr:rowOff>
    </xdr:to>
    <xdr:pic>
      <xdr:nvPicPr>
        <xdr:cNvPr id="19"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862241" y="95250"/>
          <a:ext cx="670277" cy="561975"/>
        </a:xfrm>
        <a:prstGeom prst="rect">
          <a:avLst/>
        </a:prstGeom>
        <a:noFill/>
        <a:ln w="9525">
          <a:noFill/>
          <a:miter lim="800000"/>
          <a:headEnd/>
          <a:tailEnd/>
        </a:ln>
        <a:effec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10</xdr:col>
      <xdr:colOff>335281</xdr:colOff>
      <xdr:row>13</xdr:row>
      <xdr:rowOff>0</xdr:rowOff>
    </xdr:from>
    <xdr:ext cx="153866" cy="196464"/>
    <xdr:sp macro="" textlink="">
      <xdr:nvSpPr>
        <xdr:cNvPr id="2" name="CuadroTexto 1">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318954</xdr:colOff>
      <xdr:row>74</xdr:row>
      <xdr:rowOff>69668</xdr:rowOff>
    </xdr:from>
    <xdr:to>
      <xdr:col>8</xdr:col>
      <xdr:colOff>293916</xdr:colOff>
      <xdr:row>76</xdr:row>
      <xdr:rowOff>1017815</xdr:rowOff>
    </xdr:to>
    <xdr:pic>
      <xdr:nvPicPr>
        <xdr:cNvPr id="3" name="Imagen 2">
          <a:extLst>
            <a:ext uri="{FF2B5EF4-FFF2-40B4-BE49-F238E27FC236}">
              <a16:creationId xmlns:a16="http://schemas.microsoft.com/office/drawing/2014/main" id="{8FA7941A-2CBF-4A4C-A328-E8A591425E2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479" y="13890443"/>
          <a:ext cx="3518262" cy="1367247"/>
        </a:xfrm>
        <a:prstGeom prst="rect">
          <a:avLst/>
        </a:prstGeom>
      </xdr:spPr>
    </xdr:pic>
    <xdr:clientData/>
  </xdr:twoCellAnchor>
  <xdr:oneCellAnchor>
    <xdr:from>
      <xdr:col>3</xdr:col>
      <xdr:colOff>403127</xdr:colOff>
      <xdr:row>72</xdr:row>
      <xdr:rowOff>397957</xdr:rowOff>
    </xdr:from>
    <xdr:ext cx="971571" cy="269241"/>
    <mc:AlternateContent xmlns:mc="http://schemas.openxmlformats.org/markup-compatibility/2006" xmlns:a14="http://schemas.microsoft.com/office/drawing/2010/main">
      <mc:Choice Requires="a14">
        <xdr:sp macro="" textlink="">
          <xdr:nvSpPr>
            <xdr:cNvPr id="5" name="19 CuadroTexto"/>
            <xdr:cNvSpPr txBox="1"/>
          </xdr:nvSpPr>
          <xdr:spPr>
            <a:xfrm>
              <a:off x="1355627" y="13151932"/>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𝑸𝒊</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oMath>
                </m:oMathPara>
              </a14:m>
              <a:endParaRPr lang="es-ES" sz="1100">
                <a:solidFill>
                  <a:schemeClr val="tx1"/>
                </a:solidFill>
                <a:effectLst/>
                <a:latin typeface="+mn-lt"/>
                <a:ea typeface="+mn-ea"/>
                <a:cs typeface="+mn-cs"/>
              </a:endParaRPr>
            </a:p>
          </xdr:txBody>
        </xdr:sp>
      </mc:Choice>
      <mc:Fallback xmlns="">
        <xdr:sp macro="" textlink="">
          <xdr:nvSpPr>
            <xdr:cNvPr id="5" name="19 CuadroTexto"/>
            <xdr:cNvSpPr txBox="1"/>
          </xdr:nvSpPr>
          <xdr:spPr>
            <a:xfrm>
              <a:off x="1355627" y="13151932"/>
              <a:ext cx="971571" cy="269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𝑸𝒊=𝑨𝒊∗</a:t>
              </a:r>
              <a:r>
                <a:rPr lang="es-ES" sz="1100" b="1" i="0">
                  <a:solidFill>
                    <a:schemeClr val="tx1"/>
                  </a:solidFill>
                  <a:effectLst/>
                  <a:latin typeface="Cambria Math" panose="02040503050406030204" pitchFamily="18" charset="0"/>
                  <a:ea typeface="+mn-ea"/>
                  <a:cs typeface="+mn-cs"/>
                </a:rPr>
                <a:t>(𝑽𝒊) ̅</a:t>
              </a:r>
              <a:endParaRPr lang="es-ES" sz="1100">
                <a:solidFill>
                  <a:schemeClr val="tx1"/>
                </a:solidFill>
                <a:effectLst/>
                <a:latin typeface="+mn-lt"/>
                <a:ea typeface="+mn-ea"/>
                <a:cs typeface="+mn-cs"/>
              </a:endParaRPr>
            </a:p>
          </xdr:txBody>
        </xdr:sp>
      </mc:Fallback>
    </mc:AlternateContent>
    <xdr:clientData/>
  </xdr:oneCellAnchor>
  <xdr:oneCellAnchor>
    <xdr:from>
      <xdr:col>8</xdr:col>
      <xdr:colOff>185307</xdr:colOff>
      <xdr:row>72</xdr:row>
      <xdr:rowOff>320459</xdr:rowOff>
    </xdr:from>
    <xdr:ext cx="1857376" cy="420243"/>
    <mc:AlternateContent xmlns:mc="http://schemas.openxmlformats.org/markup-compatibility/2006" xmlns:a14="http://schemas.microsoft.com/office/drawing/2010/main">
      <mc:Choice Requires="a14">
        <xdr:sp macro="" textlink="">
          <xdr:nvSpPr>
            <xdr:cNvPr id="6" name="20 CuadroTexto"/>
            <xdr:cNvSpPr txBox="1"/>
          </xdr:nvSpPr>
          <xdr:spPr>
            <a:xfrm>
              <a:off x="3738132" y="13074434"/>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100" b="1" i="1">
                        <a:solidFill>
                          <a:schemeClr val="tx1"/>
                        </a:solidFill>
                        <a:effectLst/>
                        <a:latin typeface="Cambria Math"/>
                        <a:ea typeface="+mn-ea"/>
                        <a:cs typeface="+mn-cs"/>
                      </a:rPr>
                      <m:t>𝑨𝒊</m:t>
                    </m:r>
                    <m:r>
                      <a:rPr lang="es-ES" sz="1100" b="1" i="1">
                        <a:solidFill>
                          <a:schemeClr val="tx1"/>
                        </a:solidFill>
                        <a:effectLst/>
                        <a:latin typeface="Cambria Math"/>
                        <a:ea typeface="+mn-ea"/>
                        <a:cs typeface="+mn-cs"/>
                      </a:rPr>
                      <m:t>=</m:t>
                    </m:r>
                    <m:f>
                      <m:fPr>
                        <m:ctrlPr>
                          <a:rPr lang="es-CO" sz="1100" b="1" i="1">
                            <a:solidFill>
                              <a:schemeClr val="tx1"/>
                            </a:solidFill>
                            <a:effectLst/>
                            <a:latin typeface="Cambria Math" panose="02040503050406030204" pitchFamily="18" charset="0"/>
                            <a:ea typeface="+mn-ea"/>
                            <a:cs typeface="+mn-cs"/>
                          </a:rPr>
                        </m:ctrlPr>
                      </m:fPr>
                      <m:num>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𝒉</m:t>
                            </m:r>
                          </m:e>
                          <m:sub>
                            <m:r>
                              <a:rPr lang="es-CO" sz="1100" b="1" i="1">
                                <a:solidFill>
                                  <a:schemeClr val="tx1"/>
                                </a:solidFill>
                                <a:effectLst/>
                                <a:latin typeface="Cambria Math" panose="02040503050406030204" pitchFamily="18" charset="0"/>
                                <a:ea typeface="+mn-ea"/>
                                <a:cs typeface="+mn-cs"/>
                              </a:rPr>
                              <m:t>𝒊</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 </m:t>
                            </m:r>
                          </m:sub>
                        </m:sSub>
                        <m:r>
                          <a:rPr lang="es-CO"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𝑩</m:t>
                        </m:r>
                      </m:num>
                      <m:den>
                        <m:r>
                          <a:rPr lang="es-CO" sz="1100" b="1" i="1">
                            <a:solidFill>
                              <a:schemeClr val="tx1"/>
                            </a:solidFill>
                            <a:effectLst/>
                            <a:latin typeface="Cambria Math" panose="02040503050406030204" pitchFamily="18" charset="0"/>
                            <a:ea typeface="+mn-ea"/>
                            <a:cs typeface="+mn-cs"/>
                          </a:rPr>
                          <m:t>𝟐</m:t>
                        </m:r>
                      </m:den>
                    </m:f>
                  </m:oMath>
                </m:oMathPara>
              </a14:m>
              <a:endParaRPr lang="es-ES" sz="1100">
                <a:solidFill>
                  <a:schemeClr val="tx1"/>
                </a:solidFill>
                <a:effectLst/>
                <a:latin typeface="+mn-lt"/>
                <a:ea typeface="+mn-ea"/>
                <a:cs typeface="+mn-cs"/>
              </a:endParaRPr>
            </a:p>
          </xdr:txBody>
        </xdr:sp>
      </mc:Choice>
      <mc:Fallback xmlns="">
        <xdr:sp macro="" textlink="">
          <xdr:nvSpPr>
            <xdr:cNvPr id="6" name="20 CuadroTexto"/>
            <xdr:cNvSpPr txBox="1"/>
          </xdr:nvSpPr>
          <xdr:spPr>
            <a:xfrm>
              <a:off x="3738132" y="13074434"/>
              <a:ext cx="1857376" cy="4202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𝑨𝒊=</a:t>
              </a:r>
              <a:r>
                <a:rPr lang="es-CO" sz="1100" b="1" i="0">
                  <a:solidFill>
                    <a:schemeClr val="tx1"/>
                  </a:solidFill>
                  <a:effectLst/>
                  <a:latin typeface="Cambria Math" panose="02040503050406030204" pitchFamily="18" charset="0"/>
                  <a:ea typeface="+mn-ea"/>
                  <a:cs typeface="+mn-cs"/>
                </a:rPr>
                <a:t>(〖(𝒉〗_𝒊+𝒉_(𝒊+𝟏 ))</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𝑩)/𝟐</a:t>
              </a:r>
              <a:endParaRPr lang="es-ES" sz="1100">
                <a:solidFill>
                  <a:schemeClr val="tx1"/>
                </a:solidFill>
                <a:effectLst/>
                <a:latin typeface="+mn-lt"/>
                <a:ea typeface="+mn-ea"/>
                <a:cs typeface="+mn-cs"/>
              </a:endParaRPr>
            </a:p>
          </xdr:txBody>
        </xdr:sp>
      </mc:Fallback>
    </mc:AlternateContent>
    <xdr:clientData/>
  </xdr:oneCellAnchor>
  <xdr:oneCellAnchor>
    <xdr:from>
      <xdr:col>10</xdr:col>
      <xdr:colOff>422095</xdr:colOff>
      <xdr:row>72</xdr:row>
      <xdr:rowOff>27002</xdr:rowOff>
    </xdr:from>
    <xdr:ext cx="2933700" cy="409215"/>
    <mc:AlternateContent xmlns:mc="http://schemas.openxmlformats.org/markup-compatibility/2006" xmlns:a14="http://schemas.microsoft.com/office/drawing/2010/main">
      <mc:Choice Requires="a14">
        <xdr:sp macro="" textlink="">
          <xdr:nvSpPr>
            <xdr:cNvPr id="7" name="21 CuadroTexto"/>
            <xdr:cNvSpPr txBox="1"/>
          </xdr:nvSpPr>
          <xdr:spPr>
            <a:xfrm>
              <a:off x="4908370" y="12780977"/>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sub>
                        </m:sSub>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𝟐</m:t>
                        </m:r>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𝟖</m:t>
                            </m:r>
                          </m:sub>
                        </m:sSub>
                      </m:num>
                      <m:den>
                        <m:r>
                          <a:rPr lang="es-ES" sz="1100" b="1" i="1">
                            <a:solidFill>
                              <a:schemeClr val="tx1"/>
                            </a:solidFill>
                            <a:effectLst/>
                            <a:latin typeface="Cambria Math"/>
                            <a:ea typeface="+mn-ea"/>
                            <a:cs typeface="+mn-cs"/>
                          </a:rPr>
                          <m:t>𝟒</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7" name="21 CuadroTexto"/>
            <xdr:cNvSpPr txBox="1"/>
          </xdr:nvSpPr>
          <xdr:spPr>
            <a:xfrm>
              <a:off x="4908370" y="12780977"/>
              <a:ext cx="2933700" cy="409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𝟎.𝟐</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+𝟐∗𝑽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𝟎.𝟖</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𝟒  </a:t>
              </a:r>
              <a:endParaRPr lang="es-ES" sz="1100">
                <a:solidFill>
                  <a:schemeClr val="tx1"/>
                </a:solidFill>
                <a:effectLst/>
                <a:latin typeface="+mn-lt"/>
                <a:ea typeface="+mn-ea"/>
                <a:cs typeface="+mn-cs"/>
              </a:endParaRPr>
            </a:p>
          </xdr:txBody>
        </xdr:sp>
      </mc:Fallback>
    </mc:AlternateContent>
    <xdr:clientData/>
  </xdr:oneCellAnchor>
  <xdr:oneCellAnchor>
    <xdr:from>
      <xdr:col>14</xdr:col>
      <xdr:colOff>276287</xdr:colOff>
      <xdr:row>72</xdr:row>
      <xdr:rowOff>18715</xdr:rowOff>
    </xdr:from>
    <xdr:ext cx="1055203" cy="410305"/>
    <mc:AlternateContent xmlns:mc="http://schemas.openxmlformats.org/markup-compatibility/2006" xmlns:a14="http://schemas.microsoft.com/office/drawing/2010/main">
      <mc:Choice Requires="a14">
        <xdr:sp macro="" textlink="">
          <xdr:nvSpPr>
            <xdr:cNvPr id="8" name="22 CuadroTexto"/>
            <xdr:cNvSpPr txBox="1"/>
          </xdr:nvSpPr>
          <xdr:spPr>
            <a:xfrm>
              <a:off x="7543862" y="12772690"/>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𝒎𝒆𝒅𝒊𝒂</m:t>
                        </m:r>
                      </m:sub>
                    </m:sSub>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a:ea typeface="+mn-ea"/>
                            <a:cs typeface="+mn-cs"/>
                          </a:rPr>
                          <m:t>𝑸𝒕</m:t>
                        </m:r>
                      </m:num>
                      <m:den>
                        <m:r>
                          <a:rPr lang="es-ES" sz="1100" b="1" i="1">
                            <a:solidFill>
                              <a:schemeClr val="tx1"/>
                            </a:solidFill>
                            <a:effectLst/>
                            <a:latin typeface="Cambria Math"/>
                            <a:ea typeface="+mn-ea"/>
                            <a:cs typeface="+mn-cs"/>
                          </a:rPr>
                          <m:t>𝑨𝒕</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8" name="22 CuadroTexto"/>
            <xdr:cNvSpPr txBox="1"/>
          </xdr:nvSpPr>
          <xdr:spPr>
            <a:xfrm>
              <a:off x="7543862" y="12772690"/>
              <a:ext cx="1055203" cy="4103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𝒎𝒆𝒅𝒊𝒂=𝑸𝒕</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𝑨𝒕  </a:t>
              </a:r>
              <a:endParaRPr lang="es-ES" sz="1100">
                <a:solidFill>
                  <a:schemeClr val="tx1"/>
                </a:solidFill>
                <a:effectLst/>
                <a:latin typeface="+mn-lt"/>
                <a:ea typeface="+mn-ea"/>
                <a:cs typeface="+mn-cs"/>
              </a:endParaRPr>
            </a:p>
          </xdr:txBody>
        </xdr:sp>
      </mc:Fallback>
    </mc:AlternateContent>
    <xdr:clientData/>
  </xdr:oneCellAnchor>
  <xdr:oneCellAnchor>
    <xdr:from>
      <xdr:col>2</xdr:col>
      <xdr:colOff>280349</xdr:colOff>
      <xdr:row>72</xdr:row>
      <xdr:rowOff>47061</xdr:rowOff>
    </xdr:from>
    <xdr:ext cx="4906839" cy="416524"/>
    <mc:AlternateContent xmlns:mc="http://schemas.openxmlformats.org/markup-compatibility/2006" xmlns:a14="http://schemas.microsoft.com/office/drawing/2010/main">
      <mc:Choice Requires="a14">
        <xdr:sp macro="" textlink="">
          <xdr:nvSpPr>
            <xdr:cNvPr id="9" name="21 CuadroTexto"/>
            <xdr:cNvSpPr txBox="1"/>
          </xdr:nvSpPr>
          <xdr:spPr>
            <a:xfrm>
              <a:off x="737549" y="12801036"/>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100" b="1" i="1">
                            <a:solidFill>
                              <a:schemeClr val="tx1"/>
                            </a:solidFill>
                            <a:effectLst/>
                            <a:latin typeface="Cambria Math" panose="02040503050406030204" pitchFamily="18" charset="0"/>
                            <a:ea typeface="+mn-ea"/>
                            <a:cs typeface="+mn-cs"/>
                          </a:rPr>
                        </m:ctrlPr>
                      </m:accPr>
                      <m:e>
                        <m:r>
                          <a:rPr lang="es-ES" sz="1100" b="1" i="1">
                            <a:solidFill>
                              <a:schemeClr val="tx1"/>
                            </a:solidFill>
                            <a:effectLst/>
                            <a:latin typeface="Cambria Math" panose="02040503050406030204" pitchFamily="18" charset="0"/>
                            <a:ea typeface="+mn-ea"/>
                            <a:cs typeface="+mn-cs"/>
                          </a:rPr>
                          <m:t>𝑽𝒊</m:t>
                        </m:r>
                      </m:e>
                    </m:acc>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a:ea typeface="+mn-ea"/>
                                <a:cs typeface="+mn-cs"/>
                              </a:rPr>
                              <m:t>.</m:t>
                            </m:r>
                            <m:r>
                              <a:rPr lang="es-CO" sz="1100" b="1" i="1">
                                <a:solidFill>
                                  <a:schemeClr val="tx1"/>
                                </a:solidFill>
                                <a:effectLst/>
                                <a:latin typeface="Cambria Math" panose="02040503050406030204" pitchFamily="18" charset="0"/>
                                <a:ea typeface="+mn-ea"/>
                                <a:cs typeface="+mn-cs"/>
                              </a:rPr>
                              <m:t>𝟏</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a:ea typeface="+mn-ea"/>
                                <a:cs typeface="+mn-cs"/>
                              </a:rPr>
                              <m:t>𝑽</m:t>
                            </m:r>
                          </m:e>
                          <m:sub>
                            <m:r>
                              <a:rPr lang="es-ES" sz="1100" b="1" i="1">
                                <a:solidFill>
                                  <a:schemeClr val="tx1"/>
                                </a:solidFill>
                                <a:effectLst/>
                                <a:latin typeface="Cambria Math"/>
                                <a:ea typeface="+mn-ea"/>
                                <a:cs typeface="+mn-cs"/>
                              </a:rPr>
                              <m:t>𝟎</m:t>
                            </m:r>
                            <m:r>
                              <a:rPr lang="es-ES" sz="1100" b="1" i="1">
                                <a:solidFill>
                                  <a:schemeClr val="tx1"/>
                                </a:solidFill>
                                <a:effectLst/>
                                <a:latin typeface="Cambria Math"/>
                                <a:ea typeface="+mn-ea"/>
                                <a:cs typeface="+mn-cs"/>
                              </a:rPr>
                              <m:t>.</m:t>
                            </m:r>
                            <m:r>
                              <a:rPr lang="es-ES" sz="1100" b="1" i="1">
                                <a:solidFill>
                                  <a:schemeClr val="tx1"/>
                                </a:solidFill>
                                <a:effectLst/>
                                <a:latin typeface="Cambria Math"/>
                                <a:ea typeface="+mn-ea"/>
                                <a:cs typeface="+mn-cs"/>
                              </a:rPr>
                              <m:t>𝟒</m:t>
                            </m:r>
                          </m:sub>
                        </m:sSub>
                        <m:r>
                          <a:rPr lang="es-ES" sz="1100" b="1" i="1">
                            <a:solidFill>
                              <a:schemeClr val="tx1"/>
                            </a:solidFill>
                            <a:effectLst/>
                            <a:latin typeface="Cambria Math"/>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𝟓</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𝟕</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ES" sz="1100" b="1" i="1">
                                <a:solidFill>
                                  <a:schemeClr val="tx1"/>
                                </a:solidFill>
                                <a:effectLst/>
                                <a:latin typeface="Cambria Math" panose="02040503050406030204" pitchFamily="18" charset="0"/>
                                <a:ea typeface="+mn-ea"/>
                                <a:cs typeface="+mn-cs"/>
                              </a:rPr>
                              <m:t>+</m:t>
                            </m:r>
                            <m:sSub>
                              <m:sSubPr>
                                <m:ctrlPr>
                                  <a:rPr lang="es-ES" sz="1100" b="1" i="1">
                                    <a:solidFill>
                                      <a:schemeClr val="tx1"/>
                                    </a:solidFill>
                                    <a:effectLst/>
                                    <a:latin typeface="Cambria Math" panose="02040503050406030204" pitchFamily="18" charset="0"/>
                                    <a:ea typeface="+mn-ea"/>
                                    <a:cs typeface="+mn-cs"/>
                                  </a:rPr>
                                </m:ctrlPr>
                              </m:sSubPr>
                              <m:e>
                                <m:r>
                                  <a:rPr lang="es-ES" sz="1100" b="1" i="1">
                                    <a:solidFill>
                                      <a:schemeClr val="tx1"/>
                                    </a:solidFill>
                                    <a:effectLst/>
                                    <a:latin typeface="Cambria Math" panose="02040503050406030204" pitchFamily="18" charset="0"/>
                                    <a:ea typeface="+mn-ea"/>
                                    <a:cs typeface="+mn-cs"/>
                                  </a:rPr>
                                  <m:t>𝑽</m:t>
                                </m:r>
                              </m:e>
                              <m:sub>
                                <m:r>
                                  <a:rPr lang="es-ES" sz="1100" b="1" i="1">
                                    <a:solidFill>
                                      <a:schemeClr val="tx1"/>
                                    </a:solidFill>
                                    <a:effectLst/>
                                    <a:latin typeface="Cambria Math" panose="02040503050406030204" pitchFamily="18" charset="0"/>
                                    <a:ea typeface="+mn-ea"/>
                                    <a:cs typeface="+mn-cs"/>
                                  </a:rPr>
                                  <m:t>𝟎</m:t>
                                </m:r>
                                <m:r>
                                  <a:rPr lang="es-ES"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𝟗</m:t>
                                </m:r>
                              </m:sub>
                            </m:sSub>
                            <m:r>
                              <a:rPr lang="es-ES" sz="1100" b="1" i="1">
                                <a:solidFill>
                                  <a:schemeClr val="tx1"/>
                                </a:solidFill>
                                <a:effectLst/>
                                <a:latin typeface="Cambria Math" panose="02040503050406030204" pitchFamily="18" charset="0"/>
                                <a:ea typeface="+mn-ea"/>
                                <a:cs typeface="+mn-cs"/>
                              </a:rPr>
                              <m:t>+</m:t>
                            </m:r>
                            <m:r>
                              <a:rPr lang="es-ES" sz="1100" b="1" i="1">
                                <a:solidFill>
                                  <a:schemeClr val="tx1"/>
                                </a:solidFill>
                                <a:effectLst/>
                                <a:latin typeface="Cambria Math"/>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r>
                              <a:rPr lang="es-CO" sz="1100" b="1" i="1">
                                <a:solidFill>
                                  <a:schemeClr val="tx1"/>
                                </a:solidFill>
                                <a:effectLst/>
                                <a:latin typeface="Cambria Math" panose="02040503050406030204" pitchFamily="18" charset="0"/>
                                <a:ea typeface="+mn-ea"/>
                                <a:cs typeface="+mn-cs"/>
                              </a:rPr>
                              <m:t> </m:t>
                            </m:r>
                          </m:sub>
                        </m:sSub>
                      </m:num>
                      <m:den>
                        <m:r>
                          <a:rPr lang="es-CO" sz="1100" b="1" i="1">
                            <a:solidFill>
                              <a:schemeClr val="tx1"/>
                            </a:solidFill>
                            <a:effectLst/>
                            <a:latin typeface="Cambria Math" panose="02040503050406030204" pitchFamily="18" charset="0"/>
                            <a:ea typeface="+mn-ea"/>
                            <a:cs typeface="+mn-cs"/>
                          </a:rPr>
                          <m:t>𝟏𝟎</m:t>
                        </m:r>
                      </m:den>
                    </m:f>
                    <m:r>
                      <a:rPr lang="es-ES" sz="1100" b="1" i="1">
                        <a:solidFill>
                          <a:schemeClr val="tx1"/>
                        </a:solidFill>
                        <a:effectLst/>
                        <a:latin typeface="Cambria Math"/>
                        <a:ea typeface="+mn-ea"/>
                        <a:cs typeface="+mn-cs"/>
                      </a:rPr>
                      <m:t> </m:t>
                    </m:r>
                  </m:oMath>
                </m:oMathPara>
              </a14:m>
              <a:endParaRPr lang="es-ES" sz="1100">
                <a:solidFill>
                  <a:schemeClr val="tx1"/>
                </a:solidFill>
                <a:effectLst/>
                <a:latin typeface="+mn-lt"/>
                <a:ea typeface="+mn-ea"/>
                <a:cs typeface="+mn-cs"/>
              </a:endParaRPr>
            </a:p>
          </xdr:txBody>
        </xdr:sp>
      </mc:Choice>
      <mc:Fallback xmlns="">
        <xdr:sp macro="" textlink="">
          <xdr:nvSpPr>
            <xdr:cNvPr id="9" name="21 CuadroTexto"/>
            <xdr:cNvSpPr txBox="1"/>
          </xdr:nvSpPr>
          <xdr:spPr>
            <a:xfrm>
              <a:off x="737549" y="12801036"/>
              <a:ext cx="4906839"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100" b="1" i="0">
                  <a:solidFill>
                    <a:schemeClr val="tx1"/>
                  </a:solidFill>
                  <a:effectLst/>
                  <a:latin typeface="Cambria Math" panose="02040503050406030204" pitchFamily="18" charset="0"/>
                  <a:ea typeface="+mn-ea"/>
                  <a:cs typeface="+mn-cs"/>
                </a:rPr>
                <a:t>(𝑽𝒊) ̅</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a:ea typeface="+mn-ea"/>
                  <a:cs typeface="+mn-cs"/>
                </a:rPr>
                <a:t>.</a:t>
              </a:r>
              <a:r>
                <a:rPr lang="es-CO" sz="1100" b="1" i="0">
                  <a:solidFill>
                    <a:schemeClr val="tx1"/>
                  </a:solidFill>
                  <a:effectLst/>
                  <a:latin typeface="Cambria Math" panose="02040503050406030204" pitchFamily="18" charset="0"/>
                  <a:ea typeface="+mn-ea"/>
                  <a:cs typeface="+mn-cs"/>
                </a:rPr>
                <a:t>𝟏</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𝟐</a:t>
              </a:r>
              <a:r>
                <a:rPr lang="es-ES" sz="1100" b="1" i="0">
                  <a:solidFill>
                    <a:schemeClr val="tx1"/>
                  </a:solidFill>
                  <a:effectLst/>
                  <a:latin typeface="Cambria Math" panose="02040503050406030204" pitchFamily="18" charset="0"/>
                  <a:ea typeface="+mn-ea"/>
                  <a:cs typeface="+mn-cs"/>
                </a:rPr>
                <a:t>)+𝑽_(</a:t>
              </a:r>
              <a:r>
                <a:rPr lang="es-CO" sz="1100" b="1" i="0">
                  <a:solidFill>
                    <a:schemeClr val="tx1"/>
                  </a:solidFill>
                  <a:effectLst/>
                  <a:latin typeface="Cambria Math" panose="02040503050406030204" pitchFamily="18" charset="0"/>
                  <a:ea typeface="+mn-ea"/>
                  <a:cs typeface="+mn-cs"/>
                </a:rPr>
                <a:t>𝟎</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𝟑</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ES" sz="1100" b="1" i="0">
                  <a:solidFill>
                    <a:schemeClr val="tx1"/>
                  </a:solidFill>
                  <a:effectLst/>
                  <a:latin typeface="Cambria Math"/>
                  <a:ea typeface="+mn-ea"/>
                  <a:cs typeface="+mn-cs"/>
                </a:rPr>
                <a:t>𝟎.𝟒</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𝟓</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𝟔</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𝟕</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𝟖</a:t>
              </a:r>
              <a:r>
                <a:rPr lang="es-ES" sz="1100" b="1" i="0">
                  <a:solidFill>
                    <a:schemeClr val="tx1"/>
                  </a:solidFill>
                  <a:effectLst/>
                  <a:latin typeface="Cambria Math" panose="02040503050406030204" pitchFamily="18" charset="0"/>
                  <a:ea typeface="+mn-ea"/>
                  <a:cs typeface="+mn-cs"/>
                </a:rPr>
                <a:t>)+𝑽_(𝟎.</a:t>
              </a:r>
              <a:r>
                <a:rPr lang="es-CO" sz="1100" b="1" i="0">
                  <a:solidFill>
                    <a:schemeClr val="tx1"/>
                  </a:solidFill>
                  <a:effectLst/>
                  <a:latin typeface="Cambria Math" panose="02040503050406030204" pitchFamily="18" charset="0"/>
                  <a:ea typeface="+mn-ea"/>
                  <a:cs typeface="+mn-cs"/>
                </a:rPr>
                <a:t>𝟗</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𝑽</a:t>
              </a:r>
              <a:r>
                <a:rPr lang="es-ES" sz="1100" b="1" i="0">
                  <a:solidFill>
                    <a:schemeClr val="tx1"/>
                  </a:solidFill>
                  <a:effectLst/>
                  <a:latin typeface="Cambria Math" panose="02040503050406030204" pitchFamily="18" charset="0"/>
                  <a:ea typeface="+mn-ea"/>
                  <a:cs typeface="+mn-cs"/>
                </a:rPr>
                <a:t>〗_(</a:t>
              </a:r>
              <a:r>
                <a:rPr lang="es-CO" sz="1100" b="1" i="0">
                  <a:solidFill>
                    <a:schemeClr val="tx1"/>
                  </a:solidFill>
                  <a:effectLst/>
                  <a:latin typeface="Cambria Math" panose="02040503050406030204" pitchFamily="18" charset="0"/>
                  <a:ea typeface="+mn-ea"/>
                  <a:cs typeface="+mn-cs"/>
                </a:rPr>
                <a:t>𝒔𝒖𝒑𝒇 </a:t>
              </a:r>
              <a:r>
                <a:rPr lang="es-ES" sz="1100" b="1" i="0">
                  <a:solidFill>
                    <a:schemeClr val="tx1"/>
                  </a:solidFill>
                  <a:effectLst/>
                  <a:latin typeface="Cambria Math" panose="02040503050406030204" pitchFamily="18" charset="0"/>
                  <a:ea typeface="+mn-ea"/>
                  <a:cs typeface="+mn-cs"/>
                </a:rPr>
                <a:t>))/</a:t>
              </a:r>
              <a:r>
                <a:rPr lang="es-CO" sz="1100" b="1" i="0">
                  <a:solidFill>
                    <a:schemeClr val="tx1"/>
                  </a:solidFill>
                  <a:effectLst/>
                  <a:latin typeface="Cambria Math" panose="02040503050406030204" pitchFamily="18" charset="0"/>
                  <a:ea typeface="+mn-ea"/>
                  <a:cs typeface="+mn-cs"/>
                </a:rPr>
                <a:t>𝟏𝟎</a:t>
              </a:r>
              <a:r>
                <a:rPr lang="es-ES" sz="1100" b="1" i="0">
                  <a:solidFill>
                    <a:schemeClr val="tx1"/>
                  </a:solidFill>
                  <a:effectLst/>
                  <a:latin typeface="Cambria Math"/>
                  <a:ea typeface="+mn-ea"/>
                  <a:cs typeface="+mn-cs"/>
                </a:rPr>
                <a:t>  </a:t>
              </a:r>
              <a:endParaRPr lang="es-ES" sz="1100">
                <a:solidFill>
                  <a:schemeClr val="tx1"/>
                </a:solidFill>
                <a:effectLst/>
                <a:latin typeface="+mn-lt"/>
                <a:ea typeface="+mn-ea"/>
                <a:cs typeface="+mn-cs"/>
              </a:endParaRPr>
            </a:p>
          </xdr:txBody>
        </xdr:sp>
      </mc:Fallback>
    </mc:AlternateContent>
    <xdr:clientData/>
  </xdr:oneCellAnchor>
  <xdr:oneCellAnchor>
    <xdr:from>
      <xdr:col>13</xdr:col>
      <xdr:colOff>166236</xdr:colOff>
      <xdr:row>72</xdr:row>
      <xdr:rowOff>319663</xdr:rowOff>
    </xdr:from>
    <xdr:ext cx="1279721" cy="355738"/>
    <mc:AlternateContent xmlns:mc="http://schemas.openxmlformats.org/markup-compatibility/2006" xmlns:a14="http://schemas.microsoft.com/office/drawing/2010/main">
      <mc:Choice Requires="a14">
        <xdr:sp macro="" textlink="">
          <xdr:nvSpPr>
            <xdr:cNvPr id="10" name="19 CuadroTexto"/>
            <xdr:cNvSpPr txBox="1"/>
          </xdr:nvSpPr>
          <xdr:spPr>
            <a:xfrm>
              <a:off x="6719436" y="13073638"/>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r>
                    <a:rPr lang="es-ES" sz="1100" b="1" i="1">
                      <a:solidFill>
                        <a:schemeClr val="tx1"/>
                      </a:solidFill>
                      <a:effectLst/>
                      <a:latin typeface="Cambria Math"/>
                      <a:ea typeface="+mn-ea"/>
                      <a:cs typeface="+mn-cs"/>
                    </a:rPr>
                    <m:t>𝑸</m:t>
                  </m:r>
                  <m:d>
                    <m:dPr>
                      <m:begChr m:val="["/>
                      <m:endChr m:val="]"/>
                      <m:ctrlPr>
                        <a:rPr lang="es-ES" sz="1100" b="1" i="1">
                          <a:solidFill>
                            <a:schemeClr val="tx1"/>
                          </a:solidFill>
                          <a:effectLst/>
                          <a:latin typeface="Cambria Math" panose="02040503050406030204" pitchFamily="18" charset="0"/>
                          <a:ea typeface="+mn-ea"/>
                          <a:cs typeface="+mn-cs"/>
                        </a:rPr>
                      </m:ctrlPr>
                    </m:dPr>
                    <m:e>
                      <m:r>
                        <a:rPr lang="es-ES" sz="1100" b="1" i="1">
                          <a:solidFill>
                            <a:schemeClr val="tx1"/>
                          </a:solidFill>
                          <a:effectLst/>
                          <a:latin typeface="Cambria Math" panose="02040503050406030204" pitchFamily="18" charset="0"/>
                          <a:ea typeface="+mn-ea"/>
                          <a:cs typeface="+mn-cs"/>
                        </a:rPr>
                        <m:t>%</m:t>
                      </m:r>
                    </m:e>
                  </m:d>
                  <m:r>
                    <a:rPr lang="es-ES" sz="1100" b="1" i="1">
                      <a:solidFill>
                        <a:schemeClr val="tx1"/>
                      </a:solidFill>
                      <a:effectLst/>
                      <a:latin typeface="Cambria Math"/>
                      <a:ea typeface="+mn-ea"/>
                      <a:cs typeface="+mn-cs"/>
                    </a:rPr>
                    <m:t>=</m:t>
                  </m:r>
                  <m:f>
                    <m:fPr>
                      <m:ctrlPr>
                        <a:rPr lang="es-ES" sz="1100" b="1" i="1">
                          <a:solidFill>
                            <a:schemeClr val="tx1"/>
                          </a:solidFill>
                          <a:effectLst/>
                          <a:latin typeface="Cambria Math" panose="02040503050406030204" pitchFamily="18" charset="0"/>
                          <a:ea typeface="+mn-ea"/>
                          <a:cs typeface="+mn-cs"/>
                        </a:rPr>
                      </m:ctrlPr>
                    </m:fPr>
                    <m:num>
                      <m:r>
                        <a:rPr lang="es-ES" sz="1100" b="1" i="1">
                          <a:solidFill>
                            <a:schemeClr val="tx1"/>
                          </a:solidFill>
                          <a:effectLst/>
                          <a:latin typeface="Cambria Math" panose="02040503050406030204" pitchFamily="18" charset="0"/>
                          <a:ea typeface="+mn-ea"/>
                          <a:cs typeface="+mn-cs"/>
                        </a:rPr>
                        <m:t>𝑸𝒊</m:t>
                      </m:r>
                    </m:num>
                    <m:den>
                      <m:r>
                        <a:rPr lang="es-ES" sz="1100" b="1" i="1">
                          <a:solidFill>
                            <a:schemeClr val="tx1"/>
                          </a:solidFill>
                          <a:effectLst/>
                          <a:latin typeface="Cambria Math" panose="02040503050406030204" pitchFamily="18" charset="0"/>
                          <a:ea typeface="+mn-ea"/>
                          <a:cs typeface="+mn-cs"/>
                        </a:rPr>
                        <m:t>𝑸𝒕</m:t>
                      </m:r>
                    </m:den>
                  </m:f>
                </m:oMath>
              </a14:m>
              <a:r>
                <a:rPr lang="es-ES" sz="1100">
                  <a:solidFill>
                    <a:schemeClr val="tx1"/>
                  </a:solidFill>
                  <a:effectLst/>
                  <a:latin typeface="+mn-lt"/>
                  <a:ea typeface="+mn-ea"/>
                  <a:cs typeface="+mn-cs"/>
                </a:rPr>
                <a:t>*100</a:t>
              </a:r>
            </a:p>
          </xdr:txBody>
        </xdr:sp>
      </mc:Choice>
      <mc:Fallback xmlns="">
        <xdr:sp macro="" textlink="">
          <xdr:nvSpPr>
            <xdr:cNvPr id="10" name="19 CuadroTexto"/>
            <xdr:cNvSpPr txBox="1"/>
          </xdr:nvSpPr>
          <xdr:spPr>
            <a:xfrm>
              <a:off x="6719436" y="13073638"/>
              <a:ext cx="1279721" cy="355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i="0">
                  <a:solidFill>
                    <a:schemeClr val="tx1"/>
                  </a:solidFill>
                  <a:effectLst/>
                  <a:latin typeface="Cambria Math"/>
                  <a:ea typeface="+mn-ea"/>
                  <a:cs typeface="+mn-cs"/>
                </a:rPr>
                <a:t>𝑸</a:t>
              </a:r>
              <a:r>
                <a:rPr lang="es-ES" sz="1100" b="1" i="0">
                  <a:solidFill>
                    <a:schemeClr val="tx1"/>
                  </a:solidFill>
                  <a:effectLst/>
                  <a:latin typeface="Cambria Math" panose="02040503050406030204" pitchFamily="18" charset="0"/>
                  <a:ea typeface="+mn-ea"/>
                  <a:cs typeface="+mn-cs"/>
                </a:rPr>
                <a:t>[%]</a:t>
              </a:r>
              <a:r>
                <a:rPr lang="es-ES" sz="1100" b="1" i="0">
                  <a:solidFill>
                    <a:schemeClr val="tx1"/>
                  </a:solidFill>
                  <a:effectLst/>
                  <a:latin typeface="Cambria Math"/>
                  <a:ea typeface="+mn-ea"/>
                  <a:cs typeface="+mn-cs"/>
                </a:rPr>
                <a:t>=</a:t>
              </a:r>
              <a:r>
                <a:rPr lang="es-ES" sz="1100" b="1" i="0">
                  <a:solidFill>
                    <a:schemeClr val="tx1"/>
                  </a:solidFill>
                  <a:effectLst/>
                  <a:latin typeface="Cambria Math" panose="02040503050406030204" pitchFamily="18" charset="0"/>
                  <a:ea typeface="+mn-ea"/>
                  <a:cs typeface="+mn-cs"/>
                </a:rPr>
                <a:t>𝑸𝒊/𝑸𝒕</a:t>
              </a:r>
              <a:r>
                <a:rPr lang="es-ES" sz="1100">
                  <a:solidFill>
                    <a:schemeClr val="tx1"/>
                  </a:solidFill>
                  <a:effectLst/>
                  <a:latin typeface="+mn-lt"/>
                  <a:ea typeface="+mn-ea"/>
                  <a:cs typeface="+mn-cs"/>
                </a:rPr>
                <a:t>*100</a:t>
              </a:r>
            </a:p>
          </xdr:txBody>
        </xdr:sp>
      </mc:Fallback>
    </mc:AlternateContent>
    <xdr:clientData/>
  </xdr:oneCellAnchor>
  <xdr:oneCellAnchor>
    <xdr:from>
      <xdr:col>14</xdr:col>
      <xdr:colOff>777240</xdr:colOff>
      <xdr:row>78</xdr:row>
      <xdr:rowOff>175260</xdr:rowOff>
    </xdr:from>
    <xdr:ext cx="153866" cy="196464"/>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044815" y="1583436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100" b="1" i="1" baseline="0">
                            <a:latin typeface="Cambria Math" panose="02040503050406030204" pitchFamily="18" charset="0"/>
                          </a:rPr>
                        </m:ctrlPr>
                      </m:barPr>
                      <m:e>
                        <m:r>
                          <a:rPr lang="es-CO" sz="1100" b="1" i="0" baseline="0">
                            <a:latin typeface="Cambria Math" panose="02040503050406030204" pitchFamily="18" charset="0"/>
                          </a:rPr>
                          <m:t>𝐕𝐢</m:t>
                        </m:r>
                      </m:e>
                    </m:bar>
                  </m:oMath>
                </m:oMathPara>
              </a14:m>
              <a:endParaRPr lang="es-CO" sz="1100" b="1" i="0" baseline="0">
                <a:latin typeface="Calibri" panose="020F0502020204030204" pitchFamily="34" charset="0"/>
              </a:endParaRPr>
            </a:p>
          </xdr:txBody>
        </xdr:sp>
      </mc:Choice>
      <mc:Fallback xmlns="">
        <xdr:sp macro="" textlink="">
          <xdr:nvSpPr>
            <xdr:cNvPr id="11" name="CuadroTexto 10">
              <a:extLst>
                <a:ext uri="{FF2B5EF4-FFF2-40B4-BE49-F238E27FC236}">
                  <a16:creationId xmlns:a16="http://schemas.microsoft.com/office/drawing/2014/main" id="{6F0463C6-72E8-49C8-9624-A98832FF5853}"/>
                </a:ext>
              </a:extLst>
            </xdr:cNvPr>
            <xdr:cNvSpPr txBox="1"/>
          </xdr:nvSpPr>
          <xdr:spPr>
            <a:xfrm>
              <a:off x="8044815" y="1583436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mc:Fallback>
    </mc:AlternateContent>
    <xdr:clientData/>
  </xdr:oneCellAnchor>
  <xdr:oneCellAnchor>
    <xdr:from>
      <xdr:col>5</xdr:col>
      <xdr:colOff>500065</xdr:colOff>
      <xdr:row>11</xdr:row>
      <xdr:rowOff>154778</xdr:rowOff>
    </xdr:from>
    <xdr:ext cx="214312" cy="172227"/>
    <xdr:sp macro="" textlink="">
      <xdr:nvSpPr>
        <xdr:cNvPr id="12" name="CuadroTexto 11">
          <a:extLst>
            <a:ext uri="{FF2B5EF4-FFF2-40B4-BE49-F238E27FC236}">
              <a16:creationId xmlns:a16="http://schemas.microsoft.com/office/drawing/2014/main" id="{FD240DDD-5F74-41EA-B78E-E3B54C280256}"/>
            </a:ext>
          </a:extLst>
        </xdr:cNvPr>
        <xdr:cNvSpPr txBox="1"/>
      </xdr:nvSpPr>
      <xdr:spPr>
        <a:xfrm>
          <a:off x="2643190" y="2193128"/>
          <a:ext cx="21431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oneCellAnchor>
    <xdr:from>
      <xdr:col>10</xdr:col>
      <xdr:colOff>335281</xdr:colOff>
      <xdr:row>13</xdr:row>
      <xdr:rowOff>0</xdr:rowOff>
    </xdr:from>
    <xdr:ext cx="153866" cy="196464"/>
    <xdr:sp macro="" textlink="">
      <xdr:nvSpPr>
        <xdr:cNvPr id="13" name="CuadroTexto 12">
          <a:extLst>
            <a:ext uri="{FF2B5EF4-FFF2-40B4-BE49-F238E27FC236}">
              <a16:creationId xmlns:a16="http://schemas.microsoft.com/office/drawing/2014/main" id="{7EE56AF1-9D67-421F-B207-5429EFB74E2F}"/>
            </a:ext>
          </a:extLst>
        </xdr:cNvPr>
        <xdr:cNvSpPr txBox="1"/>
      </xdr:nvSpPr>
      <xdr:spPr>
        <a:xfrm>
          <a:off x="4821556" y="2571750"/>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12</xdr:col>
      <xdr:colOff>390575</xdr:colOff>
      <xdr:row>82</xdr:row>
      <xdr:rowOff>100050</xdr:rowOff>
    </xdr:from>
    <xdr:to>
      <xdr:col>15</xdr:col>
      <xdr:colOff>301625</xdr:colOff>
      <xdr:row>82</xdr:row>
      <xdr:rowOff>1704975</xdr:rowOff>
    </xdr:to>
    <xdr:pic>
      <xdr:nvPicPr>
        <xdr:cNvPr id="14" name="Imagen 1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10350" y="16521150"/>
          <a:ext cx="2139900" cy="1604925"/>
        </a:xfrm>
        <a:prstGeom prst="rect">
          <a:avLst/>
        </a:prstGeom>
      </xdr:spPr>
    </xdr:pic>
    <xdr:clientData/>
  </xdr:twoCellAnchor>
  <xdr:twoCellAnchor editAs="oneCell">
    <xdr:from>
      <xdr:col>6</xdr:col>
      <xdr:colOff>435800</xdr:colOff>
      <xdr:row>82</xdr:row>
      <xdr:rowOff>116700</xdr:rowOff>
    </xdr:from>
    <xdr:to>
      <xdr:col>11</xdr:col>
      <xdr:colOff>13475</xdr:colOff>
      <xdr:row>82</xdr:row>
      <xdr:rowOff>1721625</xdr:rowOff>
    </xdr:to>
    <xdr:pic>
      <xdr:nvPicPr>
        <xdr:cNvPr id="15" name="Imagen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59950" y="16537800"/>
          <a:ext cx="2139900" cy="1604925"/>
        </a:xfrm>
        <a:prstGeom prst="rect">
          <a:avLst/>
        </a:prstGeom>
      </xdr:spPr>
    </xdr:pic>
    <xdr:clientData/>
  </xdr:twoCellAnchor>
  <xdr:twoCellAnchor editAs="oneCell">
    <xdr:from>
      <xdr:col>1</xdr:col>
      <xdr:colOff>328625</xdr:colOff>
      <xdr:row>82</xdr:row>
      <xdr:rowOff>104775</xdr:rowOff>
    </xdr:from>
    <xdr:to>
      <xdr:col>5</xdr:col>
      <xdr:colOff>334925</xdr:colOff>
      <xdr:row>82</xdr:row>
      <xdr:rowOff>1709700</xdr:rowOff>
    </xdr:to>
    <xdr:pic>
      <xdr:nvPicPr>
        <xdr:cNvPr id="16" name="Imagen 1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8150" y="16525875"/>
          <a:ext cx="2139900" cy="1604925"/>
        </a:xfrm>
        <a:prstGeom prst="rect">
          <a:avLst/>
        </a:prstGeom>
      </xdr:spPr>
    </xdr:pic>
    <xdr:clientData/>
  </xdr:twoCellAnchor>
  <xdr:twoCellAnchor editAs="oneCell">
    <xdr:from>
      <xdr:col>1</xdr:col>
      <xdr:colOff>104775</xdr:colOff>
      <xdr:row>1</xdr:row>
      <xdr:rowOff>15062</xdr:rowOff>
    </xdr:from>
    <xdr:to>
      <xdr:col>3</xdr:col>
      <xdr:colOff>657225</xdr:colOff>
      <xdr:row>2</xdr:row>
      <xdr:rowOff>242545</xdr:rowOff>
    </xdr:to>
    <xdr:pic>
      <xdr:nvPicPr>
        <xdr:cNvPr id="17"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114300" y="72212"/>
          <a:ext cx="1495425" cy="608483"/>
        </a:xfrm>
        <a:prstGeom prst="rect">
          <a:avLst/>
        </a:prstGeom>
        <a:noFill/>
        <a:ln w="9525">
          <a:noFill/>
          <a:miter lim="800000"/>
          <a:headEnd/>
          <a:tailEnd/>
        </a:ln>
        <a:effectLst/>
      </xdr:spPr>
    </xdr:pic>
    <xdr:clientData/>
  </xdr:twoCellAnchor>
  <xdr:twoCellAnchor editAs="oneCell">
    <xdr:from>
      <xdr:col>14</xdr:col>
      <xdr:colOff>442266</xdr:colOff>
      <xdr:row>1</xdr:row>
      <xdr:rowOff>38100</xdr:rowOff>
    </xdr:from>
    <xdr:to>
      <xdr:col>15</xdr:col>
      <xdr:colOff>331493</xdr:colOff>
      <xdr:row>2</xdr:row>
      <xdr:rowOff>219075</xdr:rowOff>
    </xdr:to>
    <xdr:pic>
      <xdr:nvPicPr>
        <xdr:cNvPr id="18"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7862241" y="95250"/>
          <a:ext cx="670277" cy="561975"/>
        </a:xfrm>
        <a:prstGeom prst="rect">
          <a:avLst/>
        </a:prstGeom>
        <a:noFill/>
        <a:ln w="9525">
          <a:noFill/>
          <a:miter lim="800000"/>
          <a:headEnd/>
          <a:tailEnd/>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47"/>
  <sheetViews>
    <sheetView topLeftCell="A7" workbookViewId="0">
      <selection activeCell="D53" sqref="D53"/>
    </sheetView>
  </sheetViews>
  <sheetFormatPr baseColWidth="10" defaultRowHeight="15" x14ac:dyDescent="0.25"/>
  <cols>
    <col min="2" max="2" width="1.28515625" customWidth="1"/>
    <col min="10" max="10" width="1.28515625" customWidth="1"/>
  </cols>
  <sheetData>
    <row r="2" spans="2:10" x14ac:dyDescent="0.25">
      <c r="B2" s="57" t="s">
        <v>38</v>
      </c>
      <c r="C2" s="57"/>
      <c r="D2" s="57"/>
      <c r="E2" s="57"/>
      <c r="F2" s="57"/>
      <c r="G2" s="57"/>
      <c r="H2" s="57"/>
      <c r="I2" s="57"/>
      <c r="J2" s="57"/>
    </row>
    <row r="3" spans="2:10" ht="6.75" customHeight="1" x14ac:dyDescent="0.25">
      <c r="B3" s="58"/>
      <c r="C3" s="59"/>
      <c r="D3" s="59"/>
      <c r="E3" s="59"/>
      <c r="F3" s="59"/>
      <c r="G3" s="59"/>
      <c r="H3" s="59"/>
      <c r="I3" s="59"/>
      <c r="J3" s="60"/>
    </row>
    <row r="4" spans="2:10" x14ac:dyDescent="0.25">
      <c r="B4" s="61"/>
      <c r="C4" s="63"/>
      <c r="D4" s="63"/>
      <c r="E4" s="63"/>
      <c r="F4" s="63"/>
      <c r="G4" s="63"/>
      <c r="H4" s="63"/>
      <c r="I4" s="63"/>
      <c r="J4" s="64"/>
    </row>
    <row r="5" spans="2:10" x14ac:dyDescent="0.25">
      <c r="B5" s="61"/>
      <c r="C5" s="63"/>
      <c r="D5" s="63"/>
      <c r="E5" s="63"/>
      <c r="F5" s="63"/>
      <c r="G5" s="63"/>
      <c r="H5" s="63"/>
      <c r="I5" s="63"/>
      <c r="J5" s="64"/>
    </row>
    <row r="6" spans="2:10" x14ac:dyDescent="0.25">
      <c r="B6" s="61"/>
      <c r="C6" s="63"/>
      <c r="D6" s="63"/>
      <c r="E6" s="63"/>
      <c r="F6" s="63"/>
      <c r="G6" s="63"/>
      <c r="H6" s="63"/>
      <c r="I6" s="63"/>
      <c r="J6" s="64"/>
    </row>
    <row r="7" spans="2:10" x14ac:dyDescent="0.25">
      <c r="B7" s="61"/>
      <c r="C7" s="63"/>
      <c r="D7" s="63"/>
      <c r="E7" s="63"/>
      <c r="F7" s="63"/>
      <c r="G7" s="63"/>
      <c r="H7" s="63"/>
      <c r="I7" s="63"/>
      <c r="J7" s="64"/>
    </row>
    <row r="8" spans="2:10" x14ac:dyDescent="0.25">
      <c r="B8" s="61"/>
      <c r="C8" s="63"/>
      <c r="D8" s="63"/>
      <c r="E8" s="63"/>
      <c r="F8" s="63"/>
      <c r="G8" s="63"/>
      <c r="H8" s="63"/>
      <c r="I8" s="63"/>
      <c r="J8" s="64"/>
    </row>
    <row r="9" spans="2:10" x14ac:dyDescent="0.25">
      <c r="B9" s="61"/>
      <c r="C9" s="63"/>
      <c r="D9" s="63"/>
      <c r="E9" s="63"/>
      <c r="F9" s="63"/>
      <c r="G9" s="63"/>
      <c r="H9" s="63"/>
      <c r="I9" s="63"/>
      <c r="J9" s="64"/>
    </row>
    <row r="10" spans="2:10" x14ac:dyDescent="0.25">
      <c r="B10" s="61"/>
      <c r="C10" s="63"/>
      <c r="D10" s="63"/>
      <c r="E10" s="63"/>
      <c r="F10" s="63"/>
      <c r="G10" s="63"/>
      <c r="H10" s="63"/>
      <c r="I10" s="63"/>
      <c r="J10" s="64"/>
    </row>
    <row r="11" spans="2:10" x14ac:dyDescent="0.25">
      <c r="B11" s="61"/>
      <c r="C11" s="63"/>
      <c r="D11" s="63"/>
      <c r="E11" s="63"/>
      <c r="F11" s="63"/>
      <c r="G11" s="63"/>
      <c r="H11" s="63"/>
      <c r="I11" s="63"/>
      <c r="J11" s="64"/>
    </row>
    <row r="12" spans="2:10" x14ac:dyDescent="0.25">
      <c r="B12" s="61"/>
      <c r="C12" s="63"/>
      <c r="D12" s="63"/>
      <c r="E12" s="63"/>
      <c r="F12" s="63"/>
      <c r="G12" s="63"/>
      <c r="H12" s="63"/>
      <c r="I12" s="63"/>
      <c r="J12" s="64"/>
    </row>
    <row r="13" spans="2:10" x14ac:dyDescent="0.25">
      <c r="B13" s="61"/>
      <c r="C13" s="63"/>
      <c r="D13" s="63"/>
      <c r="E13" s="63"/>
      <c r="F13" s="63"/>
      <c r="G13" s="63"/>
      <c r="H13" s="63"/>
      <c r="I13" s="63"/>
      <c r="J13" s="64"/>
    </row>
    <row r="14" spans="2:10" x14ac:dyDescent="0.25">
      <c r="B14" s="61"/>
      <c r="C14" s="63"/>
      <c r="D14" s="63"/>
      <c r="E14" s="63"/>
      <c r="F14" s="63"/>
      <c r="G14" s="63"/>
      <c r="H14" s="63"/>
      <c r="I14" s="63"/>
      <c r="J14" s="64"/>
    </row>
    <row r="15" spans="2:10" x14ac:dyDescent="0.25">
      <c r="B15" s="61"/>
      <c r="C15" s="63"/>
      <c r="D15" s="63"/>
      <c r="E15" s="63"/>
      <c r="F15" s="63"/>
      <c r="G15" s="63"/>
      <c r="H15" s="63"/>
      <c r="I15" s="63"/>
      <c r="J15" s="64"/>
    </row>
    <row r="16" spans="2:10" x14ac:dyDescent="0.25">
      <c r="B16" s="61"/>
      <c r="C16" s="63"/>
      <c r="D16" s="63"/>
      <c r="E16" s="63"/>
      <c r="F16" s="63"/>
      <c r="G16" s="63"/>
      <c r="H16" s="63"/>
      <c r="I16" s="63"/>
      <c r="J16" s="64"/>
    </row>
    <row r="17" spans="2:10" x14ac:dyDescent="0.25">
      <c r="B17" s="61"/>
      <c r="C17" s="63"/>
      <c r="D17" s="63"/>
      <c r="E17" s="63"/>
      <c r="F17" s="63"/>
      <c r="G17" s="63"/>
      <c r="H17" s="63"/>
      <c r="I17" s="63"/>
      <c r="J17" s="64"/>
    </row>
    <row r="18" spans="2:10" x14ac:dyDescent="0.25">
      <c r="B18" s="61"/>
      <c r="C18" s="63"/>
      <c r="D18" s="63"/>
      <c r="E18" s="63"/>
      <c r="F18" s="63"/>
      <c r="G18" s="63"/>
      <c r="H18" s="63"/>
      <c r="I18" s="63"/>
      <c r="J18" s="64"/>
    </row>
    <row r="19" spans="2:10" x14ac:dyDescent="0.25">
      <c r="B19" s="61"/>
      <c r="C19" s="63"/>
      <c r="D19" s="63"/>
      <c r="E19" s="63"/>
      <c r="F19" s="63"/>
      <c r="G19" s="63"/>
      <c r="H19" s="63"/>
      <c r="I19" s="63"/>
      <c r="J19" s="64"/>
    </row>
    <row r="20" spans="2:10" x14ac:dyDescent="0.25">
      <c r="B20" s="61"/>
      <c r="C20" s="63"/>
      <c r="D20" s="63"/>
      <c r="E20" s="63"/>
      <c r="F20" s="63"/>
      <c r="G20" s="63"/>
      <c r="H20" s="63"/>
      <c r="I20" s="63"/>
      <c r="J20" s="64"/>
    </row>
    <row r="21" spans="2:10" x14ac:dyDescent="0.25">
      <c r="B21" s="61"/>
      <c r="C21" s="63"/>
      <c r="D21" s="63"/>
      <c r="E21" s="63"/>
      <c r="F21" s="63"/>
      <c r="G21" s="63"/>
      <c r="H21" s="63"/>
      <c r="I21" s="63"/>
      <c r="J21" s="64"/>
    </row>
    <row r="22" spans="2:10" x14ac:dyDescent="0.25">
      <c r="B22" s="61"/>
      <c r="C22" s="63"/>
      <c r="D22" s="63"/>
      <c r="E22" s="63"/>
      <c r="F22" s="63"/>
      <c r="G22" s="63"/>
      <c r="H22" s="63"/>
      <c r="I22" s="63"/>
      <c r="J22" s="64"/>
    </row>
    <row r="23" spans="2:10" x14ac:dyDescent="0.25">
      <c r="B23" s="61"/>
      <c r="C23" s="63"/>
      <c r="D23" s="63"/>
      <c r="E23" s="63"/>
      <c r="F23" s="63"/>
      <c r="G23" s="63"/>
      <c r="H23" s="63"/>
      <c r="I23" s="63"/>
      <c r="J23" s="64"/>
    </row>
    <row r="24" spans="2:10" x14ac:dyDescent="0.25">
      <c r="B24" s="61"/>
      <c r="C24" s="63"/>
      <c r="D24" s="63"/>
      <c r="E24" s="63"/>
      <c r="F24" s="63"/>
      <c r="G24" s="63"/>
      <c r="H24" s="63"/>
      <c r="I24" s="63"/>
      <c r="J24" s="64"/>
    </row>
    <row r="25" spans="2:10" ht="6.75" customHeight="1" x14ac:dyDescent="0.25">
      <c r="B25" s="62"/>
      <c r="C25" s="66"/>
      <c r="D25" s="66"/>
      <c r="E25" s="66"/>
      <c r="F25" s="66"/>
      <c r="G25" s="66"/>
      <c r="H25" s="66"/>
      <c r="I25" s="66"/>
      <c r="J25" s="65"/>
    </row>
    <row r="26" spans="2:10" x14ac:dyDescent="0.25">
      <c r="B26" s="1"/>
      <c r="C26" s="1"/>
      <c r="D26" s="1"/>
      <c r="E26" s="1"/>
      <c r="F26" s="1"/>
      <c r="G26" s="1"/>
      <c r="H26" s="1"/>
      <c r="I26" s="1"/>
    </row>
    <row r="27" spans="2:10" x14ac:dyDescent="0.25">
      <c r="B27" s="57" t="s">
        <v>39</v>
      </c>
      <c r="C27" s="57"/>
      <c r="D27" s="57"/>
      <c r="E27" s="57"/>
      <c r="F27" s="57"/>
      <c r="G27" s="57"/>
      <c r="H27" s="57"/>
      <c r="I27" s="57"/>
      <c r="J27" s="57"/>
    </row>
    <row r="28" spans="2:10" ht="6.75" customHeight="1" x14ac:dyDescent="0.25">
      <c r="B28" s="58"/>
      <c r="C28" s="59"/>
      <c r="D28" s="59"/>
      <c r="E28" s="59"/>
      <c r="F28" s="59"/>
      <c r="G28" s="59"/>
      <c r="H28" s="59"/>
      <c r="I28" s="59"/>
      <c r="J28" s="60"/>
    </row>
    <row r="29" spans="2:10" x14ac:dyDescent="0.25">
      <c r="B29" s="61"/>
      <c r="C29" s="63"/>
      <c r="D29" s="63"/>
      <c r="E29" s="63"/>
      <c r="F29" s="63"/>
      <c r="G29" s="63"/>
      <c r="H29" s="63"/>
      <c r="I29" s="63"/>
      <c r="J29" s="64"/>
    </row>
    <row r="30" spans="2:10" x14ac:dyDescent="0.25">
      <c r="B30" s="61"/>
      <c r="C30" s="63"/>
      <c r="D30" s="63"/>
      <c r="E30" s="63"/>
      <c r="F30" s="63"/>
      <c r="G30" s="63"/>
      <c r="H30" s="63"/>
      <c r="I30" s="63"/>
      <c r="J30" s="64"/>
    </row>
    <row r="31" spans="2:10" x14ac:dyDescent="0.25">
      <c r="B31" s="61"/>
      <c r="C31" s="63"/>
      <c r="D31" s="63"/>
      <c r="E31" s="63"/>
      <c r="F31" s="63"/>
      <c r="G31" s="63"/>
      <c r="H31" s="63"/>
      <c r="I31" s="63"/>
      <c r="J31" s="64"/>
    </row>
    <row r="32" spans="2:10" x14ac:dyDescent="0.25">
      <c r="B32" s="61"/>
      <c r="C32" s="63"/>
      <c r="D32" s="63"/>
      <c r="E32" s="63"/>
      <c r="F32" s="63"/>
      <c r="G32" s="63"/>
      <c r="H32" s="63"/>
      <c r="I32" s="63"/>
      <c r="J32" s="64"/>
    </row>
    <row r="33" spans="2:10" x14ac:dyDescent="0.25">
      <c r="B33" s="61"/>
      <c r="C33" s="63"/>
      <c r="D33" s="63"/>
      <c r="E33" s="63"/>
      <c r="F33" s="63"/>
      <c r="G33" s="63"/>
      <c r="H33" s="63"/>
      <c r="I33" s="63"/>
      <c r="J33" s="64"/>
    </row>
    <row r="34" spans="2:10" x14ac:dyDescent="0.25">
      <c r="B34" s="61"/>
      <c r="C34" s="63"/>
      <c r="D34" s="63"/>
      <c r="E34" s="63"/>
      <c r="F34" s="63"/>
      <c r="G34" s="63"/>
      <c r="H34" s="63"/>
      <c r="I34" s="63"/>
      <c r="J34" s="64"/>
    </row>
    <row r="35" spans="2:10" x14ac:dyDescent="0.25">
      <c r="B35" s="61"/>
      <c r="C35" s="63"/>
      <c r="D35" s="63"/>
      <c r="E35" s="63"/>
      <c r="F35" s="63"/>
      <c r="G35" s="63"/>
      <c r="H35" s="63"/>
      <c r="I35" s="63"/>
      <c r="J35" s="64"/>
    </row>
    <row r="36" spans="2:10" x14ac:dyDescent="0.25">
      <c r="B36" s="61"/>
      <c r="C36" s="63"/>
      <c r="D36" s="63"/>
      <c r="E36" s="63"/>
      <c r="F36" s="63"/>
      <c r="G36" s="63"/>
      <c r="H36" s="63"/>
      <c r="I36" s="63"/>
      <c r="J36" s="64"/>
    </row>
    <row r="37" spans="2:10" x14ac:dyDescent="0.25">
      <c r="B37" s="61"/>
      <c r="C37" s="63"/>
      <c r="D37" s="63"/>
      <c r="E37" s="63"/>
      <c r="F37" s="63"/>
      <c r="G37" s="63"/>
      <c r="H37" s="63"/>
      <c r="I37" s="63"/>
      <c r="J37" s="64"/>
    </row>
    <row r="38" spans="2:10" x14ac:dyDescent="0.25">
      <c r="B38" s="61"/>
      <c r="C38" s="63"/>
      <c r="D38" s="63"/>
      <c r="E38" s="63"/>
      <c r="F38" s="63"/>
      <c r="G38" s="63"/>
      <c r="H38" s="63"/>
      <c r="I38" s="63"/>
      <c r="J38" s="64"/>
    </row>
    <row r="39" spans="2:10" x14ac:dyDescent="0.25">
      <c r="B39" s="61"/>
      <c r="C39" s="63"/>
      <c r="D39" s="63"/>
      <c r="E39" s="63"/>
      <c r="F39" s="63"/>
      <c r="G39" s="63"/>
      <c r="H39" s="63"/>
      <c r="I39" s="63"/>
      <c r="J39" s="64"/>
    </row>
    <row r="40" spans="2:10" x14ac:dyDescent="0.25">
      <c r="B40" s="61"/>
      <c r="C40" s="63"/>
      <c r="D40" s="63"/>
      <c r="E40" s="63"/>
      <c r="F40" s="63"/>
      <c r="G40" s="63"/>
      <c r="H40" s="63"/>
      <c r="I40" s="63"/>
      <c r="J40" s="64"/>
    </row>
    <row r="41" spans="2:10" x14ac:dyDescent="0.25">
      <c r="B41" s="61"/>
      <c r="C41" s="63"/>
      <c r="D41" s="63"/>
      <c r="E41" s="63"/>
      <c r="F41" s="63"/>
      <c r="G41" s="63"/>
      <c r="H41" s="63"/>
      <c r="I41" s="63"/>
      <c r="J41" s="64"/>
    </row>
    <row r="42" spans="2:10" x14ac:dyDescent="0.25">
      <c r="B42" s="61"/>
      <c r="C42" s="63"/>
      <c r="D42" s="63"/>
      <c r="E42" s="63"/>
      <c r="F42" s="63"/>
      <c r="G42" s="63"/>
      <c r="H42" s="63"/>
      <c r="I42" s="63"/>
      <c r="J42" s="64"/>
    </row>
    <row r="43" spans="2:10" x14ac:dyDescent="0.25">
      <c r="B43" s="61"/>
      <c r="C43" s="63"/>
      <c r="D43" s="63"/>
      <c r="E43" s="63"/>
      <c r="F43" s="63"/>
      <c r="G43" s="63"/>
      <c r="H43" s="63"/>
      <c r="I43" s="63"/>
      <c r="J43" s="64"/>
    </row>
    <row r="44" spans="2:10" x14ac:dyDescent="0.25">
      <c r="B44" s="61"/>
      <c r="C44" s="63"/>
      <c r="D44" s="63"/>
      <c r="E44" s="63"/>
      <c r="F44" s="63"/>
      <c r="G44" s="63"/>
      <c r="H44" s="63"/>
      <c r="I44" s="63"/>
      <c r="J44" s="64"/>
    </row>
    <row r="45" spans="2:10" x14ac:dyDescent="0.25">
      <c r="B45" s="61"/>
      <c r="C45" s="63"/>
      <c r="D45" s="63"/>
      <c r="E45" s="63"/>
      <c r="F45" s="63"/>
      <c r="G45" s="63"/>
      <c r="H45" s="63"/>
      <c r="I45" s="63"/>
      <c r="J45" s="64"/>
    </row>
    <row r="46" spans="2:10" x14ac:dyDescent="0.25">
      <c r="B46" s="61"/>
      <c r="C46" s="63"/>
      <c r="D46" s="63"/>
      <c r="E46" s="63"/>
      <c r="F46" s="63"/>
      <c r="G46" s="63"/>
      <c r="H46" s="63"/>
      <c r="I46" s="63"/>
      <c r="J46" s="64"/>
    </row>
    <row r="47" spans="2:10" ht="6.75" customHeight="1" x14ac:dyDescent="0.25">
      <c r="B47" s="62"/>
      <c r="C47" s="66"/>
      <c r="D47" s="66"/>
      <c r="E47" s="66"/>
      <c r="F47" s="66"/>
      <c r="G47" s="66"/>
      <c r="H47" s="66"/>
      <c r="I47" s="66"/>
      <c r="J47" s="65"/>
    </row>
  </sheetData>
  <mergeCells count="12">
    <mergeCell ref="B2:J2"/>
    <mergeCell ref="C4:I24"/>
    <mergeCell ref="B3:J3"/>
    <mergeCell ref="B4:B25"/>
    <mergeCell ref="J4:J25"/>
    <mergeCell ref="C25:I25"/>
    <mergeCell ref="B27:J27"/>
    <mergeCell ref="B28:J28"/>
    <mergeCell ref="B29:B47"/>
    <mergeCell ref="C29:I46"/>
    <mergeCell ref="J29:J47"/>
    <mergeCell ref="C47:I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2"/>
  <sheetViews>
    <sheetView view="pageBreakPreview" topLeftCell="B1" zoomScale="80" zoomScaleSheetLayoutView="80" zoomScalePageLayoutView="110" workbookViewId="0">
      <selection activeCell="J5" sqref="J5:P5"/>
    </sheetView>
  </sheetViews>
  <sheetFormatPr baseColWidth="10" defaultColWidth="11.42578125" defaultRowHeight="15" x14ac:dyDescent="0.25"/>
  <cols>
    <col min="1" max="1" width="0.140625" customWidth="1"/>
    <col min="2" max="2" width="6.7109375" customWidth="1"/>
    <col min="3" max="3" width="7.42578125" customWidth="1"/>
    <col min="4" max="4" width="11" bestFit="1" customWidth="1"/>
    <col min="5" max="5" width="6.8554687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3" customWidth="1"/>
    <col min="15" max="16" width="11.7109375" customWidth="1"/>
  </cols>
  <sheetData>
    <row r="1" spans="1:21" ht="4.9000000000000004" customHeight="1" thickBot="1" x14ac:dyDescent="0.3"/>
    <row r="2" spans="1:21" s="2" customFormat="1" ht="30" customHeight="1" x14ac:dyDescent="0.25">
      <c r="A2" s="16"/>
      <c r="B2" s="77"/>
      <c r="C2" s="78"/>
      <c r="D2" s="79"/>
      <c r="E2" s="83" t="s">
        <v>54</v>
      </c>
      <c r="F2" s="84"/>
      <c r="G2" s="84"/>
      <c r="H2" s="84"/>
      <c r="I2" s="84"/>
      <c r="J2" s="84"/>
      <c r="K2" s="84"/>
      <c r="L2" s="84"/>
      <c r="M2" s="84"/>
      <c r="N2" s="84"/>
      <c r="O2" s="67"/>
      <c r="P2" s="68"/>
    </row>
    <row r="3" spans="1:21" s="2" customFormat="1" ht="20.45" customHeight="1" thickBot="1" x14ac:dyDescent="0.3">
      <c r="A3" s="16"/>
      <c r="B3" s="80"/>
      <c r="C3" s="81"/>
      <c r="D3" s="82"/>
      <c r="E3" s="85"/>
      <c r="F3" s="86"/>
      <c r="G3" s="86"/>
      <c r="H3" s="86"/>
      <c r="I3" s="86"/>
      <c r="J3" s="86"/>
      <c r="K3" s="86"/>
      <c r="L3" s="86"/>
      <c r="M3" s="86"/>
      <c r="N3" s="86"/>
      <c r="O3" s="69"/>
      <c r="P3" s="70"/>
    </row>
    <row r="4" spans="1:21" s="2" customFormat="1" ht="4.9000000000000004" customHeight="1" thickBot="1" x14ac:dyDescent="0.3">
      <c r="A4" s="16"/>
      <c r="B4" s="71"/>
      <c r="C4" s="71"/>
      <c r="D4" s="71"/>
      <c r="E4" s="71"/>
      <c r="F4" s="71"/>
      <c r="G4" s="71"/>
      <c r="H4" s="71"/>
      <c r="I4" s="71"/>
      <c r="J4" s="71"/>
      <c r="K4" s="71"/>
      <c r="L4" s="71"/>
      <c r="M4" s="71"/>
      <c r="N4" s="71"/>
      <c r="O4" s="71"/>
      <c r="P4" s="71"/>
    </row>
    <row r="5" spans="1:21" s="18" customFormat="1" ht="26.25" customHeight="1" thickBot="1" x14ac:dyDescent="0.25">
      <c r="A5" s="17"/>
      <c r="B5" s="56" t="s">
        <v>0</v>
      </c>
      <c r="C5" s="72">
        <v>42859</v>
      </c>
      <c r="D5" s="73"/>
      <c r="E5" s="87" t="s">
        <v>55</v>
      </c>
      <c r="F5" s="75"/>
      <c r="G5" s="293">
        <v>1</v>
      </c>
      <c r="H5" s="74" t="s">
        <v>2</v>
      </c>
      <c r="I5" s="75"/>
      <c r="J5" s="290" t="s">
        <v>100</v>
      </c>
      <c r="K5" s="291"/>
      <c r="L5" s="291"/>
      <c r="M5" s="291"/>
      <c r="N5" s="291"/>
      <c r="O5" s="291"/>
      <c r="P5" s="292"/>
    </row>
    <row r="6" spans="1:21" s="20" customFormat="1" ht="11.25" customHeight="1" thickBot="1" x14ac:dyDescent="0.3">
      <c r="A6" s="19"/>
      <c r="B6" s="87" t="s">
        <v>3</v>
      </c>
      <c r="C6" s="75"/>
      <c r="D6" s="88" t="s">
        <v>56</v>
      </c>
      <c r="E6" s="88"/>
      <c r="F6" s="88"/>
      <c r="G6" s="88"/>
      <c r="H6" s="88"/>
      <c r="I6" s="88"/>
      <c r="J6" s="89"/>
      <c r="K6" s="90" t="s">
        <v>4</v>
      </c>
      <c r="L6" s="74"/>
      <c r="M6" s="73" t="s">
        <v>57</v>
      </c>
      <c r="N6" s="91"/>
      <c r="O6" s="73" t="s">
        <v>58</v>
      </c>
      <c r="P6" s="76"/>
    </row>
    <row r="7" spans="1:21" s="20" customFormat="1" ht="14.1" customHeight="1" x14ac:dyDescent="0.25">
      <c r="A7" s="19"/>
      <c r="B7" s="92" t="s">
        <v>59</v>
      </c>
      <c r="C7" s="93"/>
      <c r="D7" s="93"/>
      <c r="E7" s="94"/>
      <c r="F7" s="95" t="s">
        <v>11</v>
      </c>
      <c r="G7" s="96"/>
      <c r="H7" s="97"/>
      <c r="I7" s="21">
        <v>0.51180555555555551</v>
      </c>
      <c r="J7" s="98" t="s">
        <v>60</v>
      </c>
      <c r="K7" s="99"/>
      <c r="L7" s="22">
        <v>1.0900000000000001</v>
      </c>
      <c r="M7" s="92" t="s">
        <v>13</v>
      </c>
      <c r="N7" s="93"/>
      <c r="O7" s="93"/>
      <c r="P7" s="23">
        <v>3.4</v>
      </c>
    </row>
    <row r="8" spans="1:21" s="20" customFormat="1" ht="14.1" customHeight="1" thickBot="1" x14ac:dyDescent="0.3">
      <c r="A8" s="19"/>
      <c r="B8" s="100" t="s">
        <v>6</v>
      </c>
      <c r="C8" s="101"/>
      <c r="D8" s="101"/>
      <c r="E8" s="102"/>
      <c r="F8" s="24" t="s">
        <v>14</v>
      </c>
      <c r="G8" s="25"/>
      <c r="H8" s="26"/>
      <c r="I8" s="27">
        <v>0.58333333333333337</v>
      </c>
      <c r="J8" s="103" t="s">
        <v>61</v>
      </c>
      <c r="K8" s="104"/>
      <c r="L8" s="22">
        <v>1.06</v>
      </c>
      <c r="M8" s="105" t="s">
        <v>16</v>
      </c>
      <c r="N8" s="106"/>
      <c r="O8" s="106"/>
      <c r="P8" s="28">
        <v>0.5</v>
      </c>
    </row>
    <row r="9" spans="1:21" s="20" customFormat="1" ht="14.1" customHeight="1" x14ac:dyDescent="0.25">
      <c r="A9" s="29"/>
      <c r="B9" s="107" t="s">
        <v>7</v>
      </c>
      <c r="C9" s="108"/>
      <c r="D9" s="111" t="s">
        <v>8</v>
      </c>
      <c r="E9" s="93" t="s">
        <v>9</v>
      </c>
      <c r="F9" s="93"/>
      <c r="G9" s="93"/>
      <c r="H9" s="30"/>
      <c r="I9" s="113" t="s">
        <v>62</v>
      </c>
      <c r="J9" s="114"/>
      <c r="K9" s="117">
        <v>0.76</v>
      </c>
      <c r="L9" s="119" t="s">
        <v>12</v>
      </c>
      <c r="M9" s="120"/>
      <c r="N9" s="120"/>
      <c r="O9" s="121">
        <v>11</v>
      </c>
      <c r="P9" s="122"/>
    </row>
    <row r="10" spans="1:21" s="20" customFormat="1" ht="14.1" customHeight="1" thickBot="1" x14ac:dyDescent="0.3">
      <c r="A10" s="29"/>
      <c r="B10" s="109"/>
      <c r="C10" s="110"/>
      <c r="D10" s="112"/>
      <c r="E10" s="106" t="s">
        <v>10</v>
      </c>
      <c r="F10" s="106"/>
      <c r="G10" s="106"/>
      <c r="H10" s="31" t="s">
        <v>5</v>
      </c>
      <c r="I10" s="115"/>
      <c r="J10" s="116"/>
      <c r="K10" s="118"/>
      <c r="L10" s="123" t="s">
        <v>15</v>
      </c>
      <c r="M10" s="124"/>
      <c r="N10" s="124"/>
      <c r="O10" s="125">
        <v>0.51180555555555551</v>
      </c>
      <c r="P10" s="126"/>
    </row>
    <row r="11" spans="1:21" s="33" customFormat="1" ht="25.15" customHeight="1" x14ac:dyDescent="0.2">
      <c r="A11" s="11"/>
      <c r="B11" s="127" t="s">
        <v>17</v>
      </c>
      <c r="C11" s="130" t="s">
        <v>63</v>
      </c>
      <c r="D11" s="130"/>
      <c r="E11" s="130"/>
      <c r="F11" s="32"/>
      <c r="G11" s="131" t="s">
        <v>64</v>
      </c>
      <c r="H11" s="131"/>
      <c r="I11" s="131"/>
      <c r="J11" s="131"/>
      <c r="K11" s="131"/>
      <c r="L11" s="132"/>
      <c r="M11" s="131" t="s">
        <v>65</v>
      </c>
      <c r="N11" s="131"/>
      <c r="O11" s="131"/>
      <c r="P11" s="135"/>
      <c r="Q11" s="288"/>
      <c r="R11" s="289"/>
      <c r="S11" s="289"/>
      <c r="T11" s="289"/>
      <c r="U11" s="289"/>
    </row>
    <row r="12" spans="1:21" s="33" customFormat="1" ht="17.45" customHeight="1" x14ac:dyDescent="0.2">
      <c r="A12" s="11"/>
      <c r="B12" s="128"/>
      <c r="C12" s="136" t="s">
        <v>66</v>
      </c>
      <c r="D12" s="136"/>
      <c r="E12" s="136"/>
      <c r="F12" s="34"/>
      <c r="G12" s="137" t="s">
        <v>67</v>
      </c>
      <c r="H12" s="137"/>
      <c r="I12" s="137"/>
      <c r="J12" s="137"/>
      <c r="K12" s="137"/>
      <c r="L12" s="133"/>
      <c r="M12" s="137" t="s">
        <v>68</v>
      </c>
      <c r="N12" s="137"/>
      <c r="O12" s="137"/>
      <c r="P12" s="139"/>
      <c r="Q12" s="288"/>
      <c r="R12" s="289"/>
      <c r="S12" s="289"/>
      <c r="T12" s="289"/>
      <c r="U12" s="289"/>
    </row>
    <row r="13" spans="1:21" s="33" customFormat="1" ht="25.15" customHeight="1" thickBot="1" x14ac:dyDescent="0.25">
      <c r="A13" s="11"/>
      <c r="B13" s="129"/>
      <c r="C13" s="140"/>
      <c r="D13" s="141"/>
      <c r="E13" s="141"/>
      <c r="F13" s="141"/>
      <c r="G13" s="138" t="s">
        <v>69</v>
      </c>
      <c r="H13" s="138"/>
      <c r="I13" s="138"/>
      <c r="J13" s="138"/>
      <c r="K13" s="138"/>
      <c r="L13" s="134"/>
      <c r="M13" s="138" t="s">
        <v>70</v>
      </c>
      <c r="N13" s="138"/>
      <c r="O13" s="138"/>
      <c r="P13" s="142"/>
      <c r="Q13" s="288"/>
      <c r="R13" s="289"/>
      <c r="S13" s="289"/>
      <c r="T13" s="289"/>
      <c r="U13" s="289"/>
    </row>
    <row r="14" spans="1:21" ht="16.5" customHeight="1" x14ac:dyDescent="0.25">
      <c r="A14" s="5"/>
      <c r="B14" s="143" t="s">
        <v>18</v>
      </c>
      <c r="C14" s="145" t="s">
        <v>19</v>
      </c>
      <c r="D14" s="145" t="s">
        <v>40</v>
      </c>
      <c r="E14" s="147" t="s">
        <v>20</v>
      </c>
      <c r="F14" s="149" t="s">
        <v>41</v>
      </c>
      <c r="G14" s="150"/>
      <c r="H14" s="151"/>
      <c r="I14" s="155" t="s">
        <v>42</v>
      </c>
      <c r="J14" s="156"/>
      <c r="K14" s="35"/>
      <c r="L14" s="36" t="s">
        <v>43</v>
      </c>
      <c r="M14" s="36" t="s">
        <v>44</v>
      </c>
      <c r="N14" s="36" t="s">
        <v>44</v>
      </c>
      <c r="O14" s="36" t="s">
        <v>45</v>
      </c>
      <c r="P14" s="37" t="s">
        <v>21</v>
      </c>
    </row>
    <row r="15" spans="1:21" ht="14.1" customHeight="1" thickBot="1" x14ac:dyDescent="0.3">
      <c r="A15" s="5"/>
      <c r="B15" s="144"/>
      <c r="C15" s="146"/>
      <c r="D15" s="146"/>
      <c r="E15" s="148"/>
      <c r="F15" s="152"/>
      <c r="G15" s="153"/>
      <c r="H15" s="154"/>
      <c r="I15" s="157" t="s">
        <v>22</v>
      </c>
      <c r="J15" s="158"/>
      <c r="K15" s="38" t="s">
        <v>23</v>
      </c>
      <c r="L15" s="38" t="s">
        <v>46</v>
      </c>
      <c r="M15" s="38" t="s">
        <v>47</v>
      </c>
      <c r="N15" s="38" t="s">
        <v>24</v>
      </c>
      <c r="O15" s="38" t="s">
        <v>25</v>
      </c>
      <c r="P15" s="39" t="s">
        <v>26</v>
      </c>
    </row>
    <row r="16" spans="1:21" s="3" customFormat="1" ht="14.1" customHeight="1" x14ac:dyDescent="0.2">
      <c r="A16" s="11"/>
      <c r="B16" s="174">
        <v>1</v>
      </c>
      <c r="C16" s="177">
        <f>K9</f>
        <v>0.76</v>
      </c>
      <c r="D16" s="159">
        <v>0</v>
      </c>
      <c r="E16" s="159">
        <v>0.2</v>
      </c>
      <c r="F16" s="40" t="s">
        <v>71</v>
      </c>
      <c r="G16" s="168" t="str">
        <f>IF(E16&lt;=0.2,"NA",IF(E16&gt;0.2,0.2*E16))</f>
        <v>NA</v>
      </c>
      <c r="H16" s="168"/>
      <c r="I16" s="168"/>
      <c r="J16" s="168"/>
      <c r="K16" s="159">
        <f>ROUND(+IF(E16&lt;=0.2,(I17),(IF(E16&gt;0.2,((I16+2*I17+I18)/4)))),3)</f>
        <v>0.18099999999999999</v>
      </c>
      <c r="L16" s="159">
        <f>ROUND(+(D16+D18)/2*(C18-C16),3)</f>
        <v>6.5000000000000002E-2</v>
      </c>
      <c r="M16" s="162">
        <f>ROUND(+K16*L16,4)</f>
        <v>1.18E-2</v>
      </c>
      <c r="N16" s="165">
        <f>ROUND(+M16/$M$47*100,1)</f>
        <v>6.8</v>
      </c>
      <c r="O16" s="168"/>
      <c r="P16" s="171"/>
    </row>
    <row r="17" spans="1:16" s="3" customFormat="1" ht="14.1" customHeight="1" x14ac:dyDescent="0.2">
      <c r="A17" s="11"/>
      <c r="B17" s="175"/>
      <c r="C17" s="178"/>
      <c r="D17" s="160"/>
      <c r="E17" s="160"/>
      <c r="F17" s="41" t="s">
        <v>72</v>
      </c>
      <c r="G17" s="178">
        <f>IF(E16&lt;=0.2,0.6*E16,IF(E16&gt;0.2,0.6*E16))</f>
        <v>0.12</v>
      </c>
      <c r="H17" s="178"/>
      <c r="I17" s="169">
        <v>0.18099999999999999</v>
      </c>
      <c r="J17" s="169"/>
      <c r="K17" s="160"/>
      <c r="L17" s="160"/>
      <c r="M17" s="163"/>
      <c r="N17" s="166"/>
      <c r="O17" s="169"/>
      <c r="P17" s="172"/>
    </row>
    <row r="18" spans="1:16" s="3" customFormat="1" ht="13.9" customHeight="1" thickBot="1" x14ac:dyDescent="0.25">
      <c r="A18" s="11"/>
      <c r="B18" s="176"/>
      <c r="C18" s="42">
        <f>+C16+$P$8</f>
        <v>1.26</v>
      </c>
      <c r="D18" s="43">
        <v>0.26</v>
      </c>
      <c r="E18" s="161"/>
      <c r="F18" s="44" t="s">
        <v>73</v>
      </c>
      <c r="G18" s="179" t="str">
        <f>IF(E16&lt;=0.2,"NA",IF(E16&gt;0.2,0.8*E16))</f>
        <v>NA</v>
      </c>
      <c r="H18" s="179"/>
      <c r="I18" s="170"/>
      <c r="J18" s="170"/>
      <c r="K18" s="161"/>
      <c r="L18" s="161"/>
      <c r="M18" s="164"/>
      <c r="N18" s="167"/>
      <c r="O18" s="170"/>
      <c r="P18" s="173"/>
    </row>
    <row r="19" spans="1:16" s="3" customFormat="1" ht="14.1" customHeight="1" x14ac:dyDescent="0.2">
      <c r="A19" s="11"/>
      <c r="B19" s="174">
        <v>2</v>
      </c>
      <c r="C19" s="177">
        <f>+C18</f>
        <v>1.26</v>
      </c>
      <c r="D19" s="159">
        <v>0.26</v>
      </c>
      <c r="E19" s="159">
        <v>0.26</v>
      </c>
      <c r="F19" s="40" t="s">
        <v>71</v>
      </c>
      <c r="G19" s="168">
        <f>IF(E19&lt;=0.2,"NA",IF(E19&gt;0.2,0.2*E19))</f>
        <v>5.2000000000000005E-2</v>
      </c>
      <c r="H19" s="168"/>
      <c r="I19" s="168">
        <v>0.34499999999999997</v>
      </c>
      <c r="J19" s="168"/>
      <c r="K19" s="159">
        <f>ROUND(+IF(E19&lt;=0.2,(I20),(IF(E19&gt;0.2,((I19+2*I20+I21)/4)))),3)</f>
        <v>0.21299999999999999</v>
      </c>
      <c r="L19" s="159">
        <f>ROUND(+(D19+D21)/2*(C21-C19),3)</f>
        <v>0.14299999999999999</v>
      </c>
      <c r="M19" s="162">
        <f>ROUND(+K19*L19,4)</f>
        <v>3.0499999999999999E-2</v>
      </c>
      <c r="N19" s="165">
        <f>ROUND(+M19/$M$47*100,1)</f>
        <v>17.7</v>
      </c>
      <c r="O19" s="168"/>
      <c r="P19" s="171"/>
    </row>
    <row r="20" spans="1:16" s="3" customFormat="1" ht="14.1" customHeight="1" x14ac:dyDescent="0.2">
      <c r="A20" s="11"/>
      <c r="B20" s="175"/>
      <c r="C20" s="178"/>
      <c r="D20" s="160"/>
      <c r="E20" s="160"/>
      <c r="F20" s="41" t="s">
        <v>72</v>
      </c>
      <c r="G20" s="178">
        <f>IF(E19&lt;=0.2,0.6*E19,IF(E19&gt;0.2,0.6*E19))</f>
        <v>0.156</v>
      </c>
      <c r="H20" s="178"/>
      <c r="I20" s="169">
        <v>0.216</v>
      </c>
      <c r="J20" s="169"/>
      <c r="K20" s="160"/>
      <c r="L20" s="160"/>
      <c r="M20" s="163"/>
      <c r="N20" s="166"/>
      <c r="O20" s="169"/>
      <c r="P20" s="172"/>
    </row>
    <row r="21" spans="1:16" s="3" customFormat="1" ht="13.9" customHeight="1" thickBot="1" x14ac:dyDescent="0.25">
      <c r="A21" s="11"/>
      <c r="B21" s="176"/>
      <c r="C21" s="42">
        <f>+C19+$P$8</f>
        <v>1.76</v>
      </c>
      <c r="D21" s="43">
        <v>0.31</v>
      </c>
      <c r="E21" s="161"/>
      <c r="F21" s="44" t="s">
        <v>73</v>
      </c>
      <c r="G21" s="179">
        <f>IF(E19&lt;=0.2,"NA",IF(E19&gt;0.2,0.8*E19))</f>
        <v>0.20800000000000002</v>
      </c>
      <c r="H21" s="179"/>
      <c r="I21" s="170">
        <v>7.4999999999999997E-2</v>
      </c>
      <c r="J21" s="170"/>
      <c r="K21" s="161"/>
      <c r="L21" s="161"/>
      <c r="M21" s="164"/>
      <c r="N21" s="167"/>
      <c r="O21" s="170"/>
      <c r="P21" s="173"/>
    </row>
    <row r="22" spans="1:16" s="3" customFormat="1" ht="14.1" customHeight="1" x14ac:dyDescent="0.2">
      <c r="A22" s="11"/>
      <c r="B22" s="174">
        <v>3</v>
      </c>
      <c r="C22" s="177">
        <f>+C21</f>
        <v>1.76</v>
      </c>
      <c r="D22" s="159">
        <v>0.31</v>
      </c>
      <c r="E22" s="159">
        <v>0.37</v>
      </c>
      <c r="F22" s="40" t="s">
        <v>71</v>
      </c>
      <c r="G22" s="168">
        <f>IF(E22&lt;=0.2,"NA",IF(E22&gt;0.2,0.2*E22))</f>
        <v>7.3999999999999996E-2</v>
      </c>
      <c r="H22" s="168"/>
      <c r="I22" s="168"/>
      <c r="J22" s="168"/>
      <c r="K22" s="159"/>
      <c r="L22" s="159"/>
      <c r="M22" s="162"/>
      <c r="N22" s="165"/>
      <c r="O22" s="168"/>
      <c r="P22" s="171"/>
    </row>
    <row r="23" spans="1:16" s="3" customFormat="1" ht="14.1" customHeight="1" x14ac:dyDescent="0.2">
      <c r="A23" s="11"/>
      <c r="B23" s="175"/>
      <c r="C23" s="178"/>
      <c r="D23" s="160"/>
      <c r="E23" s="160"/>
      <c r="F23" s="41" t="s">
        <v>72</v>
      </c>
      <c r="G23" s="178">
        <f>IF(E22&lt;=0.2,0.6*E22,IF(E22&gt;0.2,0.6*E22))</f>
        <v>0.222</v>
      </c>
      <c r="H23" s="178"/>
      <c r="I23" s="169"/>
      <c r="J23" s="169"/>
      <c r="K23" s="160"/>
      <c r="L23" s="160"/>
      <c r="M23" s="163"/>
      <c r="N23" s="166"/>
      <c r="O23" s="169"/>
      <c r="P23" s="172"/>
    </row>
    <row r="24" spans="1:16" s="3" customFormat="1" ht="13.9" customHeight="1" thickBot="1" x14ac:dyDescent="0.25">
      <c r="A24" s="11"/>
      <c r="B24" s="176"/>
      <c r="C24" s="42">
        <f>+C22+$P$8</f>
        <v>2.2599999999999998</v>
      </c>
      <c r="D24" s="43">
        <v>0.37</v>
      </c>
      <c r="E24" s="161"/>
      <c r="F24" s="44" t="s">
        <v>73</v>
      </c>
      <c r="G24" s="179">
        <f>IF(E22&lt;=0.2,"NA",IF(E22&gt;0.2,0.8*E22))</f>
        <v>0.29599999999999999</v>
      </c>
      <c r="H24" s="179"/>
      <c r="I24" s="170"/>
      <c r="J24" s="170"/>
      <c r="K24" s="161"/>
      <c r="L24" s="161"/>
      <c r="M24" s="164"/>
      <c r="N24" s="167"/>
      <c r="O24" s="170"/>
      <c r="P24" s="173"/>
    </row>
    <row r="25" spans="1:16" s="3" customFormat="1" ht="14.1" customHeight="1" x14ac:dyDescent="0.2">
      <c r="A25" s="11"/>
      <c r="B25" s="174">
        <v>4</v>
      </c>
      <c r="C25" s="177">
        <f>+C24</f>
        <v>2.2599999999999998</v>
      </c>
      <c r="D25" s="159">
        <v>0.37</v>
      </c>
      <c r="E25" s="159">
        <v>0.35</v>
      </c>
      <c r="F25" s="40" t="s">
        <v>71</v>
      </c>
      <c r="G25" s="168">
        <f>IF(E25&lt;=0.2,"NA",IF(E25&gt;0.2,0.2*E25))</f>
        <v>6.9999999999999993E-2</v>
      </c>
      <c r="H25" s="168"/>
      <c r="I25" s="168">
        <v>0.35499999999999998</v>
      </c>
      <c r="J25" s="168"/>
      <c r="K25" s="159">
        <f>ROUND(+IF(E25&lt;=0.2,(I26),(IF(E25&gt;0.2,((I25+2*I26+I27)/4)))),3)</f>
        <v>0.20100000000000001</v>
      </c>
      <c r="L25" s="159">
        <f>ROUND(+(D25+D27)/2*(C27-C25),3)</f>
        <v>0.15</v>
      </c>
      <c r="M25" s="162">
        <f>ROUND(+K25*L25,4)</f>
        <v>3.0200000000000001E-2</v>
      </c>
      <c r="N25" s="165">
        <f>ROUND(+M25/$M$47*100,1)</f>
        <v>17.5</v>
      </c>
      <c r="O25" s="168"/>
      <c r="P25" s="171"/>
    </row>
    <row r="26" spans="1:16" s="3" customFormat="1" ht="14.1" customHeight="1" x14ac:dyDescent="0.2">
      <c r="A26" s="11"/>
      <c r="B26" s="175"/>
      <c r="C26" s="178"/>
      <c r="D26" s="160"/>
      <c r="E26" s="160"/>
      <c r="F26" s="41" t="s">
        <v>72</v>
      </c>
      <c r="G26" s="178">
        <f>IF(E25&lt;=0.2,0.6*E25,IF(E25&gt;0.2,0.6*E25))</f>
        <v>0.21</v>
      </c>
      <c r="H26" s="178"/>
      <c r="I26" s="169">
        <v>0.19500000000000001</v>
      </c>
      <c r="J26" s="169"/>
      <c r="K26" s="160"/>
      <c r="L26" s="160"/>
      <c r="M26" s="163"/>
      <c r="N26" s="166"/>
      <c r="O26" s="169"/>
      <c r="P26" s="172"/>
    </row>
    <row r="27" spans="1:16" s="3" customFormat="1" ht="13.9" customHeight="1" thickBot="1" x14ac:dyDescent="0.25">
      <c r="A27" s="11"/>
      <c r="B27" s="176"/>
      <c r="C27" s="42">
        <f>+C25+$P$8</f>
        <v>2.76</v>
      </c>
      <c r="D27" s="43">
        <v>0.23</v>
      </c>
      <c r="E27" s="161"/>
      <c r="F27" s="44" t="s">
        <v>73</v>
      </c>
      <c r="G27" s="179">
        <f>IF(E25&lt;=0.2,"NA",IF(E25&gt;0.2,0.8*E25))</f>
        <v>0.27999999999999997</v>
      </c>
      <c r="H27" s="179"/>
      <c r="I27" s="170">
        <v>0.06</v>
      </c>
      <c r="J27" s="170"/>
      <c r="K27" s="161"/>
      <c r="L27" s="161"/>
      <c r="M27" s="164"/>
      <c r="N27" s="167"/>
      <c r="O27" s="170"/>
      <c r="P27" s="173"/>
    </row>
    <row r="28" spans="1:16" s="3" customFormat="1" ht="14.1" customHeight="1" x14ac:dyDescent="0.2">
      <c r="A28" s="11"/>
      <c r="B28" s="174">
        <v>5</v>
      </c>
      <c r="C28" s="177">
        <f>+C27</f>
        <v>2.76</v>
      </c>
      <c r="D28" s="159">
        <v>0.23</v>
      </c>
      <c r="E28" s="159">
        <v>0.25</v>
      </c>
      <c r="F28" s="40" t="s">
        <v>71</v>
      </c>
      <c r="G28" s="168">
        <f>IF(E28&lt;=0.2,"NA",IF(E28&gt;0.2,0.2*E28))</f>
        <v>0.05</v>
      </c>
      <c r="H28" s="168"/>
      <c r="I28" s="168">
        <v>0.374</v>
      </c>
      <c r="J28" s="168"/>
      <c r="K28" s="159">
        <f>ROUND(+IF(E28&lt;=0.2,(I29),(IF(E28&gt;0.2,((I28+2*I29+I30)/4)))),3)</f>
        <v>0.21299999999999999</v>
      </c>
      <c r="L28" s="159">
        <f>ROUND(+(D28+D30)/2*(C30-C28),3)</f>
        <v>0.128</v>
      </c>
      <c r="M28" s="162">
        <f>ROUND(+K28*L28,4)</f>
        <v>2.7300000000000001E-2</v>
      </c>
      <c r="N28" s="165">
        <f>ROUND(+M28/$M$47*100,1)</f>
        <v>15.8</v>
      </c>
      <c r="O28" s="168"/>
      <c r="P28" s="171"/>
    </row>
    <row r="29" spans="1:16" s="3" customFormat="1" ht="14.1" customHeight="1" x14ac:dyDescent="0.2">
      <c r="A29" s="11"/>
      <c r="B29" s="175"/>
      <c r="C29" s="178"/>
      <c r="D29" s="160"/>
      <c r="E29" s="160"/>
      <c r="F29" s="41" t="s">
        <v>72</v>
      </c>
      <c r="G29" s="178">
        <f>IF(E28&lt;=0.2,0.6*E28,IF(E28&gt;0.2,0.6*E28))</f>
        <v>0.15</v>
      </c>
      <c r="H29" s="178"/>
      <c r="I29" s="169">
        <v>0.22600000000000001</v>
      </c>
      <c r="J29" s="169"/>
      <c r="K29" s="160"/>
      <c r="L29" s="160"/>
      <c r="M29" s="163"/>
      <c r="N29" s="166"/>
      <c r="O29" s="169"/>
      <c r="P29" s="172"/>
    </row>
    <row r="30" spans="1:16" s="3" customFormat="1" ht="13.9" customHeight="1" thickBot="1" x14ac:dyDescent="0.25">
      <c r="A30" s="11"/>
      <c r="B30" s="176"/>
      <c r="C30" s="42">
        <f>+C28+$P$8</f>
        <v>3.26</v>
      </c>
      <c r="D30" s="43">
        <v>0.28000000000000003</v>
      </c>
      <c r="E30" s="161"/>
      <c r="F30" s="44" t="s">
        <v>73</v>
      </c>
      <c r="G30" s="179">
        <f>IF(E28&lt;=0.2,"NA",IF(E28&gt;0.2,0.8*E28))</f>
        <v>0.2</v>
      </c>
      <c r="H30" s="179"/>
      <c r="I30" s="170">
        <v>2.5000000000000001E-2</v>
      </c>
      <c r="J30" s="170"/>
      <c r="K30" s="161"/>
      <c r="L30" s="161"/>
      <c r="M30" s="164"/>
      <c r="N30" s="167"/>
      <c r="O30" s="170"/>
      <c r="P30" s="173"/>
    </row>
    <row r="31" spans="1:16" s="3" customFormat="1" ht="14.1" customHeight="1" x14ac:dyDescent="0.2">
      <c r="A31" s="11"/>
      <c r="B31" s="174">
        <v>6</v>
      </c>
      <c r="C31" s="177">
        <f>+C30</f>
        <v>3.26</v>
      </c>
      <c r="D31" s="180">
        <v>0.28000000000000003</v>
      </c>
      <c r="E31" s="180">
        <v>0.2</v>
      </c>
      <c r="F31" s="40" t="s">
        <v>71</v>
      </c>
      <c r="G31" s="168" t="str">
        <f>IF(E31&lt;=0.2,"NA",IF(E31&gt;0.2,0.2*E31))</f>
        <v>NA</v>
      </c>
      <c r="H31" s="168"/>
      <c r="I31" s="184"/>
      <c r="J31" s="185"/>
      <c r="K31" s="159">
        <f>ROUND(+IF(E31&lt;=0.2,(I32),(IF(E31&gt;0.2,((I31+2*I32+I33)/4)))),3)</f>
        <v>0.23499999999999999</v>
      </c>
      <c r="L31" s="159">
        <f>ROUND(+(D31+D33)/2*(C33-C31),3)</f>
        <v>0.13300000000000001</v>
      </c>
      <c r="M31" s="162">
        <f>ROUND(+K31*L31,4)</f>
        <v>3.1300000000000001E-2</v>
      </c>
      <c r="N31" s="165">
        <f>ROUND(+M31/$M$47*100,1)</f>
        <v>18.2</v>
      </c>
      <c r="O31" s="168"/>
      <c r="P31" s="171"/>
    </row>
    <row r="32" spans="1:16" s="3" customFormat="1" ht="14.1" customHeight="1" x14ac:dyDescent="0.2">
      <c r="A32" s="11"/>
      <c r="B32" s="175"/>
      <c r="C32" s="178"/>
      <c r="D32" s="181"/>
      <c r="E32" s="182"/>
      <c r="F32" s="41" t="s">
        <v>72</v>
      </c>
      <c r="G32" s="178">
        <f>IF(E31&lt;=0.2,0.6*E31,IF(E31&gt;0.2,0.6*E31))</f>
        <v>0.12</v>
      </c>
      <c r="H32" s="178"/>
      <c r="I32" s="186">
        <v>0.23499999999999999</v>
      </c>
      <c r="J32" s="187"/>
      <c r="K32" s="160"/>
      <c r="L32" s="160"/>
      <c r="M32" s="163"/>
      <c r="N32" s="166"/>
      <c r="O32" s="169"/>
      <c r="P32" s="172"/>
    </row>
    <row r="33" spans="1:18" s="3" customFormat="1" ht="13.9" customHeight="1" thickBot="1" x14ac:dyDescent="0.25">
      <c r="A33" s="11"/>
      <c r="B33" s="176"/>
      <c r="C33" s="42">
        <f>+C31+$P$8</f>
        <v>3.76</v>
      </c>
      <c r="D33" s="43">
        <v>0.25</v>
      </c>
      <c r="E33" s="183"/>
      <c r="F33" s="44" t="s">
        <v>73</v>
      </c>
      <c r="G33" s="179" t="str">
        <f>IF(E31&lt;=0.2,"NA",IF(E31&gt;0.2,0.8*E31))</f>
        <v>NA</v>
      </c>
      <c r="H33" s="179"/>
      <c r="I33" s="188"/>
      <c r="J33" s="189"/>
      <c r="K33" s="161"/>
      <c r="L33" s="161"/>
      <c r="M33" s="164"/>
      <c r="N33" s="167"/>
      <c r="O33" s="170"/>
      <c r="P33" s="173"/>
    </row>
    <row r="34" spans="1:18" s="3" customFormat="1" ht="14.1" customHeight="1" x14ac:dyDescent="0.2">
      <c r="A34" s="11"/>
      <c r="B34" s="174">
        <v>7</v>
      </c>
      <c r="C34" s="177">
        <f>+C33</f>
        <v>3.76</v>
      </c>
      <c r="D34" s="159">
        <v>0.25</v>
      </c>
      <c r="E34" s="159">
        <v>0.12</v>
      </c>
      <c r="F34" s="40" t="s">
        <v>71</v>
      </c>
      <c r="G34" s="168" t="str">
        <f>IF(E34&lt;=0.2,"NA",IF(E34&gt;0.2,0.2*E34))</f>
        <v>NA</v>
      </c>
      <c r="H34" s="168"/>
      <c r="I34" s="168"/>
      <c r="J34" s="168"/>
      <c r="K34" s="159">
        <f>ROUND(+IF(E34&lt;=0.2,(I35),(IF(E34&gt;0.2,((I34+2*I35+I36)/4)))),3)</f>
        <v>0.16900000000000001</v>
      </c>
      <c r="L34" s="159">
        <f>ROUND(+(D34+D36)/2*(C36-C34),3)</f>
        <v>0.05</v>
      </c>
      <c r="M34" s="162">
        <f>ROUND(+K34*L34,4)</f>
        <v>8.5000000000000006E-3</v>
      </c>
      <c r="N34" s="165">
        <f>ROUND(+M34/$M$47*100,1)</f>
        <v>4.9000000000000004</v>
      </c>
      <c r="O34" s="168"/>
      <c r="P34" s="171"/>
    </row>
    <row r="35" spans="1:18" s="3" customFormat="1" ht="14.1" customHeight="1" x14ac:dyDescent="0.2">
      <c r="A35" s="11"/>
      <c r="B35" s="175"/>
      <c r="C35" s="178"/>
      <c r="D35" s="160"/>
      <c r="E35" s="160"/>
      <c r="F35" s="41" t="s">
        <v>72</v>
      </c>
      <c r="G35" s="178">
        <f>IF(E34&lt;=0.2,0.6*E34,IF(E34&gt;0.2,0.6*E34))</f>
        <v>7.1999999999999995E-2</v>
      </c>
      <c r="H35" s="178"/>
      <c r="I35" s="169">
        <v>0.16900000000000001</v>
      </c>
      <c r="J35" s="169"/>
      <c r="K35" s="160"/>
      <c r="L35" s="160"/>
      <c r="M35" s="163"/>
      <c r="N35" s="166"/>
      <c r="O35" s="169"/>
      <c r="P35" s="172"/>
    </row>
    <row r="36" spans="1:18" s="3" customFormat="1" ht="13.9" customHeight="1" thickBot="1" x14ac:dyDescent="0.25">
      <c r="A36" s="11"/>
      <c r="B36" s="176"/>
      <c r="C36" s="42">
        <f>+C34+0.4</f>
        <v>4.16</v>
      </c>
      <c r="D36" s="43">
        <v>0</v>
      </c>
      <c r="E36" s="161"/>
      <c r="F36" s="44" t="s">
        <v>73</v>
      </c>
      <c r="G36" s="179" t="str">
        <f>IF(E34&lt;=0.2,"NA",IF(E34&gt;0.2,0.8*E34))</f>
        <v>NA</v>
      </c>
      <c r="H36" s="179"/>
      <c r="I36" s="170"/>
      <c r="J36" s="170"/>
      <c r="K36" s="161"/>
      <c r="L36" s="161"/>
      <c r="M36" s="164"/>
      <c r="N36" s="167"/>
      <c r="O36" s="170"/>
      <c r="P36" s="173"/>
    </row>
    <row r="37" spans="1:18" s="3" customFormat="1" ht="14.1" customHeight="1" x14ac:dyDescent="0.25">
      <c r="A37" s="11"/>
      <c r="B37" s="193">
        <f>+B22</f>
        <v>3</v>
      </c>
      <c r="C37" s="192">
        <f>+C22</f>
        <v>1.76</v>
      </c>
      <c r="D37" s="194">
        <f>+D22</f>
        <v>0.31</v>
      </c>
      <c r="E37" s="194">
        <f>+E22</f>
        <v>0.37</v>
      </c>
      <c r="F37" s="45" t="s">
        <v>29</v>
      </c>
      <c r="G37" s="190"/>
      <c r="H37" s="190"/>
      <c r="I37" s="191">
        <v>0.375</v>
      </c>
      <c r="J37" s="191"/>
      <c r="K37" s="194">
        <f>AVERAGE(I37:J46)</f>
        <v>0.193</v>
      </c>
      <c r="L37" s="193">
        <f>ROUND(+(D37+D42)/2*(C42-C37),3)</f>
        <v>0.17</v>
      </c>
      <c r="M37" s="209">
        <f>ROUND(+K37*L37,4)</f>
        <v>3.2800000000000003E-2</v>
      </c>
      <c r="N37" s="193">
        <f>ROUND(+M37/$M$47*100,1)</f>
        <v>19</v>
      </c>
      <c r="O37" s="193"/>
      <c r="P37" s="193"/>
    </row>
    <row r="38" spans="1:18" s="3" customFormat="1" ht="14.1" customHeight="1" x14ac:dyDescent="0.25">
      <c r="A38" s="11"/>
      <c r="B38" s="193"/>
      <c r="C38" s="193"/>
      <c r="D38" s="194"/>
      <c r="E38" s="194"/>
      <c r="F38" s="45" t="s">
        <v>74</v>
      </c>
      <c r="G38" s="190">
        <f>+ROUND(0.1*$E$37,2)</f>
        <v>0.04</v>
      </c>
      <c r="H38" s="190"/>
      <c r="I38" s="191">
        <v>0.32</v>
      </c>
      <c r="J38" s="191"/>
      <c r="K38" s="193"/>
      <c r="L38" s="193"/>
      <c r="M38" s="209"/>
      <c r="N38" s="193"/>
      <c r="O38" s="193"/>
      <c r="P38" s="193"/>
      <c r="R38" s="46"/>
    </row>
    <row r="39" spans="1:18" s="3" customFormat="1" ht="14.1" customHeight="1" x14ac:dyDescent="0.25">
      <c r="A39" s="11"/>
      <c r="B39" s="193"/>
      <c r="C39" s="193"/>
      <c r="D39" s="194"/>
      <c r="E39" s="194"/>
      <c r="F39" s="45" t="s">
        <v>71</v>
      </c>
      <c r="G39" s="190">
        <f>+ROUND(0.2*$E$37,2)</f>
        <v>7.0000000000000007E-2</v>
      </c>
      <c r="H39" s="190"/>
      <c r="I39" s="191">
        <v>0.26</v>
      </c>
      <c r="J39" s="191"/>
      <c r="K39" s="193"/>
      <c r="L39" s="193"/>
      <c r="M39" s="209"/>
      <c r="N39" s="193"/>
      <c r="O39" s="193"/>
      <c r="P39" s="193"/>
      <c r="R39" s="46"/>
    </row>
    <row r="40" spans="1:18" s="3" customFormat="1" ht="14.1" customHeight="1" x14ac:dyDescent="0.25">
      <c r="A40" s="11"/>
      <c r="B40" s="193"/>
      <c r="C40" s="193"/>
      <c r="D40" s="194"/>
      <c r="E40" s="194"/>
      <c r="F40" s="45" t="s">
        <v>75</v>
      </c>
      <c r="G40" s="190">
        <f>+ROUND(0.3*$E$37,2)</f>
        <v>0.11</v>
      </c>
      <c r="H40" s="190"/>
      <c r="I40" s="191">
        <v>0.24</v>
      </c>
      <c r="J40" s="191"/>
      <c r="K40" s="193"/>
      <c r="L40" s="193"/>
      <c r="M40" s="209"/>
      <c r="N40" s="193"/>
      <c r="O40" s="193"/>
      <c r="P40" s="193"/>
      <c r="R40" s="46"/>
    </row>
    <row r="41" spans="1:18" s="3" customFormat="1" ht="14.1" customHeight="1" x14ac:dyDescent="0.25">
      <c r="A41" s="11"/>
      <c r="B41" s="193"/>
      <c r="C41" s="193"/>
      <c r="D41" s="194"/>
      <c r="E41" s="194"/>
      <c r="F41" s="45" t="s">
        <v>76</v>
      </c>
      <c r="G41" s="190">
        <f>+ROUND(0.4*$E$37,2)</f>
        <v>0.15</v>
      </c>
      <c r="H41" s="190"/>
      <c r="I41" s="191">
        <v>0.22</v>
      </c>
      <c r="J41" s="191"/>
      <c r="K41" s="193"/>
      <c r="L41" s="193"/>
      <c r="M41" s="209"/>
      <c r="N41" s="193"/>
      <c r="O41" s="193"/>
      <c r="P41" s="193"/>
      <c r="R41" s="46"/>
    </row>
    <row r="42" spans="1:18" s="3" customFormat="1" ht="14.1" customHeight="1" x14ac:dyDescent="0.25">
      <c r="A42" s="11"/>
      <c r="B42" s="193"/>
      <c r="C42" s="192">
        <f>+C24</f>
        <v>2.2599999999999998</v>
      </c>
      <c r="D42" s="194">
        <f>+D24</f>
        <v>0.37</v>
      </c>
      <c r="E42" s="194"/>
      <c r="F42" s="45" t="s">
        <v>28</v>
      </c>
      <c r="G42" s="190">
        <f>+ROUND(0.5*$E$37,2)</f>
        <v>0.19</v>
      </c>
      <c r="H42" s="190"/>
      <c r="I42" s="191">
        <v>0.18</v>
      </c>
      <c r="J42" s="191"/>
      <c r="K42" s="193"/>
      <c r="L42" s="193"/>
      <c r="M42" s="209"/>
      <c r="N42" s="193"/>
      <c r="O42" s="193"/>
      <c r="P42" s="193"/>
      <c r="R42" s="46"/>
    </row>
    <row r="43" spans="1:18" s="3" customFormat="1" ht="14.1" customHeight="1" x14ac:dyDescent="0.25">
      <c r="A43" s="11"/>
      <c r="B43" s="193"/>
      <c r="C43" s="193"/>
      <c r="D43" s="194"/>
      <c r="E43" s="194"/>
      <c r="F43" s="45" t="s">
        <v>72</v>
      </c>
      <c r="G43" s="190">
        <f>+ROUND(0.6*$E$37,2)</f>
        <v>0.22</v>
      </c>
      <c r="H43" s="190"/>
      <c r="I43" s="191">
        <v>0.17</v>
      </c>
      <c r="J43" s="191"/>
      <c r="K43" s="193"/>
      <c r="L43" s="193"/>
      <c r="M43" s="209"/>
      <c r="N43" s="193"/>
      <c r="O43" s="193"/>
      <c r="P43" s="193"/>
      <c r="R43" s="46"/>
    </row>
    <row r="44" spans="1:18" s="3" customFormat="1" ht="14.1" customHeight="1" x14ac:dyDescent="0.25">
      <c r="A44" s="11"/>
      <c r="B44" s="193"/>
      <c r="C44" s="193"/>
      <c r="D44" s="194"/>
      <c r="E44" s="194"/>
      <c r="F44" s="45" t="s">
        <v>77</v>
      </c>
      <c r="G44" s="190">
        <f>+ROUND(0.7*$E$37,2)</f>
        <v>0.26</v>
      </c>
      <c r="H44" s="190"/>
      <c r="I44" s="191">
        <v>0.11</v>
      </c>
      <c r="J44" s="191"/>
      <c r="K44" s="193"/>
      <c r="L44" s="193"/>
      <c r="M44" s="209"/>
      <c r="N44" s="193"/>
      <c r="O44" s="193"/>
      <c r="P44" s="193"/>
      <c r="R44" s="46"/>
    </row>
    <row r="45" spans="1:18" s="3" customFormat="1" ht="14.1" customHeight="1" x14ac:dyDescent="0.25">
      <c r="A45" s="11"/>
      <c r="B45" s="193"/>
      <c r="C45" s="193"/>
      <c r="D45" s="194"/>
      <c r="E45" s="194"/>
      <c r="F45" s="45" t="s">
        <v>73</v>
      </c>
      <c r="G45" s="190">
        <f>+ROUND(0.8*$E$37,2)</f>
        <v>0.3</v>
      </c>
      <c r="H45" s="190"/>
      <c r="I45" s="191">
        <v>5.5E-2</v>
      </c>
      <c r="J45" s="191"/>
      <c r="K45" s="193"/>
      <c r="L45" s="193"/>
      <c r="M45" s="209"/>
      <c r="N45" s="193"/>
      <c r="O45" s="193"/>
      <c r="P45" s="193"/>
      <c r="R45" s="46"/>
    </row>
    <row r="46" spans="1:18" s="3" customFormat="1" x14ac:dyDescent="0.25">
      <c r="A46" s="11"/>
      <c r="B46" s="193"/>
      <c r="C46" s="193"/>
      <c r="D46" s="194"/>
      <c r="E46" s="194"/>
      <c r="F46" s="45" t="s">
        <v>78</v>
      </c>
      <c r="G46" s="190">
        <f>+ROUND(0.9*$E$37,2)</f>
        <v>0.33</v>
      </c>
      <c r="H46" s="190"/>
      <c r="I46" s="191">
        <v>0</v>
      </c>
      <c r="J46" s="191"/>
      <c r="K46" s="193"/>
      <c r="L46" s="193"/>
      <c r="M46" s="209"/>
      <c r="N46" s="193"/>
      <c r="O46" s="193"/>
      <c r="P46" s="193"/>
      <c r="R46" s="46"/>
    </row>
    <row r="47" spans="1:18" s="3" customFormat="1" ht="12.75" x14ac:dyDescent="0.2">
      <c r="A47" s="11"/>
      <c r="B47" s="195" t="s">
        <v>30</v>
      </c>
      <c r="C47" s="196"/>
      <c r="D47" s="196"/>
      <c r="E47" s="196"/>
      <c r="F47" s="196"/>
      <c r="G47" s="196"/>
      <c r="H47" s="196"/>
      <c r="I47" s="196"/>
      <c r="J47" s="196"/>
      <c r="K47" s="47">
        <f>ROUND(+M47/L47,3)</f>
        <v>0.20499999999999999</v>
      </c>
      <c r="L47" s="15">
        <f>SUM(L16:L46)</f>
        <v>0.83900000000000008</v>
      </c>
      <c r="M47" s="14">
        <f>SUM(M16:M46)</f>
        <v>0.1724</v>
      </c>
      <c r="N47" s="12">
        <f>ROUND(SUM(N16:N46),0)</f>
        <v>100</v>
      </c>
      <c r="O47" s="199" t="s">
        <v>31</v>
      </c>
      <c r="P47" s="201"/>
    </row>
    <row r="48" spans="1:18" s="3" customFormat="1" ht="15" customHeight="1" thickBot="1" x14ac:dyDescent="0.25">
      <c r="A48" s="11"/>
      <c r="B48" s="197"/>
      <c r="C48" s="198"/>
      <c r="D48" s="198"/>
      <c r="E48" s="198"/>
      <c r="F48" s="198"/>
      <c r="G48" s="198"/>
      <c r="H48" s="198"/>
      <c r="I48" s="198"/>
      <c r="J48" s="198"/>
      <c r="K48" s="13" t="s">
        <v>32</v>
      </c>
      <c r="L48" s="13" t="s">
        <v>48</v>
      </c>
      <c r="M48" s="13" t="s">
        <v>49</v>
      </c>
      <c r="N48" s="13" t="s">
        <v>33</v>
      </c>
      <c r="O48" s="200"/>
      <c r="P48" s="202"/>
    </row>
    <row r="49" spans="1:16" ht="69.599999999999994" customHeight="1" thickBot="1" x14ac:dyDescent="0.3">
      <c r="A49" s="48"/>
      <c r="B49" s="203" t="s">
        <v>27</v>
      </c>
      <c r="C49" s="204"/>
      <c r="D49" s="204"/>
      <c r="E49" s="204"/>
      <c r="F49" s="204"/>
      <c r="G49" s="204"/>
      <c r="H49" s="204"/>
      <c r="I49" s="204"/>
      <c r="J49" s="204"/>
      <c r="K49" s="204"/>
      <c r="L49" s="204"/>
      <c r="M49" s="204"/>
      <c r="N49" s="204"/>
      <c r="O49" s="204"/>
      <c r="P49" s="205"/>
    </row>
    <row r="50" spans="1:16" ht="15" customHeight="1" thickBot="1" x14ac:dyDescent="0.3">
      <c r="A50" s="5"/>
      <c r="B50" s="206" t="s">
        <v>79</v>
      </c>
      <c r="C50" s="207"/>
      <c r="D50" s="207"/>
      <c r="E50" s="207"/>
      <c r="F50" s="207"/>
      <c r="G50" s="207" t="s">
        <v>80</v>
      </c>
      <c r="H50" s="207"/>
      <c r="I50" s="207"/>
      <c r="J50" s="207"/>
      <c r="K50" s="207"/>
      <c r="L50" s="207"/>
      <c r="M50" s="207" t="s">
        <v>81</v>
      </c>
      <c r="N50" s="207"/>
      <c r="O50" s="207"/>
      <c r="P50" s="208"/>
    </row>
    <row r="51" spans="1:16" ht="15" customHeight="1" thickBot="1" x14ac:dyDescent="0.3">
      <c r="A51" s="5"/>
      <c r="B51" s="210"/>
      <c r="C51" s="211"/>
      <c r="D51" s="211"/>
      <c r="E51" s="211"/>
      <c r="F51" s="211"/>
      <c r="G51" s="211"/>
      <c r="H51" s="211"/>
      <c r="I51" s="212"/>
      <c r="J51" s="216" t="s">
        <v>51</v>
      </c>
      <c r="K51" s="217"/>
      <c r="L51" s="217"/>
      <c r="M51" s="217"/>
      <c r="N51" s="217"/>
      <c r="O51" s="217"/>
      <c r="P51" s="218"/>
    </row>
    <row r="52" spans="1:16" ht="18.600000000000001" customHeight="1" thickBot="1" x14ac:dyDescent="0.3">
      <c r="A52" s="6"/>
      <c r="B52" s="210"/>
      <c r="C52" s="211"/>
      <c r="D52" s="211"/>
      <c r="E52" s="211"/>
      <c r="F52" s="211"/>
      <c r="G52" s="211"/>
      <c r="H52" s="211"/>
      <c r="I52" s="212"/>
      <c r="J52" s="49" t="s">
        <v>82</v>
      </c>
      <c r="K52" s="219" t="s">
        <v>83</v>
      </c>
      <c r="L52" s="219"/>
      <c r="M52" s="219"/>
      <c r="N52" s="219"/>
      <c r="O52" s="219"/>
      <c r="P52" s="220"/>
    </row>
    <row r="53" spans="1:16" ht="97.15" customHeight="1" thickBot="1" x14ac:dyDescent="0.3">
      <c r="A53" s="10"/>
      <c r="B53" s="210"/>
      <c r="C53" s="211"/>
      <c r="D53" s="211"/>
      <c r="E53" s="211"/>
      <c r="F53" s="211"/>
      <c r="G53" s="211"/>
      <c r="H53" s="211"/>
      <c r="I53" s="212"/>
      <c r="J53" s="221" t="s">
        <v>84</v>
      </c>
      <c r="K53" s="222"/>
      <c r="L53" s="222"/>
      <c r="M53" s="222"/>
      <c r="N53" s="222"/>
      <c r="O53" s="222"/>
      <c r="P53" s="223"/>
    </row>
    <row r="54" spans="1:16" ht="15" customHeight="1" thickBot="1" x14ac:dyDescent="0.3">
      <c r="A54" s="5"/>
      <c r="B54" s="210"/>
      <c r="C54" s="211"/>
      <c r="D54" s="211"/>
      <c r="E54" s="211"/>
      <c r="F54" s="211"/>
      <c r="G54" s="211"/>
      <c r="H54" s="211"/>
      <c r="I54" s="212"/>
      <c r="J54" s="224" t="s">
        <v>34</v>
      </c>
      <c r="K54" s="225"/>
      <c r="L54" s="225"/>
      <c r="M54" s="225"/>
      <c r="N54" s="226"/>
      <c r="O54" s="227">
        <v>5.45</v>
      </c>
      <c r="P54" s="228"/>
    </row>
    <row r="55" spans="1:16" ht="15.75" thickBot="1" x14ac:dyDescent="0.3">
      <c r="A55" s="5"/>
      <c r="B55" s="210"/>
      <c r="C55" s="211"/>
      <c r="D55" s="211"/>
      <c r="E55" s="211"/>
      <c r="F55" s="211"/>
      <c r="G55" s="211"/>
      <c r="H55" s="211"/>
      <c r="I55" s="212"/>
      <c r="J55" s="229" t="s">
        <v>50</v>
      </c>
      <c r="K55" s="230"/>
      <c r="L55" s="230"/>
      <c r="M55" s="230"/>
      <c r="N55" s="231"/>
      <c r="O55" s="227" t="s">
        <v>85</v>
      </c>
      <c r="P55" s="228"/>
    </row>
    <row r="56" spans="1:16" ht="14.45" customHeight="1" thickBot="1" x14ac:dyDescent="0.3">
      <c r="A56" s="5"/>
      <c r="B56" s="213"/>
      <c r="C56" s="214"/>
      <c r="D56" s="214"/>
      <c r="E56" s="214"/>
      <c r="F56" s="214"/>
      <c r="G56" s="214"/>
      <c r="H56" s="214"/>
      <c r="I56" s="215"/>
      <c r="J56" s="232" t="s">
        <v>86</v>
      </c>
      <c r="K56" s="233"/>
      <c r="L56" s="233"/>
      <c r="M56" s="233"/>
      <c r="N56" s="233"/>
      <c r="O56" s="233"/>
      <c r="P56" s="234"/>
    </row>
    <row r="57" spans="1:16" ht="14.45" customHeight="1" thickBot="1" x14ac:dyDescent="0.3">
      <c r="A57" s="7"/>
      <c r="B57" s="240"/>
      <c r="C57" s="240"/>
      <c r="D57" s="240"/>
      <c r="E57" s="240"/>
      <c r="F57" s="240"/>
      <c r="G57" s="240"/>
      <c r="H57" s="240"/>
      <c r="I57" s="240"/>
      <c r="J57" s="240"/>
      <c r="K57" s="240"/>
      <c r="L57" s="240"/>
      <c r="M57" s="240"/>
      <c r="N57" s="240"/>
      <c r="O57" s="240"/>
      <c r="P57" s="241"/>
    </row>
    <row r="58" spans="1:16" ht="15.75" thickBot="1" x14ac:dyDescent="0.3">
      <c r="A58" s="242" t="s">
        <v>35</v>
      </c>
      <c r="B58" s="243"/>
      <c r="C58" s="243"/>
      <c r="D58" s="243"/>
      <c r="E58" s="243"/>
      <c r="F58" s="243"/>
      <c r="G58" s="243"/>
      <c r="H58" s="243"/>
      <c r="I58" s="243"/>
      <c r="J58" s="243"/>
      <c r="K58" s="243"/>
      <c r="L58" s="243"/>
      <c r="M58" s="243"/>
      <c r="N58" s="243"/>
      <c r="O58" s="243"/>
      <c r="P58" s="244"/>
    </row>
    <row r="59" spans="1:16" ht="141.6" customHeight="1" thickBot="1" x14ac:dyDescent="0.3">
      <c r="A59" s="4"/>
      <c r="B59" s="245"/>
      <c r="C59" s="246"/>
      <c r="D59" s="246"/>
      <c r="E59" s="246"/>
      <c r="F59" s="247"/>
      <c r="G59" s="245"/>
      <c r="H59" s="246"/>
      <c r="I59" s="246"/>
      <c r="J59" s="246"/>
      <c r="K59" s="246"/>
      <c r="L59" s="247"/>
      <c r="M59" s="245"/>
      <c r="N59" s="246"/>
      <c r="O59" s="246"/>
      <c r="P59" s="247"/>
    </row>
    <row r="60" spans="1:16" s="9" customFormat="1" ht="13.9" customHeight="1" thickBot="1" x14ac:dyDescent="0.3">
      <c r="A60" s="8" t="s">
        <v>87</v>
      </c>
      <c r="B60" s="248" t="s">
        <v>88</v>
      </c>
      <c r="C60" s="235"/>
      <c r="D60" s="235"/>
      <c r="E60" s="235"/>
      <c r="F60" s="236"/>
      <c r="G60" s="248" t="s">
        <v>89</v>
      </c>
      <c r="H60" s="235"/>
      <c r="I60" s="235"/>
      <c r="J60" s="235"/>
      <c r="K60" s="235"/>
      <c r="L60" s="236"/>
      <c r="M60" s="248" t="s">
        <v>90</v>
      </c>
      <c r="N60" s="235"/>
      <c r="O60" s="235"/>
      <c r="P60" s="236"/>
    </row>
    <row r="61" spans="1:16" s="9" customFormat="1" ht="52.15" customHeight="1" thickBot="1" x14ac:dyDescent="0.3">
      <c r="A61" s="8"/>
      <c r="B61" s="235"/>
      <c r="C61" s="235"/>
      <c r="D61" s="235"/>
      <c r="E61" s="235"/>
      <c r="F61" s="235"/>
      <c r="G61" s="235"/>
      <c r="H61" s="235"/>
      <c r="I61" s="235"/>
      <c r="J61" s="235"/>
      <c r="K61" s="235"/>
      <c r="L61" s="235"/>
      <c r="M61" s="235"/>
      <c r="N61" s="235"/>
      <c r="O61" s="235"/>
      <c r="P61" s="236"/>
    </row>
    <row r="62" spans="1:16" s="3" customFormat="1" ht="15.75" customHeight="1" thickBot="1" x14ac:dyDescent="0.25">
      <c r="A62" s="237" t="s">
        <v>36</v>
      </c>
      <c r="B62" s="238"/>
      <c r="C62" s="238"/>
      <c r="D62" s="238" t="s">
        <v>91</v>
      </c>
      <c r="E62" s="238"/>
      <c r="F62" s="238"/>
      <c r="G62" s="238"/>
      <c r="H62" s="238"/>
      <c r="I62" s="238"/>
      <c r="J62" s="238" t="s">
        <v>37</v>
      </c>
      <c r="K62" s="238"/>
      <c r="L62" s="238"/>
      <c r="M62" s="238"/>
      <c r="N62" s="238"/>
      <c r="O62" s="238"/>
      <c r="P62" s="239"/>
    </row>
  </sheetData>
  <mergeCells count="220">
    <mergeCell ref="B61:P61"/>
    <mergeCell ref="A62:C62"/>
    <mergeCell ref="D62:I62"/>
    <mergeCell ref="J62:K62"/>
    <mergeCell ref="L62:P62"/>
    <mergeCell ref="B57:P57"/>
    <mergeCell ref="A58:P58"/>
    <mergeCell ref="B59:F59"/>
    <mergeCell ref="G59:L59"/>
    <mergeCell ref="M59:P59"/>
    <mergeCell ref="B60:F60"/>
    <mergeCell ref="G60:L60"/>
    <mergeCell ref="M60:P60"/>
    <mergeCell ref="B51:I56"/>
    <mergeCell ref="J51:P51"/>
    <mergeCell ref="K52:P52"/>
    <mergeCell ref="J53:P53"/>
    <mergeCell ref="J54:N54"/>
    <mergeCell ref="O54:P54"/>
    <mergeCell ref="J55:N55"/>
    <mergeCell ref="O55:P55"/>
    <mergeCell ref="J56:P56"/>
    <mergeCell ref="B47:J48"/>
    <mergeCell ref="O47:O48"/>
    <mergeCell ref="P47:P48"/>
    <mergeCell ref="B49:P49"/>
    <mergeCell ref="B50:F50"/>
    <mergeCell ref="G50:L50"/>
    <mergeCell ref="M50:P50"/>
    <mergeCell ref="G44:H44"/>
    <mergeCell ref="I44:J44"/>
    <mergeCell ref="G45:H45"/>
    <mergeCell ref="I45:J45"/>
    <mergeCell ref="G46:H46"/>
    <mergeCell ref="I46:J46"/>
    <mergeCell ref="K37:K46"/>
    <mergeCell ref="L37:L46"/>
    <mergeCell ref="M37:M46"/>
    <mergeCell ref="N37:N46"/>
    <mergeCell ref="O37:O46"/>
    <mergeCell ref="P37:P46"/>
    <mergeCell ref="B37:B46"/>
    <mergeCell ref="G40:H40"/>
    <mergeCell ref="I40:J40"/>
    <mergeCell ref="G41:H41"/>
    <mergeCell ref="I41:J41"/>
    <mergeCell ref="C42:C46"/>
    <mergeCell ref="D42:D46"/>
    <mergeCell ref="G42:H42"/>
    <mergeCell ref="I42:J42"/>
    <mergeCell ref="G43:H43"/>
    <mergeCell ref="I43:J43"/>
    <mergeCell ref="C37:C41"/>
    <mergeCell ref="D37:D41"/>
    <mergeCell ref="E37:E46"/>
    <mergeCell ref="G37:H37"/>
    <mergeCell ref="I37:J37"/>
    <mergeCell ref="G38:H38"/>
    <mergeCell ref="I38:J38"/>
    <mergeCell ref="G39:H39"/>
    <mergeCell ref="I39:J39"/>
    <mergeCell ref="K34:K36"/>
    <mergeCell ref="L34:L36"/>
    <mergeCell ref="M34:M36"/>
    <mergeCell ref="N34:N36"/>
    <mergeCell ref="O34:O36"/>
    <mergeCell ref="P34:P36"/>
    <mergeCell ref="B34:B36"/>
    <mergeCell ref="C34:C35"/>
    <mergeCell ref="D34:D35"/>
    <mergeCell ref="E34:E36"/>
    <mergeCell ref="G34:H34"/>
    <mergeCell ref="I34:J34"/>
    <mergeCell ref="G35:H35"/>
    <mergeCell ref="I35:J35"/>
    <mergeCell ref="G36:H36"/>
    <mergeCell ref="I36:J36"/>
    <mergeCell ref="K31:K33"/>
    <mergeCell ref="L31:L33"/>
    <mergeCell ref="M31:M33"/>
    <mergeCell ref="N31:N33"/>
    <mergeCell ref="O31:O33"/>
    <mergeCell ref="P31:P33"/>
    <mergeCell ref="B31:B33"/>
    <mergeCell ref="C31:C32"/>
    <mergeCell ref="D31:D32"/>
    <mergeCell ref="E31:E33"/>
    <mergeCell ref="G31:H31"/>
    <mergeCell ref="I31:J31"/>
    <mergeCell ref="G32:H32"/>
    <mergeCell ref="I32:J32"/>
    <mergeCell ref="G33:H33"/>
    <mergeCell ref="I33:J33"/>
    <mergeCell ref="K28:K30"/>
    <mergeCell ref="L28:L30"/>
    <mergeCell ref="M28:M30"/>
    <mergeCell ref="N28:N30"/>
    <mergeCell ref="O28:O30"/>
    <mergeCell ref="P28:P30"/>
    <mergeCell ref="B28:B30"/>
    <mergeCell ref="C28:C29"/>
    <mergeCell ref="D28:D29"/>
    <mergeCell ref="E28:E30"/>
    <mergeCell ref="G28:H28"/>
    <mergeCell ref="I28:J28"/>
    <mergeCell ref="G29:H29"/>
    <mergeCell ref="I29:J29"/>
    <mergeCell ref="G30:H30"/>
    <mergeCell ref="I30:J30"/>
    <mergeCell ref="K25:K27"/>
    <mergeCell ref="L25:L27"/>
    <mergeCell ref="M25:M27"/>
    <mergeCell ref="N25:N27"/>
    <mergeCell ref="O25:O27"/>
    <mergeCell ref="P25:P27"/>
    <mergeCell ref="B25:B27"/>
    <mergeCell ref="C25:C26"/>
    <mergeCell ref="D25:D26"/>
    <mergeCell ref="E25:E27"/>
    <mergeCell ref="G25:H25"/>
    <mergeCell ref="I25:J25"/>
    <mergeCell ref="G26:H26"/>
    <mergeCell ref="I26:J26"/>
    <mergeCell ref="G27:H27"/>
    <mergeCell ref="I27:J27"/>
    <mergeCell ref="K22:K24"/>
    <mergeCell ref="L22:L24"/>
    <mergeCell ref="M22:M24"/>
    <mergeCell ref="N22:N24"/>
    <mergeCell ref="O22:O24"/>
    <mergeCell ref="P22:P24"/>
    <mergeCell ref="B22:B24"/>
    <mergeCell ref="C22:C23"/>
    <mergeCell ref="D22:D23"/>
    <mergeCell ref="E22:E24"/>
    <mergeCell ref="G22:H22"/>
    <mergeCell ref="I22:J22"/>
    <mergeCell ref="G23:H23"/>
    <mergeCell ref="I23:J23"/>
    <mergeCell ref="G24:H24"/>
    <mergeCell ref="I24:J24"/>
    <mergeCell ref="K19:K21"/>
    <mergeCell ref="L19:L21"/>
    <mergeCell ref="M19:M21"/>
    <mergeCell ref="N19:N21"/>
    <mergeCell ref="O19:O21"/>
    <mergeCell ref="P19:P21"/>
    <mergeCell ref="B19:B21"/>
    <mergeCell ref="C19:C20"/>
    <mergeCell ref="D19:D20"/>
    <mergeCell ref="E19:E21"/>
    <mergeCell ref="G19:H19"/>
    <mergeCell ref="I19:J19"/>
    <mergeCell ref="G20:H20"/>
    <mergeCell ref="I20:J20"/>
    <mergeCell ref="G21:H21"/>
    <mergeCell ref="I21:J21"/>
    <mergeCell ref="M16:M18"/>
    <mergeCell ref="N16:N18"/>
    <mergeCell ref="O16:O18"/>
    <mergeCell ref="P16:P18"/>
    <mergeCell ref="B16:B18"/>
    <mergeCell ref="C16:C17"/>
    <mergeCell ref="D16:D17"/>
    <mergeCell ref="E16:E18"/>
    <mergeCell ref="G16:H16"/>
    <mergeCell ref="I16:J16"/>
    <mergeCell ref="G17:H17"/>
    <mergeCell ref="I17:J17"/>
    <mergeCell ref="G18:H18"/>
    <mergeCell ref="I18:J18"/>
    <mergeCell ref="B14:B15"/>
    <mergeCell ref="C14:C15"/>
    <mergeCell ref="D14:D15"/>
    <mergeCell ref="E14:E15"/>
    <mergeCell ref="F14:H15"/>
    <mergeCell ref="I14:J14"/>
    <mergeCell ref="I15:J15"/>
    <mergeCell ref="K16:K18"/>
    <mergeCell ref="L16:L18"/>
    <mergeCell ref="B11:B13"/>
    <mergeCell ref="C11:E11"/>
    <mergeCell ref="G11:K11"/>
    <mergeCell ref="L11:L13"/>
    <mergeCell ref="M11:P11"/>
    <mergeCell ref="C12:E12"/>
    <mergeCell ref="G12:K13"/>
    <mergeCell ref="M12:P12"/>
    <mergeCell ref="C13:F13"/>
    <mergeCell ref="M13:P13"/>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O2:P3"/>
    <mergeCell ref="B4:P4"/>
    <mergeCell ref="C5:D5"/>
    <mergeCell ref="E5:F5"/>
    <mergeCell ref="H5:I5"/>
    <mergeCell ref="J5:P5"/>
    <mergeCell ref="B2:D3"/>
    <mergeCell ref="E2:N3"/>
    <mergeCell ref="B6:C6"/>
    <mergeCell ref="D6:J6"/>
    <mergeCell ref="K6:L6"/>
    <mergeCell ref="M6:N6"/>
    <mergeCell ref="O6:P6"/>
  </mergeCells>
  <printOptions horizontalCentered="1"/>
  <pageMargins left="0.35433070866141736" right="0.23622047244094491" top="0.74803149606299213" bottom="0.74803149606299213" header="0.19685039370078741" footer="0.31496062992125984"/>
  <pageSetup scale="74" fitToHeight="0" orientation="portrait" r:id="rId1"/>
  <headerFooter>
    <oddHeader>&amp;C&amp;"-,Negrita Cursiva"&amp;12Protocolo integrado de aforo en ríos de montaña 
Universidad Nacional de Colombia-Sede Manizales</oddHeader>
  </headerFooter>
  <rowBreaks count="1" manualBreakCount="1">
    <brk id="48" min="1" max="15" man="1"/>
  </rowBreaks>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89"/>
  <sheetViews>
    <sheetView view="pageBreakPreview" zoomScaleSheetLayoutView="100" zoomScalePageLayoutView="110" workbookViewId="0">
      <selection activeCell="J5" sqref="J5:P5"/>
    </sheetView>
  </sheetViews>
  <sheetFormatPr baseColWidth="10" defaultColWidth="11.42578125" defaultRowHeight="15" x14ac:dyDescent="0.25"/>
  <cols>
    <col min="1" max="1" width="0.140625" customWidth="1"/>
    <col min="2" max="2" width="6.7109375" customWidth="1"/>
    <col min="3" max="3" width="7.42578125" customWidth="1"/>
    <col min="4" max="4" width="11" bestFit="1" customWidth="1"/>
    <col min="5" max="5" width="6.8554687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1.7109375" customWidth="1"/>
  </cols>
  <sheetData>
    <row r="1" spans="1:16" ht="4.9000000000000004" customHeight="1" thickBot="1" x14ac:dyDescent="0.3"/>
    <row r="2" spans="1:16" s="2" customFormat="1" ht="30" customHeight="1" x14ac:dyDescent="0.25">
      <c r="A2" s="16"/>
      <c r="B2" s="77"/>
      <c r="C2" s="78"/>
      <c r="D2" s="79"/>
      <c r="E2" s="83" t="s">
        <v>54</v>
      </c>
      <c r="F2" s="84"/>
      <c r="G2" s="84"/>
      <c r="H2" s="84"/>
      <c r="I2" s="84"/>
      <c r="J2" s="84"/>
      <c r="K2" s="84"/>
      <c r="L2" s="84"/>
      <c r="M2" s="84"/>
      <c r="N2" s="84"/>
      <c r="O2" s="67"/>
      <c r="P2" s="68"/>
    </row>
    <row r="3" spans="1:16" s="2" customFormat="1" ht="20.45" customHeight="1" thickBot="1" x14ac:dyDescent="0.3">
      <c r="A3" s="16"/>
      <c r="B3" s="80"/>
      <c r="C3" s="81"/>
      <c r="D3" s="82"/>
      <c r="E3" s="85"/>
      <c r="F3" s="86"/>
      <c r="G3" s="86"/>
      <c r="H3" s="86"/>
      <c r="I3" s="86"/>
      <c r="J3" s="86"/>
      <c r="K3" s="86"/>
      <c r="L3" s="86"/>
      <c r="M3" s="86"/>
      <c r="N3" s="86"/>
      <c r="O3" s="69"/>
      <c r="P3" s="70"/>
    </row>
    <row r="4" spans="1:16" s="2" customFormat="1" ht="4.9000000000000004" customHeight="1" thickBot="1" x14ac:dyDescent="0.3">
      <c r="A4" s="16"/>
      <c r="B4" s="71"/>
      <c r="C4" s="71"/>
      <c r="D4" s="71"/>
      <c r="E4" s="71"/>
      <c r="F4" s="71"/>
      <c r="G4" s="71"/>
      <c r="H4" s="71"/>
      <c r="I4" s="71"/>
      <c r="J4" s="71"/>
      <c r="K4" s="71"/>
      <c r="L4" s="71"/>
      <c r="M4" s="71"/>
      <c r="N4" s="71"/>
      <c r="O4" s="71"/>
      <c r="P4" s="71"/>
    </row>
    <row r="5" spans="1:16" s="18" customFormat="1" ht="24.75" customHeight="1" thickBot="1" x14ac:dyDescent="0.25">
      <c r="A5" s="17"/>
      <c r="B5" s="56" t="s">
        <v>0</v>
      </c>
      <c r="C5" s="72">
        <v>42873</v>
      </c>
      <c r="D5" s="73"/>
      <c r="E5" s="87" t="s">
        <v>55</v>
      </c>
      <c r="F5" s="75"/>
      <c r="G5" s="293">
        <v>2</v>
      </c>
      <c r="H5" s="74" t="s">
        <v>2</v>
      </c>
      <c r="I5" s="75"/>
      <c r="J5" s="290" t="s">
        <v>100</v>
      </c>
      <c r="K5" s="291"/>
      <c r="L5" s="291"/>
      <c r="M5" s="291"/>
      <c r="N5" s="291"/>
      <c r="O5" s="291"/>
      <c r="P5" s="292"/>
    </row>
    <row r="6" spans="1:16" s="20" customFormat="1" ht="11.25" customHeight="1" thickBot="1" x14ac:dyDescent="0.3">
      <c r="A6" s="19"/>
      <c r="B6" s="87" t="s">
        <v>3</v>
      </c>
      <c r="C6" s="75"/>
      <c r="D6" s="88" t="s">
        <v>56</v>
      </c>
      <c r="E6" s="88"/>
      <c r="F6" s="88"/>
      <c r="G6" s="88"/>
      <c r="H6" s="88"/>
      <c r="I6" s="88"/>
      <c r="J6" s="89"/>
      <c r="K6" s="90" t="s">
        <v>4</v>
      </c>
      <c r="L6" s="74"/>
      <c r="M6" s="73" t="s">
        <v>57</v>
      </c>
      <c r="N6" s="91"/>
      <c r="O6" s="73" t="s">
        <v>58</v>
      </c>
      <c r="P6" s="76"/>
    </row>
    <row r="7" spans="1:16" s="20" customFormat="1" ht="14.1" customHeight="1" x14ac:dyDescent="0.25">
      <c r="A7" s="19"/>
      <c r="B7" s="92" t="s">
        <v>59</v>
      </c>
      <c r="C7" s="93"/>
      <c r="D7" s="93"/>
      <c r="E7" s="94"/>
      <c r="F7" s="95" t="s">
        <v>11</v>
      </c>
      <c r="G7" s="96"/>
      <c r="H7" s="97"/>
      <c r="I7" s="21">
        <v>0.40277777777777773</v>
      </c>
      <c r="J7" s="98" t="s">
        <v>60</v>
      </c>
      <c r="K7" s="99"/>
      <c r="L7" s="22">
        <v>1.03</v>
      </c>
      <c r="M7" s="92" t="s">
        <v>13</v>
      </c>
      <c r="N7" s="93"/>
      <c r="O7" s="93"/>
      <c r="P7" s="23">
        <v>3.2</v>
      </c>
    </row>
    <row r="8" spans="1:16" s="20" customFormat="1" ht="14.1" customHeight="1" thickBot="1" x14ac:dyDescent="0.3">
      <c r="A8" s="19"/>
      <c r="B8" s="100" t="s">
        <v>6</v>
      </c>
      <c r="C8" s="101"/>
      <c r="D8" s="101"/>
      <c r="E8" s="102"/>
      <c r="F8" s="24" t="s">
        <v>14</v>
      </c>
      <c r="G8" s="25"/>
      <c r="H8" s="26"/>
      <c r="I8" s="27">
        <v>0.51874999999999993</v>
      </c>
      <c r="J8" s="103" t="s">
        <v>61</v>
      </c>
      <c r="K8" s="104"/>
      <c r="L8" s="22">
        <v>1.01</v>
      </c>
      <c r="M8" s="105" t="s">
        <v>16</v>
      </c>
      <c r="N8" s="106"/>
      <c r="O8" s="106"/>
      <c r="P8" s="28">
        <v>0.2</v>
      </c>
    </row>
    <row r="9" spans="1:16" s="20" customFormat="1" ht="14.1" customHeight="1" x14ac:dyDescent="0.25">
      <c r="A9" s="29"/>
      <c r="B9" s="107" t="s">
        <v>7</v>
      </c>
      <c r="C9" s="108"/>
      <c r="D9" s="111" t="s">
        <v>8</v>
      </c>
      <c r="E9" s="93" t="s">
        <v>9</v>
      </c>
      <c r="F9" s="93"/>
      <c r="G9" s="93"/>
      <c r="H9" s="30"/>
      <c r="I9" s="113" t="s">
        <v>62</v>
      </c>
      <c r="J9" s="114"/>
      <c r="K9" s="117">
        <v>1.08</v>
      </c>
      <c r="L9" s="119" t="s">
        <v>12</v>
      </c>
      <c r="M9" s="120"/>
      <c r="N9" s="120"/>
      <c r="O9" s="121">
        <v>15</v>
      </c>
      <c r="P9" s="122"/>
    </row>
    <row r="10" spans="1:16" s="20" customFormat="1" ht="14.1" customHeight="1" thickBot="1" x14ac:dyDescent="0.3">
      <c r="A10" s="29"/>
      <c r="B10" s="109"/>
      <c r="C10" s="110"/>
      <c r="D10" s="112"/>
      <c r="E10" s="106" t="s">
        <v>10</v>
      </c>
      <c r="F10" s="106"/>
      <c r="G10" s="106"/>
      <c r="H10" s="31" t="s">
        <v>5</v>
      </c>
      <c r="I10" s="115"/>
      <c r="J10" s="116"/>
      <c r="K10" s="118"/>
      <c r="L10" s="123" t="s">
        <v>15</v>
      </c>
      <c r="M10" s="124"/>
      <c r="N10" s="124"/>
      <c r="O10" s="125">
        <v>0.3979166666666667</v>
      </c>
      <c r="P10" s="126"/>
    </row>
    <row r="11" spans="1:16" s="33" customFormat="1" ht="25.15" customHeight="1" x14ac:dyDescent="0.2">
      <c r="A11" s="11"/>
      <c r="B11" s="127" t="s">
        <v>17</v>
      </c>
      <c r="C11" s="130" t="s">
        <v>63</v>
      </c>
      <c r="D11" s="130"/>
      <c r="E11" s="130"/>
      <c r="F11" s="32"/>
      <c r="G11" s="131" t="s">
        <v>64</v>
      </c>
      <c r="H11" s="131"/>
      <c r="I11" s="131"/>
      <c r="J11" s="131"/>
      <c r="K11" s="131"/>
      <c r="L11" s="132"/>
      <c r="M11" s="131" t="s">
        <v>65</v>
      </c>
      <c r="N11" s="131"/>
      <c r="O11" s="131"/>
      <c r="P11" s="135"/>
    </row>
    <row r="12" spans="1:16" s="33" customFormat="1" ht="17.45" customHeight="1" x14ac:dyDescent="0.2">
      <c r="A12" s="11"/>
      <c r="B12" s="128"/>
      <c r="C12" s="136" t="s">
        <v>66</v>
      </c>
      <c r="D12" s="136"/>
      <c r="E12" s="136"/>
      <c r="F12" s="34"/>
      <c r="G12" s="137" t="s">
        <v>67</v>
      </c>
      <c r="H12" s="137"/>
      <c r="I12" s="137"/>
      <c r="J12" s="137"/>
      <c r="K12" s="137"/>
      <c r="L12" s="133"/>
      <c r="M12" s="137" t="s">
        <v>68</v>
      </c>
      <c r="N12" s="137"/>
      <c r="O12" s="137"/>
      <c r="P12" s="139"/>
    </row>
    <row r="13" spans="1:16" s="33" customFormat="1" ht="25.15" customHeight="1" thickBot="1" x14ac:dyDescent="0.25">
      <c r="A13" s="11"/>
      <c r="B13" s="129"/>
      <c r="C13" s="140"/>
      <c r="D13" s="141"/>
      <c r="E13" s="141"/>
      <c r="F13" s="141"/>
      <c r="G13" s="138" t="s">
        <v>69</v>
      </c>
      <c r="H13" s="138"/>
      <c r="I13" s="138"/>
      <c r="J13" s="138"/>
      <c r="K13" s="138"/>
      <c r="L13" s="134"/>
      <c r="M13" s="138" t="s">
        <v>70</v>
      </c>
      <c r="N13" s="138"/>
      <c r="O13" s="138"/>
      <c r="P13" s="142"/>
    </row>
    <row r="14" spans="1:16" ht="16.5" customHeight="1" x14ac:dyDescent="0.25">
      <c r="A14" s="5"/>
      <c r="B14" s="143" t="s">
        <v>18</v>
      </c>
      <c r="C14" s="145" t="s">
        <v>19</v>
      </c>
      <c r="D14" s="145" t="s">
        <v>40</v>
      </c>
      <c r="E14" s="147" t="s">
        <v>20</v>
      </c>
      <c r="F14" s="149" t="s">
        <v>41</v>
      </c>
      <c r="G14" s="150"/>
      <c r="H14" s="151"/>
      <c r="I14" s="155" t="s">
        <v>42</v>
      </c>
      <c r="J14" s="156"/>
      <c r="K14" s="35"/>
      <c r="L14" s="36" t="s">
        <v>43</v>
      </c>
      <c r="M14" s="36" t="s">
        <v>44</v>
      </c>
      <c r="N14" s="36" t="s">
        <v>44</v>
      </c>
      <c r="O14" s="36" t="s">
        <v>45</v>
      </c>
      <c r="P14" s="37" t="s">
        <v>21</v>
      </c>
    </row>
    <row r="15" spans="1:16" ht="14.1" customHeight="1" thickBot="1" x14ac:dyDescent="0.3">
      <c r="A15" s="5"/>
      <c r="B15" s="144"/>
      <c r="C15" s="146"/>
      <c r="D15" s="146"/>
      <c r="E15" s="148"/>
      <c r="F15" s="152"/>
      <c r="G15" s="153"/>
      <c r="H15" s="154"/>
      <c r="I15" s="157" t="s">
        <v>22</v>
      </c>
      <c r="J15" s="158"/>
      <c r="K15" s="38" t="s">
        <v>23</v>
      </c>
      <c r="L15" s="38" t="s">
        <v>46</v>
      </c>
      <c r="M15" s="38" t="s">
        <v>47</v>
      </c>
      <c r="N15" s="38" t="s">
        <v>24</v>
      </c>
      <c r="O15" s="38" t="s">
        <v>25</v>
      </c>
      <c r="P15" s="39" t="s">
        <v>26</v>
      </c>
    </row>
    <row r="16" spans="1:16" s="3" customFormat="1" ht="14.1" customHeight="1" x14ac:dyDescent="0.2">
      <c r="A16" s="11"/>
      <c r="B16" s="174">
        <v>1</v>
      </c>
      <c r="C16" s="177">
        <f>+K9</f>
        <v>1.08</v>
      </c>
      <c r="D16" s="159">
        <v>0.12</v>
      </c>
      <c r="E16" s="159">
        <v>0.18</v>
      </c>
      <c r="F16" s="40" t="s">
        <v>71</v>
      </c>
      <c r="G16" s="168">
        <f>IF(E16&lt;0.12,"NA",IF(E16&gt;=0.12,0.2*E16))</f>
        <v>3.5999999999999997E-2</v>
      </c>
      <c r="H16" s="168"/>
      <c r="I16" s="168">
        <v>0.21</v>
      </c>
      <c r="J16" s="168"/>
      <c r="K16" s="159">
        <f>ROUND(+IF(E16&lt;0.12,(I17),(IF(E16&gt;=0.12,((I16+2*I17+I18)/4)))),3)</f>
        <v>0.16400000000000001</v>
      </c>
      <c r="L16" s="159">
        <f>ROUND(+(D16+D18)/2*(C18-C16),3)</f>
        <v>2.8000000000000001E-2</v>
      </c>
      <c r="M16" s="162">
        <f>ROUND(+K16*L16,4)</f>
        <v>4.5999999999999999E-3</v>
      </c>
      <c r="N16" s="165">
        <f>ROUND(+M16/$M$74*100,1)</f>
        <v>1.2</v>
      </c>
      <c r="O16" s="168"/>
      <c r="P16" s="171"/>
    </row>
    <row r="17" spans="1:16" s="3" customFormat="1" ht="14.1" customHeight="1" x14ac:dyDescent="0.2">
      <c r="A17" s="11"/>
      <c r="B17" s="175"/>
      <c r="C17" s="178"/>
      <c r="D17" s="160"/>
      <c r="E17" s="160"/>
      <c r="F17" s="41" t="s">
        <v>72</v>
      </c>
      <c r="G17" s="178">
        <f>IF(E16&lt;0.12,0.6*E16,IF(E16&gt;=0.12,0.6*E16))</f>
        <v>0.108</v>
      </c>
      <c r="H17" s="178"/>
      <c r="I17" s="169">
        <v>0.18</v>
      </c>
      <c r="J17" s="169"/>
      <c r="K17" s="160"/>
      <c r="L17" s="160"/>
      <c r="M17" s="163"/>
      <c r="N17" s="166"/>
      <c r="O17" s="169"/>
      <c r="P17" s="172"/>
    </row>
    <row r="18" spans="1:16" s="3" customFormat="1" ht="13.9" customHeight="1" thickBot="1" x14ac:dyDescent="0.25">
      <c r="A18" s="11"/>
      <c r="B18" s="176"/>
      <c r="C18" s="42">
        <f>+C16+P8</f>
        <v>1.28</v>
      </c>
      <c r="D18" s="43">
        <v>0.16</v>
      </c>
      <c r="E18" s="161"/>
      <c r="F18" s="44" t="s">
        <v>73</v>
      </c>
      <c r="G18" s="179">
        <f>IF(E16&lt;0.12,"NA",IF(E16&gt;=0.12,0.8*E16))</f>
        <v>0.14399999999999999</v>
      </c>
      <c r="H18" s="179"/>
      <c r="I18" s="170">
        <v>8.5000000000000006E-2</v>
      </c>
      <c r="J18" s="170"/>
      <c r="K18" s="161"/>
      <c r="L18" s="161"/>
      <c r="M18" s="164"/>
      <c r="N18" s="167"/>
      <c r="O18" s="170"/>
      <c r="P18" s="173"/>
    </row>
    <row r="19" spans="1:16" s="3" customFormat="1" ht="14.1" customHeight="1" x14ac:dyDescent="0.2">
      <c r="A19" s="11"/>
      <c r="B19" s="174">
        <v>2</v>
      </c>
      <c r="C19" s="177">
        <f>+C18</f>
        <v>1.28</v>
      </c>
      <c r="D19" s="159">
        <f>+D18</f>
        <v>0.16</v>
      </c>
      <c r="E19" s="159">
        <v>0.22500000000000001</v>
      </c>
      <c r="F19" s="40" t="s">
        <v>71</v>
      </c>
      <c r="G19" s="168">
        <f t="shared" ref="G19" si="0">IF(E19&lt;0.12,"NA",IF(E19&gt;=0.12,0.2*E19))</f>
        <v>4.5000000000000005E-2</v>
      </c>
      <c r="H19" s="168"/>
      <c r="I19" s="168">
        <v>0.30099999999999999</v>
      </c>
      <c r="J19" s="168"/>
      <c r="K19" s="159">
        <f t="shared" ref="K19" si="1">ROUND(+IF(E19&lt;0.12,(I20),(IF(E19&gt;=0.12,((I19+2*I20+I21)/4)))),3)</f>
        <v>0.26700000000000002</v>
      </c>
      <c r="L19" s="159">
        <f>ROUND(+(D19+D21)/2*(C21-C19),3)</f>
        <v>4.2999999999999997E-2</v>
      </c>
      <c r="M19" s="162">
        <f t="shared" ref="M19" si="2">ROUND(+K19*L19,4)</f>
        <v>1.15E-2</v>
      </c>
      <c r="N19" s="165">
        <f>ROUND(+M19/$M$74*100,1)</f>
        <v>3.1</v>
      </c>
      <c r="O19" s="168"/>
      <c r="P19" s="171"/>
    </row>
    <row r="20" spans="1:16" s="3" customFormat="1" ht="14.1" customHeight="1" x14ac:dyDescent="0.2">
      <c r="A20" s="11"/>
      <c r="B20" s="175"/>
      <c r="C20" s="178"/>
      <c r="D20" s="160"/>
      <c r="E20" s="160"/>
      <c r="F20" s="41" t="s">
        <v>72</v>
      </c>
      <c r="G20" s="178">
        <f t="shared" ref="G20" si="3">IF(E19&lt;0.12,0.6*E19,IF(E19&gt;=0.12,0.6*E19))</f>
        <v>0.13500000000000001</v>
      </c>
      <c r="H20" s="178"/>
      <c r="I20" s="169">
        <v>0.27200000000000002</v>
      </c>
      <c r="J20" s="169"/>
      <c r="K20" s="160"/>
      <c r="L20" s="160"/>
      <c r="M20" s="163"/>
      <c r="N20" s="166"/>
      <c r="O20" s="169"/>
      <c r="P20" s="172"/>
    </row>
    <row r="21" spans="1:16" s="3" customFormat="1" ht="13.9" customHeight="1" thickBot="1" x14ac:dyDescent="0.25">
      <c r="A21" s="11"/>
      <c r="B21" s="176"/>
      <c r="C21" s="42">
        <f>+C19+$P$8</f>
        <v>1.48</v>
      </c>
      <c r="D21" s="43">
        <v>0.26500000000000001</v>
      </c>
      <c r="E21" s="161"/>
      <c r="F21" s="44" t="s">
        <v>73</v>
      </c>
      <c r="G21" s="179">
        <f t="shared" ref="G21" si="4">IF(E19&lt;0.12,"NA",IF(E19&gt;=0.12,0.8*E19))</f>
        <v>0.18000000000000002</v>
      </c>
      <c r="H21" s="179"/>
      <c r="I21" s="170">
        <v>0.224</v>
      </c>
      <c r="J21" s="170"/>
      <c r="K21" s="161"/>
      <c r="L21" s="161"/>
      <c r="M21" s="164"/>
      <c r="N21" s="167"/>
      <c r="O21" s="170"/>
      <c r="P21" s="173"/>
    </row>
    <row r="22" spans="1:16" s="3" customFormat="1" ht="14.1" customHeight="1" x14ac:dyDescent="0.2">
      <c r="A22" s="11"/>
      <c r="B22" s="174">
        <v>3</v>
      </c>
      <c r="C22" s="177">
        <f>+C21</f>
        <v>1.48</v>
      </c>
      <c r="D22" s="159">
        <f t="shared" ref="D22" si="5">+D21</f>
        <v>0.26500000000000001</v>
      </c>
      <c r="E22" s="159">
        <v>0.3</v>
      </c>
      <c r="F22" s="40" t="s">
        <v>71</v>
      </c>
      <c r="G22" s="168">
        <f t="shared" ref="G22" si="6">IF(E22&lt;0.12,"NA",IF(E22&gt;=0.12,0.2*E22))</f>
        <v>0.06</v>
      </c>
      <c r="H22" s="168"/>
      <c r="I22" s="168">
        <v>0.32400000000000001</v>
      </c>
      <c r="J22" s="168"/>
      <c r="K22" s="159">
        <f t="shared" ref="K22" si="7">ROUND(+IF(E22&lt;0.12,(I23),(IF(E22&gt;=0.12,((I22+2*I23+I24)/4)))),3)</f>
        <v>0.27800000000000002</v>
      </c>
      <c r="L22" s="159">
        <f>ROUND(+(D22+D24)/2*(C24-C22),3)</f>
        <v>5.6000000000000001E-2</v>
      </c>
      <c r="M22" s="162">
        <f t="shared" ref="M22" si="8">ROUND(+K22*L22,4)</f>
        <v>1.5599999999999999E-2</v>
      </c>
      <c r="N22" s="165">
        <f t="shared" ref="N22" si="9">ROUND(+M22/$M$74*100,1)</f>
        <v>4.2</v>
      </c>
      <c r="O22" s="168"/>
      <c r="P22" s="171"/>
    </row>
    <row r="23" spans="1:16" s="3" customFormat="1" ht="14.1" customHeight="1" x14ac:dyDescent="0.2">
      <c r="A23" s="11"/>
      <c r="B23" s="175"/>
      <c r="C23" s="178"/>
      <c r="D23" s="160"/>
      <c r="E23" s="160"/>
      <c r="F23" s="41" t="s">
        <v>72</v>
      </c>
      <c r="G23" s="178">
        <f t="shared" ref="G23" si="10">IF(E22&lt;0.12,0.6*E22,IF(E22&gt;=0.12,0.6*E22))</f>
        <v>0.18</v>
      </c>
      <c r="H23" s="178"/>
      <c r="I23" s="169">
        <v>0.27200000000000002</v>
      </c>
      <c r="J23" s="169"/>
      <c r="K23" s="160"/>
      <c r="L23" s="160"/>
      <c r="M23" s="163"/>
      <c r="N23" s="166"/>
      <c r="O23" s="169"/>
      <c r="P23" s="172"/>
    </row>
    <row r="24" spans="1:16" s="3" customFormat="1" ht="13.9" customHeight="1" thickBot="1" x14ac:dyDescent="0.25">
      <c r="A24" s="11"/>
      <c r="B24" s="176"/>
      <c r="C24" s="42">
        <f>+C22+$P$8</f>
        <v>1.68</v>
      </c>
      <c r="D24" s="43">
        <v>0.28999999999999998</v>
      </c>
      <c r="E24" s="161"/>
      <c r="F24" s="44" t="s">
        <v>73</v>
      </c>
      <c r="G24" s="179">
        <f t="shared" ref="G24" si="11">IF(E22&lt;0.12,"NA",IF(E22&gt;=0.12,0.8*E22))</f>
        <v>0.24</v>
      </c>
      <c r="H24" s="179"/>
      <c r="I24" s="170">
        <v>0.24299999999999999</v>
      </c>
      <c r="J24" s="170"/>
      <c r="K24" s="161"/>
      <c r="L24" s="161"/>
      <c r="M24" s="164"/>
      <c r="N24" s="167"/>
      <c r="O24" s="170"/>
      <c r="P24" s="173"/>
    </row>
    <row r="25" spans="1:16" s="3" customFormat="1" ht="14.1" customHeight="1" x14ac:dyDescent="0.2">
      <c r="A25" s="11"/>
      <c r="B25" s="174">
        <v>4</v>
      </c>
      <c r="C25" s="177">
        <f>+C24</f>
        <v>1.68</v>
      </c>
      <c r="D25" s="159">
        <f t="shared" ref="D25" si="12">+D24</f>
        <v>0.28999999999999998</v>
      </c>
      <c r="E25" s="159">
        <v>0.28000000000000003</v>
      </c>
      <c r="F25" s="40" t="s">
        <v>71</v>
      </c>
      <c r="G25" s="168">
        <f t="shared" ref="G25" si="13">IF(E25&lt;0.12,"NA",IF(E25&gt;=0.12,0.2*E25))</f>
        <v>5.6000000000000008E-2</v>
      </c>
      <c r="H25" s="168"/>
      <c r="I25" s="168">
        <v>0.59799999999999998</v>
      </c>
      <c r="J25" s="168"/>
      <c r="K25" s="159">
        <f t="shared" ref="K25" si="14">ROUND(+IF(E25&lt;0.12,(I26),(IF(E25&gt;=0.12,((I25+2*I26+I27)/4)))),3)</f>
        <v>0.39400000000000002</v>
      </c>
      <c r="L25" s="159">
        <f>ROUND(+(D25+D27)/2*(C27-C25),3)</f>
        <v>5.8000000000000003E-2</v>
      </c>
      <c r="M25" s="162">
        <f t="shared" ref="M25" si="15">ROUND(+K25*L25,4)</f>
        <v>2.29E-2</v>
      </c>
      <c r="N25" s="165">
        <f t="shared" ref="N25" si="16">ROUND(+M25/$M$74*100,1)</f>
        <v>6.1</v>
      </c>
      <c r="O25" s="168"/>
      <c r="P25" s="171"/>
    </row>
    <row r="26" spans="1:16" s="3" customFormat="1" ht="14.1" customHeight="1" x14ac:dyDescent="0.2">
      <c r="A26" s="11"/>
      <c r="B26" s="175"/>
      <c r="C26" s="178"/>
      <c r="D26" s="160"/>
      <c r="E26" s="160"/>
      <c r="F26" s="41" t="s">
        <v>72</v>
      </c>
      <c r="G26" s="178">
        <f t="shared" ref="G26" si="17">IF(E25&lt;0.12,0.6*E25,IF(E25&gt;=0.12,0.6*E25))</f>
        <v>0.16800000000000001</v>
      </c>
      <c r="H26" s="178"/>
      <c r="I26" s="169">
        <v>0.34899999999999998</v>
      </c>
      <c r="J26" s="169"/>
      <c r="K26" s="160"/>
      <c r="L26" s="160"/>
      <c r="M26" s="163"/>
      <c r="N26" s="166"/>
      <c r="O26" s="169"/>
      <c r="P26" s="172"/>
    </row>
    <row r="27" spans="1:16" s="3" customFormat="1" ht="13.9" customHeight="1" thickBot="1" x14ac:dyDescent="0.25">
      <c r="A27" s="11"/>
      <c r="B27" s="176"/>
      <c r="C27" s="42">
        <f>+C25+$P$8</f>
        <v>1.88</v>
      </c>
      <c r="D27" s="43">
        <v>0.28499999999999998</v>
      </c>
      <c r="E27" s="161"/>
      <c r="F27" s="44" t="s">
        <v>73</v>
      </c>
      <c r="G27" s="179">
        <f t="shared" ref="G27" si="18">IF(E25&lt;0.12,"NA",IF(E25&gt;=0.12,0.8*E25))</f>
        <v>0.22400000000000003</v>
      </c>
      <c r="H27" s="179"/>
      <c r="I27" s="170">
        <v>0.27800000000000002</v>
      </c>
      <c r="J27" s="170"/>
      <c r="K27" s="161"/>
      <c r="L27" s="161"/>
      <c r="M27" s="164"/>
      <c r="N27" s="167"/>
      <c r="O27" s="170"/>
      <c r="P27" s="173"/>
    </row>
    <row r="28" spans="1:16" s="3" customFormat="1" ht="14.1" customHeight="1" x14ac:dyDescent="0.2">
      <c r="A28" s="11"/>
      <c r="B28" s="174">
        <v>5</v>
      </c>
      <c r="C28" s="177">
        <f>+C27</f>
        <v>1.88</v>
      </c>
      <c r="D28" s="159">
        <f t="shared" ref="D28" si="19">+D27</f>
        <v>0.28499999999999998</v>
      </c>
      <c r="E28" s="159">
        <v>0.3</v>
      </c>
      <c r="F28" s="40" t="s">
        <v>71</v>
      </c>
      <c r="G28" s="168">
        <f t="shared" ref="G28" si="20">IF(E28&lt;0.12,"NA",IF(E28&gt;=0.12,0.2*E28))</f>
        <v>0.06</v>
      </c>
      <c r="H28" s="168"/>
      <c r="I28" s="168">
        <v>0.59299999999999997</v>
      </c>
      <c r="J28" s="168"/>
      <c r="K28" s="159">
        <f t="shared" ref="K28" si="21">ROUND(+IF(E28&lt;0.12,(I29),(IF(E28&gt;=0.12,((I28+2*I29+I30)/4)))),3)</f>
        <v>0.52100000000000002</v>
      </c>
      <c r="L28" s="159">
        <f>ROUND(+(D28+D30)/2*(C30-C28),3)</f>
        <v>5.7000000000000002E-2</v>
      </c>
      <c r="M28" s="162">
        <f t="shared" ref="M28" si="22">ROUND(+K28*L28,4)</f>
        <v>2.9700000000000001E-2</v>
      </c>
      <c r="N28" s="165">
        <f t="shared" ref="N28" si="23">ROUND(+M28/$M$74*100,1)</f>
        <v>7.9</v>
      </c>
      <c r="O28" s="168"/>
      <c r="P28" s="171"/>
    </row>
    <row r="29" spans="1:16" s="3" customFormat="1" ht="14.1" customHeight="1" x14ac:dyDescent="0.2">
      <c r="A29" s="11"/>
      <c r="B29" s="175"/>
      <c r="C29" s="178"/>
      <c r="D29" s="160"/>
      <c r="E29" s="160"/>
      <c r="F29" s="41" t="s">
        <v>72</v>
      </c>
      <c r="G29" s="178">
        <f t="shared" ref="G29" si="24">IF(E28&lt;0.12,0.6*E28,IF(E28&gt;=0.12,0.6*E28))</f>
        <v>0.18</v>
      </c>
      <c r="H29" s="178"/>
      <c r="I29" s="169">
        <v>0.52800000000000002</v>
      </c>
      <c r="J29" s="169"/>
      <c r="K29" s="160"/>
      <c r="L29" s="160"/>
      <c r="M29" s="163"/>
      <c r="N29" s="166"/>
      <c r="O29" s="169"/>
      <c r="P29" s="172"/>
    </row>
    <row r="30" spans="1:16" s="3" customFormat="1" ht="13.9" customHeight="1" thickBot="1" x14ac:dyDescent="0.25">
      <c r="A30" s="11"/>
      <c r="B30" s="176"/>
      <c r="C30" s="42">
        <f>+C28+$P$8</f>
        <v>2.08</v>
      </c>
      <c r="D30" s="43">
        <v>0.28499999999999998</v>
      </c>
      <c r="E30" s="161"/>
      <c r="F30" s="44" t="s">
        <v>73</v>
      </c>
      <c r="G30" s="179">
        <f t="shared" ref="G30" si="25">IF(E28&lt;0.12,"NA",IF(E28&gt;=0.12,0.8*E28))</f>
        <v>0.24</v>
      </c>
      <c r="H30" s="179"/>
      <c r="I30" s="170">
        <v>0.435</v>
      </c>
      <c r="J30" s="170"/>
      <c r="K30" s="161"/>
      <c r="L30" s="161"/>
      <c r="M30" s="164"/>
      <c r="N30" s="167"/>
      <c r="O30" s="170"/>
      <c r="P30" s="173"/>
    </row>
    <row r="31" spans="1:16" s="3" customFormat="1" ht="14.1" customHeight="1" x14ac:dyDescent="0.2">
      <c r="A31" s="11"/>
      <c r="B31" s="174">
        <v>6</v>
      </c>
      <c r="C31" s="177">
        <f>+C30</f>
        <v>2.08</v>
      </c>
      <c r="D31" s="159">
        <f t="shared" ref="D31" si="26">+D30</f>
        <v>0.28499999999999998</v>
      </c>
      <c r="E31" s="180">
        <v>0.375</v>
      </c>
      <c r="F31" s="40" t="s">
        <v>71</v>
      </c>
      <c r="G31" s="168">
        <f t="shared" ref="G31" si="27">IF(E31&lt;0.12,"NA",IF(E31&gt;=0.12,0.2*E31))</f>
        <v>7.5000000000000011E-2</v>
      </c>
      <c r="H31" s="168"/>
      <c r="I31" s="184">
        <v>0.60599999999999998</v>
      </c>
      <c r="J31" s="185"/>
      <c r="K31" s="159">
        <f t="shared" ref="K31" si="28">ROUND(+IF(E31&lt;0.12,(I32),(IF(E31&gt;=0.12,((I31+2*I32+I33)/4)))),3)</f>
        <v>0.54300000000000004</v>
      </c>
      <c r="L31" s="159">
        <f>ROUND(+(D31+D33)/2*(C33-C31),3)</f>
        <v>6.8000000000000005E-2</v>
      </c>
      <c r="M31" s="162">
        <f t="shared" ref="M31" si="29">ROUND(+K31*L31,4)</f>
        <v>3.6900000000000002E-2</v>
      </c>
      <c r="N31" s="165">
        <f t="shared" ref="N31" si="30">ROUND(+M31/$M$74*100,1)</f>
        <v>9.8000000000000007</v>
      </c>
      <c r="O31" s="168"/>
      <c r="P31" s="171"/>
    </row>
    <row r="32" spans="1:16" s="3" customFormat="1" ht="14.1" customHeight="1" x14ac:dyDescent="0.2">
      <c r="A32" s="11"/>
      <c r="B32" s="175"/>
      <c r="C32" s="178"/>
      <c r="D32" s="160"/>
      <c r="E32" s="182"/>
      <c r="F32" s="41" t="s">
        <v>72</v>
      </c>
      <c r="G32" s="178">
        <f t="shared" ref="G32" si="31">IF(E31&lt;0.12,0.6*E31,IF(E31&gt;=0.12,0.6*E31))</f>
        <v>0.22499999999999998</v>
      </c>
      <c r="H32" s="178"/>
      <c r="I32" s="186">
        <v>0.58899999999999997</v>
      </c>
      <c r="J32" s="187"/>
      <c r="K32" s="160"/>
      <c r="L32" s="160"/>
      <c r="M32" s="163"/>
      <c r="N32" s="166"/>
      <c r="O32" s="169"/>
      <c r="P32" s="172"/>
    </row>
    <row r="33" spans="1:16" s="3" customFormat="1" ht="13.9" customHeight="1" thickBot="1" x14ac:dyDescent="0.25">
      <c r="A33" s="11"/>
      <c r="B33" s="176"/>
      <c r="C33" s="42">
        <f>+C31+$P$8</f>
        <v>2.2800000000000002</v>
      </c>
      <c r="D33" s="43">
        <v>0.39</v>
      </c>
      <c r="E33" s="183"/>
      <c r="F33" s="44" t="s">
        <v>73</v>
      </c>
      <c r="G33" s="179">
        <f t="shared" ref="G33" si="32">IF(E31&lt;0.12,"NA",IF(E31&gt;=0.12,0.8*E31))</f>
        <v>0.30000000000000004</v>
      </c>
      <c r="H33" s="179"/>
      <c r="I33" s="188">
        <v>0.38800000000000001</v>
      </c>
      <c r="J33" s="189"/>
      <c r="K33" s="161"/>
      <c r="L33" s="161"/>
      <c r="M33" s="164"/>
      <c r="N33" s="167"/>
      <c r="O33" s="170"/>
      <c r="P33" s="173"/>
    </row>
    <row r="34" spans="1:16" s="3" customFormat="1" ht="14.1" customHeight="1" x14ac:dyDescent="0.2">
      <c r="A34" s="11"/>
      <c r="B34" s="174">
        <v>7</v>
      </c>
      <c r="C34" s="177">
        <f>+C33</f>
        <v>2.2800000000000002</v>
      </c>
      <c r="D34" s="159">
        <f t="shared" ref="D34" si="33">+D33</f>
        <v>0.39</v>
      </c>
      <c r="E34" s="159">
        <v>0.42499999999999999</v>
      </c>
      <c r="F34" s="40" t="s">
        <v>71</v>
      </c>
      <c r="G34" s="168">
        <f t="shared" ref="G34" si="34">IF(E34&lt;0.12,"NA",IF(E34&gt;=0.12,0.2*E34))</f>
        <v>8.5000000000000006E-2</v>
      </c>
      <c r="H34" s="168"/>
      <c r="I34" s="168">
        <v>0.875</v>
      </c>
      <c r="J34" s="168"/>
      <c r="K34" s="159">
        <f t="shared" ref="K34" si="35">ROUND(+IF(E34&lt;0.12,(I35),(IF(E34&gt;=0.12,((I34+2*I35+I36)/4)))),3)</f>
        <v>0.68700000000000006</v>
      </c>
      <c r="L34" s="159">
        <f>ROUND(+(D34+D36)/2*(C36-C34),3)</f>
        <v>7.6999999999999999E-2</v>
      </c>
      <c r="M34" s="162">
        <f t="shared" ref="M34" si="36">ROUND(+K34*L34,4)</f>
        <v>5.2900000000000003E-2</v>
      </c>
      <c r="N34" s="165">
        <f t="shared" ref="N34" si="37">ROUND(+M34/$M$74*100,1)</f>
        <v>14.1</v>
      </c>
      <c r="O34" s="168"/>
      <c r="P34" s="171"/>
    </row>
    <row r="35" spans="1:16" s="3" customFormat="1" ht="14.1" customHeight="1" x14ac:dyDescent="0.2">
      <c r="A35" s="11"/>
      <c r="B35" s="175"/>
      <c r="C35" s="178"/>
      <c r="D35" s="160"/>
      <c r="E35" s="160"/>
      <c r="F35" s="41" t="s">
        <v>72</v>
      </c>
      <c r="G35" s="178">
        <f t="shared" ref="G35" si="38">IF(E34&lt;0.12,0.6*E34,IF(E34&gt;=0.12,0.6*E34))</f>
        <v>0.255</v>
      </c>
      <c r="H35" s="178"/>
      <c r="I35" s="169">
        <v>0.64600000000000002</v>
      </c>
      <c r="J35" s="169"/>
      <c r="K35" s="160"/>
      <c r="L35" s="160"/>
      <c r="M35" s="163"/>
      <c r="N35" s="166"/>
      <c r="O35" s="169"/>
      <c r="P35" s="172"/>
    </row>
    <row r="36" spans="1:16" s="3" customFormat="1" ht="13.9" customHeight="1" thickBot="1" x14ac:dyDescent="0.25">
      <c r="A36" s="11"/>
      <c r="B36" s="176"/>
      <c r="C36" s="42">
        <f>+C34+$P$8</f>
        <v>2.4800000000000004</v>
      </c>
      <c r="D36" s="43">
        <v>0.375</v>
      </c>
      <c r="E36" s="161"/>
      <c r="F36" s="44" t="s">
        <v>73</v>
      </c>
      <c r="G36" s="179">
        <f t="shared" ref="G36" si="39">IF(E34&lt;0.12,"NA",IF(E34&gt;=0.12,0.8*E34))</f>
        <v>0.34</v>
      </c>
      <c r="H36" s="179"/>
      <c r="I36" s="170">
        <v>0.58099999999999996</v>
      </c>
      <c r="J36" s="170"/>
      <c r="K36" s="161"/>
      <c r="L36" s="161"/>
      <c r="M36" s="164"/>
      <c r="N36" s="167"/>
      <c r="O36" s="170"/>
      <c r="P36" s="173"/>
    </row>
    <row r="37" spans="1:16" s="3" customFormat="1" ht="14.1" customHeight="1" x14ac:dyDescent="0.2">
      <c r="A37" s="11"/>
      <c r="B37" s="174">
        <v>8</v>
      </c>
      <c r="C37" s="177">
        <f t="shared" ref="C37:D37" si="40">+C36</f>
        <v>2.4800000000000004</v>
      </c>
      <c r="D37" s="159">
        <f t="shared" si="40"/>
        <v>0.375</v>
      </c>
      <c r="E37" s="159">
        <v>0.45</v>
      </c>
      <c r="F37" s="40" t="s">
        <v>71</v>
      </c>
      <c r="G37" s="168">
        <f t="shared" ref="G37" si="41">IF(E37&lt;0.12,"NA",IF(E37&gt;=0.12,0.2*E37))</f>
        <v>9.0000000000000011E-2</v>
      </c>
      <c r="H37" s="168"/>
      <c r="I37" s="168"/>
      <c r="J37" s="168"/>
      <c r="K37" s="159"/>
      <c r="L37" s="159"/>
      <c r="M37" s="162"/>
      <c r="N37" s="165"/>
      <c r="O37" s="168"/>
      <c r="P37" s="171"/>
    </row>
    <row r="38" spans="1:16" s="3" customFormat="1" ht="14.1" customHeight="1" x14ac:dyDescent="0.2">
      <c r="A38" s="11"/>
      <c r="B38" s="175"/>
      <c r="C38" s="178"/>
      <c r="D38" s="160"/>
      <c r="E38" s="160"/>
      <c r="F38" s="41" t="s">
        <v>72</v>
      </c>
      <c r="G38" s="178">
        <f t="shared" ref="G38" si="42">IF(E37&lt;0.12,0.6*E37,IF(E37&gt;=0.12,0.6*E37))</f>
        <v>0.27</v>
      </c>
      <c r="H38" s="178"/>
      <c r="I38" s="160"/>
      <c r="J38" s="160"/>
      <c r="K38" s="160"/>
      <c r="L38" s="160"/>
      <c r="M38" s="163"/>
      <c r="N38" s="166"/>
      <c r="O38" s="169"/>
      <c r="P38" s="172"/>
    </row>
    <row r="39" spans="1:16" s="3" customFormat="1" ht="13.9" customHeight="1" thickBot="1" x14ac:dyDescent="0.25">
      <c r="A39" s="11"/>
      <c r="B39" s="176"/>
      <c r="C39" s="42">
        <f>+C37+$P$8</f>
        <v>2.6800000000000006</v>
      </c>
      <c r="D39" s="43">
        <v>0.43</v>
      </c>
      <c r="E39" s="161"/>
      <c r="F39" s="44" t="s">
        <v>73</v>
      </c>
      <c r="G39" s="179">
        <f t="shared" ref="G39" si="43">IF(E37&lt;0.12,"NA",IF(E37&gt;=0.12,0.8*E37))</f>
        <v>0.36000000000000004</v>
      </c>
      <c r="H39" s="179"/>
      <c r="I39" s="170"/>
      <c r="J39" s="170"/>
      <c r="K39" s="161"/>
      <c r="L39" s="161"/>
      <c r="M39" s="164"/>
      <c r="N39" s="167"/>
      <c r="O39" s="170"/>
      <c r="P39" s="173"/>
    </row>
    <row r="40" spans="1:16" s="3" customFormat="1" ht="14.1" customHeight="1" x14ac:dyDescent="0.2">
      <c r="A40" s="11"/>
      <c r="B40" s="174">
        <v>9</v>
      </c>
      <c r="C40" s="177">
        <f t="shared" ref="C40:D40" si="44">+C39</f>
        <v>2.6800000000000006</v>
      </c>
      <c r="D40" s="159">
        <f t="shared" si="44"/>
        <v>0.43</v>
      </c>
      <c r="E40" s="159">
        <v>0.42</v>
      </c>
      <c r="F40" s="40" t="s">
        <v>71</v>
      </c>
      <c r="G40" s="168">
        <f t="shared" ref="G40" si="45">IF(E40&lt;0.12,"NA",IF(E40&gt;=0.12,0.2*E40))</f>
        <v>8.4000000000000005E-2</v>
      </c>
      <c r="H40" s="168"/>
      <c r="I40" s="168">
        <v>1.075</v>
      </c>
      <c r="J40" s="168"/>
      <c r="K40" s="159">
        <f>ROUND(+IF(E40&lt;0.12,(I41),(IF(E40&gt;=0.12,((I40+2*I41+I42)/4)))),3)</f>
        <v>0.83399999999999996</v>
      </c>
      <c r="L40" s="159">
        <f>ROUND(+(D40+D42)/2*(C42-C40),3)</f>
        <v>8.4000000000000005E-2</v>
      </c>
      <c r="M40" s="162">
        <f t="shared" ref="M40" si="46">ROUND(+K40*L40,4)</f>
        <v>7.0099999999999996E-2</v>
      </c>
      <c r="N40" s="165">
        <f>ROUND(+M40/$M$74*100,1)</f>
        <v>18.7</v>
      </c>
      <c r="O40" s="168"/>
      <c r="P40" s="171"/>
    </row>
    <row r="41" spans="1:16" s="3" customFormat="1" ht="14.1" customHeight="1" x14ac:dyDescent="0.2">
      <c r="A41" s="11"/>
      <c r="B41" s="175"/>
      <c r="C41" s="178"/>
      <c r="D41" s="160"/>
      <c r="E41" s="160"/>
      <c r="F41" s="41" t="s">
        <v>72</v>
      </c>
      <c r="G41" s="178">
        <f t="shared" ref="G41" si="47">IF(E40&lt;0.12,0.6*E40,IF(E40&gt;=0.12,0.6*E40))</f>
        <v>0.252</v>
      </c>
      <c r="H41" s="178"/>
      <c r="I41" s="160">
        <v>0.875</v>
      </c>
      <c r="J41" s="160"/>
      <c r="K41" s="160"/>
      <c r="L41" s="160"/>
      <c r="M41" s="163"/>
      <c r="N41" s="166"/>
      <c r="O41" s="169"/>
      <c r="P41" s="172"/>
    </row>
    <row r="42" spans="1:16" s="3" customFormat="1" ht="13.9" customHeight="1" thickBot="1" x14ac:dyDescent="0.25">
      <c r="A42" s="11"/>
      <c r="B42" s="176"/>
      <c r="C42" s="42">
        <f>+C40+$P$8</f>
        <v>2.8800000000000008</v>
      </c>
      <c r="D42" s="43">
        <v>0.41</v>
      </c>
      <c r="E42" s="161"/>
      <c r="F42" s="44" t="s">
        <v>73</v>
      </c>
      <c r="G42" s="179">
        <f t="shared" ref="G42" si="48">IF(E40&lt;0.12,"NA",IF(E40&gt;=0.12,0.8*E40))</f>
        <v>0.33600000000000002</v>
      </c>
      <c r="H42" s="179"/>
      <c r="I42" s="170">
        <v>0.51</v>
      </c>
      <c r="J42" s="170"/>
      <c r="K42" s="161"/>
      <c r="L42" s="161"/>
      <c r="M42" s="164"/>
      <c r="N42" s="167"/>
      <c r="O42" s="170"/>
      <c r="P42" s="173"/>
    </row>
    <row r="43" spans="1:16" s="3" customFormat="1" ht="14.1" customHeight="1" x14ac:dyDescent="0.2">
      <c r="A43" s="11"/>
      <c r="B43" s="174">
        <v>10</v>
      </c>
      <c r="C43" s="177">
        <f t="shared" ref="C43:D43" si="49">+C42</f>
        <v>2.8800000000000008</v>
      </c>
      <c r="D43" s="159">
        <f t="shared" si="49"/>
        <v>0.41</v>
      </c>
      <c r="E43" s="159">
        <v>0.4</v>
      </c>
      <c r="F43" s="40" t="s">
        <v>71</v>
      </c>
      <c r="G43" s="168">
        <f t="shared" ref="G43" si="50">IF(E43&lt;0.12,"NA",IF(E43&gt;=0.12,0.2*E43))</f>
        <v>8.0000000000000016E-2</v>
      </c>
      <c r="H43" s="168"/>
      <c r="I43" s="168">
        <v>0.40500000000000003</v>
      </c>
      <c r="J43" s="168"/>
      <c r="K43" s="159">
        <f t="shared" ref="K43" si="51">ROUND(+IF(E43&lt;0.12,(I44),(IF(E43&gt;=0.12,((I43+2*I44+I45)/4)))),3)</f>
        <v>0.35699999999999998</v>
      </c>
      <c r="L43" s="159">
        <f>ROUND(+(D43+D45)/2*(C45-C43),3)</f>
        <v>7.1999999999999995E-2</v>
      </c>
      <c r="M43" s="162">
        <f t="shared" ref="M43" si="52">ROUND(+K43*L43,4)</f>
        <v>2.5700000000000001E-2</v>
      </c>
      <c r="N43" s="165">
        <f t="shared" ref="N43" si="53">ROUND(+M43/$M$74*100,1)</f>
        <v>6.8</v>
      </c>
      <c r="O43" s="168"/>
      <c r="P43" s="171"/>
    </row>
    <row r="44" spans="1:16" s="3" customFormat="1" ht="14.1" customHeight="1" x14ac:dyDescent="0.2">
      <c r="A44" s="11"/>
      <c r="B44" s="175"/>
      <c r="C44" s="178"/>
      <c r="D44" s="160"/>
      <c r="E44" s="160"/>
      <c r="F44" s="41" t="s">
        <v>72</v>
      </c>
      <c r="G44" s="178">
        <f t="shared" ref="G44" si="54">IF(E43&lt;0.12,0.6*E43,IF(E43&gt;=0.12,0.6*E43))</f>
        <v>0.24</v>
      </c>
      <c r="H44" s="178"/>
      <c r="I44" s="160">
        <v>0.36299999999999999</v>
      </c>
      <c r="J44" s="160"/>
      <c r="K44" s="160"/>
      <c r="L44" s="160"/>
      <c r="M44" s="163"/>
      <c r="N44" s="166"/>
      <c r="O44" s="169"/>
      <c r="P44" s="172"/>
    </row>
    <row r="45" spans="1:16" s="3" customFormat="1" ht="13.9" customHeight="1" thickBot="1" x14ac:dyDescent="0.25">
      <c r="A45" s="11"/>
      <c r="B45" s="251"/>
      <c r="C45" s="42">
        <f>+C43+$P$8</f>
        <v>3.080000000000001</v>
      </c>
      <c r="D45" s="43">
        <v>0.31</v>
      </c>
      <c r="E45" s="252"/>
      <c r="F45" s="50" t="s">
        <v>73</v>
      </c>
      <c r="G45" s="179">
        <f t="shared" ref="G45" si="55">IF(E43&lt;0.12,"NA",IF(E43&gt;=0.12,0.8*E43))</f>
        <v>0.32000000000000006</v>
      </c>
      <c r="H45" s="179"/>
      <c r="I45" s="170">
        <v>0.29799999999999999</v>
      </c>
      <c r="J45" s="170"/>
      <c r="K45" s="161"/>
      <c r="L45" s="161"/>
      <c r="M45" s="164"/>
      <c r="N45" s="167"/>
      <c r="O45" s="249"/>
      <c r="P45" s="250"/>
    </row>
    <row r="46" spans="1:16" s="3" customFormat="1" ht="14.1" customHeight="1" x14ac:dyDescent="0.2">
      <c r="A46" s="11"/>
      <c r="B46" s="174">
        <v>11</v>
      </c>
      <c r="C46" s="177">
        <f t="shared" ref="C46:D46" si="56">+C45</f>
        <v>3.080000000000001</v>
      </c>
      <c r="D46" s="159">
        <f t="shared" si="56"/>
        <v>0.31</v>
      </c>
      <c r="E46" s="159">
        <v>0.29399999999999998</v>
      </c>
      <c r="F46" s="40" t="s">
        <v>71</v>
      </c>
      <c r="G46" s="168">
        <f t="shared" ref="G46" si="57">IF(E46&lt;0.12,"NA",IF(E46&gt;=0.12,0.2*E46))</f>
        <v>5.8799999999999998E-2</v>
      </c>
      <c r="H46" s="168"/>
      <c r="I46" s="168">
        <v>0.247</v>
      </c>
      <c r="J46" s="168"/>
      <c r="K46" s="159">
        <f t="shared" ref="K46" si="58">ROUND(+IF(E46&lt;0.12,(I47),(IF(E46&gt;=0.12,((I46+2*I47+I48)/4)))),3)</f>
        <v>0.17599999999999999</v>
      </c>
      <c r="L46" s="159">
        <f>ROUND(+(D46+D48)/2*(C48-C46),3)</f>
        <v>6.2E-2</v>
      </c>
      <c r="M46" s="162">
        <f t="shared" ref="M46" si="59">ROUND(+K46*L46,4)</f>
        <v>1.09E-2</v>
      </c>
      <c r="N46" s="165">
        <f t="shared" ref="N46" si="60">ROUND(+M46/$M$74*100,1)</f>
        <v>2.9</v>
      </c>
      <c r="O46" s="168"/>
      <c r="P46" s="171"/>
    </row>
    <row r="47" spans="1:16" s="3" customFormat="1" ht="14.1" customHeight="1" x14ac:dyDescent="0.2">
      <c r="A47" s="11"/>
      <c r="B47" s="175"/>
      <c r="C47" s="178"/>
      <c r="D47" s="160"/>
      <c r="E47" s="160"/>
      <c r="F47" s="41" t="s">
        <v>72</v>
      </c>
      <c r="G47" s="178">
        <f t="shared" ref="G47" si="61">IF(E46&lt;0.12,0.6*E46,IF(E46&gt;=0.12,0.6*E46))</f>
        <v>0.17639999999999997</v>
      </c>
      <c r="H47" s="178"/>
      <c r="I47" s="160">
        <v>0.17199999999999999</v>
      </c>
      <c r="J47" s="160"/>
      <c r="K47" s="160"/>
      <c r="L47" s="160"/>
      <c r="M47" s="163"/>
      <c r="N47" s="166"/>
      <c r="O47" s="169"/>
      <c r="P47" s="172"/>
    </row>
    <row r="48" spans="1:16" s="3" customFormat="1" ht="13.9" customHeight="1" thickBot="1" x14ac:dyDescent="0.25">
      <c r="A48" s="11"/>
      <c r="B48" s="176"/>
      <c r="C48" s="42">
        <f>+C46+$P$8</f>
        <v>3.2800000000000011</v>
      </c>
      <c r="D48" s="43">
        <v>0.30499999999999999</v>
      </c>
      <c r="E48" s="161"/>
      <c r="F48" s="44" t="s">
        <v>73</v>
      </c>
      <c r="G48" s="179">
        <f t="shared" ref="G48" si="62">IF(E46&lt;0.12,"NA",IF(E46&gt;=0.12,0.8*E46))</f>
        <v>0.23519999999999999</v>
      </c>
      <c r="H48" s="179"/>
      <c r="I48" s="170">
        <v>0.113</v>
      </c>
      <c r="J48" s="170"/>
      <c r="K48" s="161"/>
      <c r="L48" s="161"/>
      <c r="M48" s="164"/>
      <c r="N48" s="167"/>
      <c r="O48" s="170"/>
      <c r="P48" s="173"/>
    </row>
    <row r="49" spans="1:16" s="3" customFormat="1" ht="14.1" customHeight="1" x14ac:dyDescent="0.2">
      <c r="A49" s="11"/>
      <c r="B49" s="174">
        <v>12</v>
      </c>
      <c r="C49" s="177">
        <f t="shared" ref="C49:D49" si="63">+C48</f>
        <v>3.2800000000000011</v>
      </c>
      <c r="D49" s="159">
        <f t="shared" si="63"/>
        <v>0.30499999999999999</v>
      </c>
      <c r="E49" s="159">
        <v>0.28299999999999997</v>
      </c>
      <c r="F49" s="40" t="s">
        <v>71</v>
      </c>
      <c r="G49" s="168">
        <f t="shared" ref="G49" si="64">IF(E49&lt;0.12,"NA",IF(E49&gt;=0.12,0.2*E49))</f>
        <v>5.6599999999999998E-2</v>
      </c>
      <c r="H49" s="168"/>
      <c r="I49" s="168">
        <v>0.121</v>
      </c>
      <c r="J49" s="168"/>
      <c r="K49" s="159">
        <f t="shared" ref="K49" si="65">ROUND(+IF(E49&lt;0.12,(I50),(IF(E49&gt;=0.12,((I49+2*I50+I51)/4)))),3)</f>
        <v>0.09</v>
      </c>
      <c r="L49" s="159">
        <f t="shared" ref="L49" si="66">ROUND(+(D49+D51)/2*(C51-C49),3)</f>
        <v>5.8999999999999997E-2</v>
      </c>
      <c r="M49" s="162">
        <f t="shared" ref="M49" si="67">ROUND(+K49*L49,4)</f>
        <v>5.3E-3</v>
      </c>
      <c r="N49" s="165">
        <f t="shared" ref="N49" si="68">ROUND(+M49/$M$74*100,1)</f>
        <v>1.4</v>
      </c>
      <c r="O49" s="168"/>
      <c r="P49" s="171"/>
    </row>
    <row r="50" spans="1:16" s="3" customFormat="1" ht="14.1" customHeight="1" x14ac:dyDescent="0.2">
      <c r="A50" s="11"/>
      <c r="B50" s="175"/>
      <c r="C50" s="178"/>
      <c r="D50" s="160"/>
      <c r="E50" s="160"/>
      <c r="F50" s="41" t="s">
        <v>72</v>
      </c>
      <c r="G50" s="178">
        <f t="shared" ref="G50" si="69">IF(E49&lt;0.12,0.6*E49,IF(E49&gt;=0.12,0.6*E49))</f>
        <v>0.16979999999999998</v>
      </c>
      <c r="H50" s="178"/>
      <c r="I50" s="160">
        <v>9.9000000000000005E-2</v>
      </c>
      <c r="J50" s="160"/>
      <c r="K50" s="160"/>
      <c r="L50" s="160"/>
      <c r="M50" s="163"/>
      <c r="N50" s="166"/>
      <c r="O50" s="169"/>
      <c r="P50" s="172"/>
    </row>
    <row r="51" spans="1:16" s="3" customFormat="1" ht="13.9" customHeight="1" thickBot="1" x14ac:dyDescent="0.25">
      <c r="A51" s="11"/>
      <c r="B51" s="251"/>
      <c r="C51" s="42">
        <f>+C49+$P$8</f>
        <v>3.4800000000000013</v>
      </c>
      <c r="D51" s="43">
        <v>0.28899999999999998</v>
      </c>
      <c r="E51" s="161"/>
      <c r="F51" s="44" t="s">
        <v>73</v>
      </c>
      <c r="G51" s="179">
        <f t="shared" ref="G51" si="70">IF(E49&lt;0.12,"NA",IF(E49&gt;=0.12,0.8*E49))</f>
        <v>0.22639999999999999</v>
      </c>
      <c r="H51" s="179"/>
      <c r="I51" s="170">
        <v>4.1000000000000002E-2</v>
      </c>
      <c r="J51" s="170"/>
      <c r="K51" s="161"/>
      <c r="L51" s="161"/>
      <c r="M51" s="164"/>
      <c r="N51" s="167"/>
      <c r="O51" s="170"/>
      <c r="P51" s="173"/>
    </row>
    <row r="52" spans="1:16" s="3" customFormat="1" ht="14.1" customHeight="1" x14ac:dyDescent="0.2">
      <c r="A52" s="11"/>
      <c r="B52" s="174">
        <v>13</v>
      </c>
      <c r="C52" s="177">
        <f t="shared" ref="C52:D52" si="71">+C51</f>
        <v>3.4800000000000013</v>
      </c>
      <c r="D52" s="159">
        <f t="shared" si="71"/>
        <v>0.28899999999999998</v>
      </c>
      <c r="E52" s="159">
        <v>0.25900000000000001</v>
      </c>
      <c r="F52" s="40" t="s">
        <v>71</v>
      </c>
      <c r="G52" s="168">
        <f t="shared" ref="G52" si="72">IF(E52&lt;0.12,"NA",IF(E52&gt;=0.12,0.2*E52))</f>
        <v>5.1800000000000006E-2</v>
      </c>
      <c r="H52" s="168"/>
      <c r="I52" s="168">
        <v>0.14499999999999999</v>
      </c>
      <c r="J52" s="168"/>
      <c r="K52" s="159">
        <f t="shared" ref="K52" si="73">ROUND(+IF(E52&lt;0.12,(I53),(IF(E52&gt;=0.12,((I52+2*I53+I54)/4)))),3)</f>
        <v>0.111</v>
      </c>
      <c r="L52" s="159">
        <f t="shared" ref="L52" si="74">ROUND(+(D52+D54)/2*(C54-C52),3)</f>
        <v>0.05</v>
      </c>
      <c r="M52" s="162">
        <f t="shared" ref="M52" si="75">ROUND(+K52*L52,4)</f>
        <v>5.5999999999999999E-3</v>
      </c>
      <c r="N52" s="165">
        <f t="shared" ref="N52" si="76">ROUND(+M52/$M$74*100,1)</f>
        <v>1.5</v>
      </c>
      <c r="O52" s="168"/>
      <c r="P52" s="171"/>
    </row>
    <row r="53" spans="1:16" s="3" customFormat="1" ht="14.1" customHeight="1" x14ac:dyDescent="0.2">
      <c r="A53" s="11"/>
      <c r="B53" s="175"/>
      <c r="C53" s="178"/>
      <c r="D53" s="160"/>
      <c r="E53" s="160"/>
      <c r="F53" s="41" t="s">
        <v>72</v>
      </c>
      <c r="G53" s="178">
        <f t="shared" ref="G53" si="77">IF(E52&lt;0.12,0.6*E52,IF(E52&gt;=0.12,0.6*E52))</f>
        <v>0.15540000000000001</v>
      </c>
      <c r="H53" s="178"/>
      <c r="I53" s="160">
        <v>0.122</v>
      </c>
      <c r="J53" s="160"/>
      <c r="K53" s="160"/>
      <c r="L53" s="160"/>
      <c r="M53" s="163"/>
      <c r="N53" s="166"/>
      <c r="O53" s="169"/>
      <c r="P53" s="172"/>
    </row>
    <row r="54" spans="1:16" s="3" customFormat="1" ht="13.9" customHeight="1" thickBot="1" x14ac:dyDescent="0.25">
      <c r="A54" s="11"/>
      <c r="B54" s="176"/>
      <c r="C54" s="42">
        <f>+C52+$P$8</f>
        <v>3.6800000000000015</v>
      </c>
      <c r="D54" s="43">
        <v>0.20699999999999999</v>
      </c>
      <c r="E54" s="252"/>
      <c r="F54" s="50" t="s">
        <v>73</v>
      </c>
      <c r="G54" s="179">
        <f t="shared" ref="G54" si="78">IF(E52&lt;0.12,"NA",IF(E52&gt;=0.12,0.8*E52))</f>
        <v>0.20720000000000002</v>
      </c>
      <c r="H54" s="179"/>
      <c r="I54" s="170">
        <v>5.2999999999999999E-2</v>
      </c>
      <c r="J54" s="170"/>
      <c r="K54" s="161"/>
      <c r="L54" s="161"/>
      <c r="M54" s="164"/>
      <c r="N54" s="167"/>
      <c r="O54" s="249"/>
      <c r="P54" s="250"/>
    </row>
    <row r="55" spans="1:16" s="3" customFormat="1" ht="14.1" customHeight="1" x14ac:dyDescent="0.2">
      <c r="A55" s="11"/>
      <c r="B55" s="174">
        <v>14</v>
      </c>
      <c r="C55" s="177">
        <f t="shared" ref="C55:D55" si="79">+C54</f>
        <v>3.6800000000000015</v>
      </c>
      <c r="D55" s="159">
        <f t="shared" si="79"/>
        <v>0.20699999999999999</v>
      </c>
      <c r="E55" s="159">
        <v>0.14499999999999999</v>
      </c>
      <c r="F55" s="40" t="s">
        <v>71</v>
      </c>
      <c r="G55" s="168">
        <f t="shared" ref="G55" si="80">IF(E55&lt;0.12,"NA",IF(E55&gt;=0.12,0.2*E55))</f>
        <v>2.8999999999999998E-2</v>
      </c>
      <c r="H55" s="168"/>
      <c r="I55" s="253">
        <v>0.30099999999999999</v>
      </c>
      <c r="J55" s="253"/>
      <c r="K55" s="159">
        <f t="shared" ref="K55" si="81">ROUND(+IF(E55&lt;0.12,(I56),(IF(E55&gt;=0.12,((I55+2*I56+I57)/4)))),3)</f>
        <v>0.26400000000000001</v>
      </c>
      <c r="L55" s="159">
        <f t="shared" ref="L55" si="82">ROUND(+(D55+D57)/2*(C57-C55),3)</f>
        <v>3.2000000000000001E-2</v>
      </c>
      <c r="M55" s="162">
        <f t="shared" ref="M55" si="83">ROUND(+K55*L55,4)</f>
        <v>8.3999999999999995E-3</v>
      </c>
      <c r="N55" s="165">
        <f t="shared" ref="N55" si="84">ROUND(+M55/$M$74*100,1)</f>
        <v>2.2000000000000002</v>
      </c>
      <c r="O55" s="168"/>
      <c r="P55" s="171"/>
    </row>
    <row r="56" spans="1:16" s="3" customFormat="1" ht="14.1" customHeight="1" x14ac:dyDescent="0.2">
      <c r="A56" s="11"/>
      <c r="B56" s="175"/>
      <c r="C56" s="178"/>
      <c r="D56" s="160"/>
      <c r="E56" s="160"/>
      <c r="F56" s="41" t="s">
        <v>72</v>
      </c>
      <c r="G56" s="178">
        <f t="shared" ref="G56" si="85">IF(E55&lt;0.12,0.6*E55,IF(E55&gt;=0.12,0.6*E55))</f>
        <v>8.6999999999999994E-2</v>
      </c>
      <c r="H56" s="178"/>
      <c r="I56" s="254">
        <v>0.252</v>
      </c>
      <c r="J56" s="254"/>
      <c r="K56" s="160"/>
      <c r="L56" s="160"/>
      <c r="M56" s="163"/>
      <c r="N56" s="166"/>
      <c r="O56" s="169"/>
      <c r="P56" s="172"/>
    </row>
    <row r="57" spans="1:16" s="3" customFormat="1" ht="13.9" customHeight="1" thickBot="1" x14ac:dyDescent="0.25">
      <c r="A57" s="11"/>
      <c r="B57" s="251"/>
      <c r="C57" s="42">
        <f>+C55+$P$8</f>
        <v>3.8800000000000017</v>
      </c>
      <c r="D57" s="43">
        <v>0.112</v>
      </c>
      <c r="E57" s="161"/>
      <c r="F57" s="44" t="s">
        <v>73</v>
      </c>
      <c r="G57" s="179">
        <f t="shared" ref="G57" si="86">IF(E55&lt;0.12,"NA",IF(E55&gt;=0.12,0.8*E55))</f>
        <v>0.11599999999999999</v>
      </c>
      <c r="H57" s="179"/>
      <c r="I57" s="255">
        <v>0.251</v>
      </c>
      <c r="J57" s="255"/>
      <c r="K57" s="161"/>
      <c r="L57" s="161"/>
      <c r="M57" s="164"/>
      <c r="N57" s="167"/>
      <c r="O57" s="170"/>
      <c r="P57" s="173"/>
    </row>
    <row r="58" spans="1:16" s="3" customFormat="1" ht="14.1" customHeight="1" x14ac:dyDescent="0.2">
      <c r="A58" s="11"/>
      <c r="B58" s="174">
        <v>15</v>
      </c>
      <c r="C58" s="177">
        <f t="shared" ref="C58:D58" si="87">+C57</f>
        <v>3.8800000000000017</v>
      </c>
      <c r="D58" s="159">
        <f t="shared" si="87"/>
        <v>0.112</v>
      </c>
      <c r="E58" s="159">
        <v>8.5999999999999993E-2</v>
      </c>
      <c r="F58" s="40" t="s">
        <v>71</v>
      </c>
      <c r="G58" s="168" t="str">
        <f t="shared" ref="G58" si="88">IF(E58&lt;0.12,"NA",IF(E58&gt;=0.12,0.2*E58))</f>
        <v>NA</v>
      </c>
      <c r="H58" s="168"/>
      <c r="I58" s="253"/>
      <c r="J58" s="253"/>
      <c r="K58" s="159">
        <f t="shared" ref="K58" si="89">ROUND(+IF(E58&lt;0.12,(I59),(IF(E58&gt;=0.12,((I58+2*I59+I60)/4)))),3)</f>
        <v>0.17599999999999999</v>
      </c>
      <c r="L58" s="159">
        <f t="shared" ref="L58" si="90">ROUND(+(D58+D60)/2*(C60-C58),3)</f>
        <v>2.1999999999999999E-2</v>
      </c>
      <c r="M58" s="162">
        <f t="shared" ref="M58" si="91">ROUND(+K58*L58,4)</f>
        <v>3.8999999999999998E-3</v>
      </c>
      <c r="N58" s="165">
        <f t="shared" ref="N58" si="92">ROUND(+M58/$M$74*100,1)</f>
        <v>1</v>
      </c>
      <c r="O58" s="168"/>
      <c r="P58" s="171"/>
    </row>
    <row r="59" spans="1:16" s="3" customFormat="1" ht="14.1" customHeight="1" x14ac:dyDescent="0.2">
      <c r="A59" s="11"/>
      <c r="B59" s="175"/>
      <c r="C59" s="178"/>
      <c r="D59" s="160"/>
      <c r="E59" s="160"/>
      <c r="F59" s="41" t="s">
        <v>72</v>
      </c>
      <c r="G59" s="178">
        <f t="shared" ref="G59" si="93">IF(E58&lt;0.12,0.6*E58,IF(E58&gt;=0.12,0.6*E58))</f>
        <v>5.1599999999999993E-2</v>
      </c>
      <c r="H59" s="178"/>
      <c r="I59" s="254">
        <v>0.17599999999999999</v>
      </c>
      <c r="J59" s="254"/>
      <c r="K59" s="160"/>
      <c r="L59" s="160"/>
      <c r="M59" s="163"/>
      <c r="N59" s="166"/>
      <c r="O59" s="169"/>
      <c r="P59" s="172"/>
    </row>
    <row r="60" spans="1:16" s="3" customFormat="1" ht="13.9" customHeight="1" thickBot="1" x14ac:dyDescent="0.25">
      <c r="A60" s="11"/>
      <c r="B60" s="176"/>
      <c r="C60" s="42">
        <f>+C58+P8</f>
        <v>4.0800000000000018</v>
      </c>
      <c r="D60" s="43">
        <v>0.106</v>
      </c>
      <c r="E60" s="161"/>
      <c r="F60" s="44" t="s">
        <v>73</v>
      </c>
      <c r="G60" s="179" t="str">
        <f t="shared" ref="G60" si="94">IF(E58&lt;0.12,"NA",IF(E58&gt;=0.12,0.8*E58))</f>
        <v>NA</v>
      </c>
      <c r="H60" s="179"/>
      <c r="I60" s="256"/>
      <c r="J60" s="256"/>
      <c r="K60" s="161"/>
      <c r="L60" s="161"/>
      <c r="M60" s="164"/>
      <c r="N60" s="167"/>
      <c r="O60" s="170"/>
      <c r="P60" s="173"/>
    </row>
    <row r="61" spans="1:16" s="3" customFormat="1" ht="14.1" customHeight="1" x14ac:dyDescent="0.2">
      <c r="A61" s="11"/>
      <c r="B61" s="174">
        <v>16</v>
      </c>
      <c r="C61" s="177">
        <f t="shared" ref="C61:D61" si="95">+C60</f>
        <v>4.0800000000000018</v>
      </c>
      <c r="D61" s="159">
        <f t="shared" si="95"/>
        <v>0.106</v>
      </c>
      <c r="E61" s="159">
        <v>3.5999999999999997E-2</v>
      </c>
      <c r="F61" s="40" t="s">
        <v>71</v>
      </c>
      <c r="G61" s="168" t="str">
        <f t="shared" ref="G61" si="96">IF(E61&lt;0.12,"NA",IF(E61&gt;=0.12,0.2*E61))</f>
        <v>NA</v>
      </c>
      <c r="H61" s="168"/>
      <c r="I61" s="253"/>
      <c r="J61" s="253"/>
      <c r="K61" s="159">
        <f t="shared" ref="K61" si="97">ROUND(+IF(E61&lt;0.12,(I62),(IF(E61&gt;=0.12,((I61+2*I62+I63)/4)))),3)</f>
        <v>7.0000000000000007E-2</v>
      </c>
      <c r="L61" s="159">
        <f t="shared" ref="L61" si="98">ROUND(+(D61+D63)/2*(C63-C61),3)</f>
        <v>1.2999999999999999E-2</v>
      </c>
      <c r="M61" s="162">
        <f t="shared" ref="M61" si="99">ROUND(+K61*L61,4)</f>
        <v>8.9999999999999998E-4</v>
      </c>
      <c r="N61" s="165">
        <f t="shared" ref="N61" si="100">ROUND(+M61/$M$74*100,1)</f>
        <v>0.2</v>
      </c>
      <c r="O61" s="168"/>
      <c r="P61" s="171"/>
    </row>
    <row r="62" spans="1:16" s="3" customFormat="1" ht="14.1" customHeight="1" x14ac:dyDescent="0.2">
      <c r="A62" s="11"/>
      <c r="B62" s="175"/>
      <c r="C62" s="178"/>
      <c r="D62" s="160"/>
      <c r="E62" s="160"/>
      <c r="F62" s="41" t="s">
        <v>72</v>
      </c>
      <c r="G62" s="178">
        <f t="shared" ref="G62" si="101">IF(E61&lt;0.12,0.6*E61,IF(E61&gt;=0.12,0.6*E61))</f>
        <v>2.1599999999999998E-2</v>
      </c>
      <c r="H62" s="178"/>
      <c r="I62" s="254">
        <v>7.0000000000000007E-2</v>
      </c>
      <c r="J62" s="254"/>
      <c r="K62" s="160"/>
      <c r="L62" s="160"/>
      <c r="M62" s="163"/>
      <c r="N62" s="166"/>
      <c r="O62" s="169"/>
      <c r="P62" s="172"/>
    </row>
    <row r="63" spans="1:16" s="3" customFormat="1" ht="13.9" customHeight="1" thickBot="1" x14ac:dyDescent="0.25">
      <c r="A63" s="11"/>
      <c r="B63" s="176"/>
      <c r="C63" s="42">
        <f>+C61+P8</f>
        <v>4.280000000000002</v>
      </c>
      <c r="D63" s="43">
        <v>2.5000000000000001E-2</v>
      </c>
      <c r="E63" s="161"/>
      <c r="F63" s="44" t="s">
        <v>73</v>
      </c>
      <c r="G63" s="179" t="str">
        <f t="shared" ref="G63" si="102">IF(E61&lt;0.12,"NA",IF(E61&gt;=0.12,0.8*E61))</f>
        <v>NA</v>
      </c>
      <c r="H63" s="179"/>
      <c r="I63" s="256"/>
      <c r="J63" s="256"/>
      <c r="K63" s="161"/>
      <c r="L63" s="161"/>
      <c r="M63" s="164"/>
      <c r="N63" s="167"/>
      <c r="O63" s="170"/>
      <c r="P63" s="173"/>
    </row>
    <row r="64" spans="1:16" s="3" customFormat="1" ht="14.1" customHeight="1" x14ac:dyDescent="0.25">
      <c r="A64" s="11"/>
      <c r="B64" s="271">
        <f>+B37</f>
        <v>8</v>
      </c>
      <c r="C64" s="259">
        <f>+C37</f>
        <v>2.4800000000000004</v>
      </c>
      <c r="D64" s="260">
        <f>+D37</f>
        <v>0.375</v>
      </c>
      <c r="E64" s="259">
        <f>+E37</f>
        <v>0.45</v>
      </c>
      <c r="F64" s="51" t="s">
        <v>29</v>
      </c>
      <c r="G64" s="262"/>
      <c r="H64" s="262"/>
      <c r="I64" s="263">
        <v>1.1359999999999999</v>
      </c>
      <c r="J64" s="263"/>
      <c r="K64" s="260">
        <f>AVERAGE(I64:J73)</f>
        <v>0.86990000000000001</v>
      </c>
      <c r="L64" s="265">
        <f>ROUND(+(D64+D69)/2*(C69-C64),3)</f>
        <v>8.1000000000000003E-2</v>
      </c>
      <c r="M64" s="266">
        <f>ROUND(+K64*L64,4)</f>
        <v>7.0499999999999993E-2</v>
      </c>
      <c r="N64" s="265">
        <f>ROUND(+M64/$M$74*100,1)</f>
        <v>18.8</v>
      </c>
      <c r="O64" s="265"/>
      <c r="P64" s="268"/>
    </row>
    <row r="65" spans="1:18" s="3" customFormat="1" ht="14.1" customHeight="1" x14ac:dyDescent="0.25">
      <c r="A65" s="11"/>
      <c r="B65" s="272"/>
      <c r="C65" s="193"/>
      <c r="D65" s="194"/>
      <c r="E65" s="192"/>
      <c r="F65" s="45" t="s">
        <v>74</v>
      </c>
      <c r="G65" s="190">
        <f>+ROUND(0.1*$E$64,2)</f>
        <v>0.05</v>
      </c>
      <c r="H65" s="190"/>
      <c r="I65" s="191">
        <v>1.121</v>
      </c>
      <c r="J65" s="191"/>
      <c r="K65" s="193"/>
      <c r="L65" s="193"/>
      <c r="M65" s="209"/>
      <c r="N65" s="193"/>
      <c r="O65" s="193"/>
      <c r="P65" s="269"/>
      <c r="R65" s="46"/>
    </row>
    <row r="66" spans="1:18" s="3" customFormat="1" ht="14.1" customHeight="1" x14ac:dyDescent="0.25">
      <c r="A66" s="11"/>
      <c r="B66" s="272"/>
      <c r="C66" s="193"/>
      <c r="D66" s="194"/>
      <c r="E66" s="192"/>
      <c r="F66" s="45" t="s">
        <v>71</v>
      </c>
      <c r="G66" s="190">
        <f>+ROUND(0.2*$E$64,2)</f>
        <v>0.09</v>
      </c>
      <c r="H66" s="190"/>
      <c r="I66" s="191">
        <v>0.92600000000000005</v>
      </c>
      <c r="J66" s="191"/>
      <c r="K66" s="193"/>
      <c r="L66" s="193"/>
      <c r="M66" s="209"/>
      <c r="N66" s="193"/>
      <c r="O66" s="193"/>
      <c r="P66" s="269"/>
      <c r="R66" s="46"/>
    </row>
    <row r="67" spans="1:18" s="3" customFormat="1" ht="14.1" customHeight="1" x14ac:dyDescent="0.25">
      <c r="A67" s="11"/>
      <c r="B67" s="272"/>
      <c r="C67" s="193"/>
      <c r="D67" s="194"/>
      <c r="E67" s="192"/>
      <c r="F67" s="45" t="s">
        <v>75</v>
      </c>
      <c r="G67" s="190">
        <f>+ROUND(0.3*$E$64,2)</f>
        <v>0.14000000000000001</v>
      </c>
      <c r="H67" s="190"/>
      <c r="I67" s="191">
        <v>0.86399999999999999</v>
      </c>
      <c r="J67" s="191"/>
      <c r="K67" s="193"/>
      <c r="L67" s="193"/>
      <c r="M67" s="209"/>
      <c r="N67" s="193"/>
      <c r="O67" s="193"/>
      <c r="P67" s="269"/>
      <c r="R67" s="46"/>
    </row>
    <row r="68" spans="1:18" s="3" customFormat="1" ht="14.1" customHeight="1" x14ac:dyDescent="0.25">
      <c r="A68" s="11"/>
      <c r="B68" s="272"/>
      <c r="C68" s="193"/>
      <c r="D68" s="194"/>
      <c r="E68" s="192"/>
      <c r="F68" s="45" t="s">
        <v>76</v>
      </c>
      <c r="G68" s="190">
        <f>+ROUND(0.4*$E$64,2)</f>
        <v>0.18</v>
      </c>
      <c r="H68" s="190"/>
      <c r="I68" s="191">
        <v>0.85199999999999998</v>
      </c>
      <c r="J68" s="191"/>
      <c r="K68" s="193"/>
      <c r="L68" s="193"/>
      <c r="M68" s="209"/>
      <c r="N68" s="193"/>
      <c r="O68" s="193"/>
      <c r="P68" s="269"/>
      <c r="R68" s="46"/>
    </row>
    <row r="69" spans="1:18" s="3" customFormat="1" ht="14.1" customHeight="1" x14ac:dyDescent="0.25">
      <c r="A69" s="11"/>
      <c r="B69" s="272"/>
      <c r="C69" s="192">
        <f>+C39</f>
        <v>2.6800000000000006</v>
      </c>
      <c r="D69" s="194">
        <f>+D39</f>
        <v>0.43</v>
      </c>
      <c r="E69" s="192"/>
      <c r="F69" s="45" t="s">
        <v>28</v>
      </c>
      <c r="G69" s="190">
        <f>+ROUND(0.5*$E$64,2)</f>
        <v>0.23</v>
      </c>
      <c r="H69" s="190"/>
      <c r="I69" s="191">
        <v>0.80400000000000005</v>
      </c>
      <c r="J69" s="191"/>
      <c r="K69" s="193"/>
      <c r="L69" s="193"/>
      <c r="M69" s="209"/>
      <c r="N69" s="193"/>
      <c r="O69" s="193"/>
      <c r="P69" s="269"/>
      <c r="R69" s="46"/>
    </row>
    <row r="70" spans="1:18" s="3" customFormat="1" ht="14.1" customHeight="1" x14ac:dyDescent="0.25">
      <c r="A70" s="11"/>
      <c r="B70" s="272"/>
      <c r="C70" s="193"/>
      <c r="D70" s="194"/>
      <c r="E70" s="192"/>
      <c r="F70" s="45" t="s">
        <v>72</v>
      </c>
      <c r="G70" s="190">
        <f>+ROUND(0.6*$E$64,2)</f>
        <v>0.27</v>
      </c>
      <c r="H70" s="190"/>
      <c r="I70" s="191">
        <v>0.79500000000000004</v>
      </c>
      <c r="J70" s="191"/>
      <c r="K70" s="193"/>
      <c r="L70" s="193"/>
      <c r="M70" s="209"/>
      <c r="N70" s="193"/>
      <c r="O70" s="193"/>
      <c r="P70" s="269"/>
      <c r="R70" s="46"/>
    </row>
    <row r="71" spans="1:18" s="3" customFormat="1" ht="14.1" customHeight="1" x14ac:dyDescent="0.25">
      <c r="A71" s="11"/>
      <c r="B71" s="272"/>
      <c r="C71" s="193"/>
      <c r="D71" s="194"/>
      <c r="E71" s="192"/>
      <c r="F71" s="45" t="s">
        <v>77</v>
      </c>
      <c r="G71" s="190">
        <f>+ROUND(0.7*$E$64,2)</f>
        <v>0.32</v>
      </c>
      <c r="H71" s="190"/>
      <c r="I71" s="191">
        <v>0.79</v>
      </c>
      <c r="J71" s="191"/>
      <c r="K71" s="193"/>
      <c r="L71" s="193"/>
      <c r="M71" s="209"/>
      <c r="N71" s="193"/>
      <c r="O71" s="193"/>
      <c r="P71" s="269"/>
      <c r="R71" s="46"/>
    </row>
    <row r="72" spans="1:18" s="3" customFormat="1" ht="14.1" customHeight="1" x14ac:dyDescent="0.25">
      <c r="A72" s="11"/>
      <c r="B72" s="272"/>
      <c r="C72" s="193"/>
      <c r="D72" s="194"/>
      <c r="E72" s="192"/>
      <c r="F72" s="45" t="s">
        <v>73</v>
      </c>
      <c r="G72" s="190">
        <f>+ROUND(0.8*$E$64,2)</f>
        <v>0.36</v>
      </c>
      <c r="H72" s="190"/>
      <c r="I72" s="191">
        <v>0.71099999999999997</v>
      </c>
      <c r="J72" s="191"/>
      <c r="K72" s="193"/>
      <c r="L72" s="193"/>
      <c r="M72" s="209"/>
      <c r="N72" s="193"/>
      <c r="O72" s="193"/>
      <c r="P72" s="269"/>
      <c r="R72" s="46"/>
    </row>
    <row r="73" spans="1:18" s="3" customFormat="1" ht="15.75" thickBot="1" x14ac:dyDescent="0.3">
      <c r="A73" s="11"/>
      <c r="B73" s="273"/>
      <c r="C73" s="257"/>
      <c r="D73" s="258"/>
      <c r="E73" s="261"/>
      <c r="F73" s="52" t="s">
        <v>78</v>
      </c>
      <c r="G73" s="264">
        <f>+ROUND(0.9*$E$64,2)</f>
        <v>0.41</v>
      </c>
      <c r="H73" s="264"/>
      <c r="I73" s="191">
        <v>0.7</v>
      </c>
      <c r="J73" s="191"/>
      <c r="K73" s="257"/>
      <c r="L73" s="257"/>
      <c r="M73" s="267"/>
      <c r="N73" s="257"/>
      <c r="O73" s="257"/>
      <c r="P73" s="270"/>
      <c r="R73" s="46"/>
    </row>
    <row r="74" spans="1:18" s="3" customFormat="1" ht="12.75" x14ac:dyDescent="0.2">
      <c r="A74" s="11"/>
      <c r="B74" s="195" t="s">
        <v>30</v>
      </c>
      <c r="C74" s="196"/>
      <c r="D74" s="196"/>
      <c r="E74" s="196"/>
      <c r="F74" s="196"/>
      <c r="G74" s="196"/>
      <c r="H74" s="196"/>
      <c r="I74" s="196"/>
      <c r="J74" s="196"/>
      <c r="K74" s="47">
        <f>ROUND(+M74/L74,3)</f>
        <v>0.435</v>
      </c>
      <c r="L74" s="15">
        <f>SUM(L16:L73)</f>
        <v>0.86199999999999999</v>
      </c>
      <c r="M74" s="14">
        <f>SUM(M16:M73)</f>
        <v>0.37540000000000012</v>
      </c>
      <c r="N74" s="12">
        <f>ROUND(SUM(N16:N73),0)</f>
        <v>100</v>
      </c>
      <c r="O74" s="199" t="s">
        <v>31</v>
      </c>
      <c r="P74" s="201"/>
    </row>
    <row r="75" spans="1:18" s="3" customFormat="1" ht="15" customHeight="1" thickBot="1" x14ac:dyDescent="0.25">
      <c r="A75" s="11"/>
      <c r="B75" s="197"/>
      <c r="C75" s="198"/>
      <c r="D75" s="198"/>
      <c r="E75" s="198"/>
      <c r="F75" s="198"/>
      <c r="G75" s="198"/>
      <c r="H75" s="198"/>
      <c r="I75" s="198"/>
      <c r="J75" s="198"/>
      <c r="K75" s="13" t="s">
        <v>32</v>
      </c>
      <c r="L75" s="13" t="s">
        <v>48</v>
      </c>
      <c r="M75" s="13" t="s">
        <v>49</v>
      </c>
      <c r="N75" s="13" t="s">
        <v>33</v>
      </c>
      <c r="O75" s="200"/>
      <c r="P75" s="202"/>
    </row>
    <row r="76" spans="1:18" ht="69.599999999999994" customHeight="1" thickBot="1" x14ac:dyDescent="0.3">
      <c r="A76" s="48"/>
      <c r="B76" s="203" t="s">
        <v>27</v>
      </c>
      <c r="C76" s="204"/>
      <c r="D76" s="204"/>
      <c r="E76" s="204"/>
      <c r="F76" s="204"/>
      <c r="G76" s="204"/>
      <c r="H76" s="204"/>
      <c r="I76" s="204"/>
      <c r="J76" s="204"/>
      <c r="K76" s="204"/>
      <c r="L76" s="204"/>
      <c r="M76" s="204"/>
      <c r="N76" s="204"/>
      <c r="O76" s="204"/>
      <c r="P76" s="205"/>
    </row>
    <row r="77" spans="1:18" ht="15" customHeight="1" thickBot="1" x14ac:dyDescent="0.3">
      <c r="A77" s="5"/>
      <c r="B77" s="206" t="s">
        <v>79</v>
      </c>
      <c r="C77" s="207"/>
      <c r="D77" s="207"/>
      <c r="E77" s="207"/>
      <c r="F77" s="207"/>
      <c r="G77" s="207" t="s">
        <v>80</v>
      </c>
      <c r="H77" s="207"/>
      <c r="I77" s="207"/>
      <c r="J77" s="207"/>
      <c r="K77" s="207"/>
      <c r="L77" s="207"/>
      <c r="M77" s="207" t="s">
        <v>81</v>
      </c>
      <c r="N77" s="207"/>
      <c r="O77" s="207"/>
      <c r="P77" s="208"/>
    </row>
    <row r="78" spans="1:18" ht="15" customHeight="1" thickBot="1" x14ac:dyDescent="0.3">
      <c r="A78" s="5"/>
      <c r="B78" s="210"/>
      <c r="C78" s="211"/>
      <c r="D78" s="211"/>
      <c r="E78" s="211"/>
      <c r="F78" s="211"/>
      <c r="G78" s="211"/>
      <c r="H78" s="211"/>
      <c r="I78" s="212"/>
      <c r="J78" s="216" t="s">
        <v>51</v>
      </c>
      <c r="K78" s="217"/>
      <c r="L78" s="217"/>
      <c r="M78" s="217"/>
      <c r="N78" s="217"/>
      <c r="O78" s="217"/>
      <c r="P78" s="218"/>
    </row>
    <row r="79" spans="1:18" ht="18.600000000000001" customHeight="1" thickBot="1" x14ac:dyDescent="0.3">
      <c r="A79" s="6"/>
      <c r="B79" s="210"/>
      <c r="C79" s="211"/>
      <c r="D79" s="211"/>
      <c r="E79" s="211"/>
      <c r="F79" s="211"/>
      <c r="G79" s="211"/>
      <c r="H79" s="211"/>
      <c r="I79" s="212"/>
      <c r="J79" s="49" t="s">
        <v>82</v>
      </c>
      <c r="K79" s="219" t="s">
        <v>83</v>
      </c>
      <c r="L79" s="219"/>
      <c r="M79" s="219"/>
      <c r="N79" s="219"/>
      <c r="O79" s="219"/>
      <c r="P79" s="220"/>
    </row>
    <row r="80" spans="1:18" ht="97.15" customHeight="1" thickBot="1" x14ac:dyDescent="0.3">
      <c r="A80" s="10"/>
      <c r="B80" s="210"/>
      <c r="C80" s="211"/>
      <c r="D80" s="211"/>
      <c r="E80" s="211"/>
      <c r="F80" s="211"/>
      <c r="G80" s="211"/>
      <c r="H80" s="211"/>
      <c r="I80" s="212"/>
      <c r="J80" s="221" t="s">
        <v>92</v>
      </c>
      <c r="K80" s="222"/>
      <c r="L80" s="222"/>
      <c r="M80" s="222"/>
      <c r="N80" s="222"/>
      <c r="O80" s="222"/>
      <c r="P80" s="223"/>
    </row>
    <row r="81" spans="1:16" ht="15" customHeight="1" thickBot="1" x14ac:dyDescent="0.3">
      <c r="A81" s="5"/>
      <c r="B81" s="210"/>
      <c r="C81" s="211"/>
      <c r="D81" s="211"/>
      <c r="E81" s="211"/>
      <c r="F81" s="211"/>
      <c r="G81" s="211"/>
      <c r="H81" s="211"/>
      <c r="I81" s="212"/>
      <c r="J81" s="224" t="s">
        <v>34</v>
      </c>
      <c r="K81" s="225"/>
      <c r="L81" s="225"/>
      <c r="M81" s="225"/>
      <c r="N81" s="226"/>
      <c r="O81" s="227">
        <v>5.43</v>
      </c>
      <c r="P81" s="228"/>
    </row>
    <row r="82" spans="1:16" ht="15.75" thickBot="1" x14ac:dyDescent="0.3">
      <c r="A82" s="5"/>
      <c r="B82" s="210"/>
      <c r="C82" s="211"/>
      <c r="D82" s="211"/>
      <c r="E82" s="211"/>
      <c r="F82" s="211"/>
      <c r="G82" s="211"/>
      <c r="H82" s="211"/>
      <c r="I82" s="212"/>
      <c r="J82" s="229" t="s">
        <v>50</v>
      </c>
      <c r="K82" s="230"/>
      <c r="L82" s="230"/>
      <c r="M82" s="230"/>
      <c r="N82" s="231"/>
      <c r="O82" s="227">
        <v>0.52149999999999996</v>
      </c>
      <c r="P82" s="228"/>
    </row>
    <row r="83" spans="1:16" ht="14.45" customHeight="1" thickBot="1" x14ac:dyDescent="0.3">
      <c r="A83" s="5"/>
      <c r="B83" s="213"/>
      <c r="C83" s="214"/>
      <c r="D83" s="214"/>
      <c r="E83" s="214"/>
      <c r="F83" s="214"/>
      <c r="G83" s="214"/>
      <c r="H83" s="214"/>
      <c r="I83" s="215"/>
      <c r="J83" s="232" t="s">
        <v>86</v>
      </c>
      <c r="K83" s="233"/>
      <c r="L83" s="233"/>
      <c r="M83" s="233"/>
      <c r="N83" s="233"/>
      <c r="O83" s="233"/>
      <c r="P83" s="234"/>
    </row>
    <row r="84" spans="1:16" ht="14.45" customHeight="1" thickBot="1" x14ac:dyDescent="0.3">
      <c r="A84" s="7"/>
      <c r="B84" s="240"/>
      <c r="C84" s="240"/>
      <c r="D84" s="240"/>
      <c r="E84" s="240"/>
      <c r="F84" s="240"/>
      <c r="G84" s="240"/>
      <c r="H84" s="240"/>
      <c r="I84" s="240"/>
      <c r="J84" s="240"/>
      <c r="K84" s="240"/>
      <c r="L84" s="240"/>
      <c r="M84" s="240"/>
      <c r="N84" s="240"/>
      <c r="O84" s="240"/>
      <c r="P84" s="241"/>
    </row>
    <row r="85" spans="1:16" ht="15.75" thickBot="1" x14ac:dyDescent="0.3">
      <c r="A85" s="242" t="s">
        <v>35</v>
      </c>
      <c r="B85" s="243"/>
      <c r="C85" s="243"/>
      <c r="D85" s="243"/>
      <c r="E85" s="243"/>
      <c r="F85" s="243"/>
      <c r="G85" s="243"/>
      <c r="H85" s="243"/>
      <c r="I85" s="243"/>
      <c r="J85" s="243"/>
      <c r="K85" s="243"/>
      <c r="L85" s="243"/>
      <c r="M85" s="243"/>
      <c r="N85" s="243"/>
      <c r="O85" s="243"/>
      <c r="P85" s="244"/>
    </row>
    <row r="86" spans="1:16" ht="141.6" customHeight="1" thickBot="1" x14ac:dyDescent="0.3">
      <c r="A86" s="4"/>
      <c r="B86" s="245"/>
      <c r="C86" s="246"/>
      <c r="D86" s="246"/>
      <c r="E86" s="246"/>
      <c r="F86" s="247"/>
      <c r="G86" s="245"/>
      <c r="H86" s="246"/>
      <c r="I86" s="246"/>
      <c r="J86" s="246"/>
      <c r="K86" s="246"/>
      <c r="L86" s="247"/>
      <c r="M86" s="245"/>
      <c r="N86" s="246"/>
      <c r="O86" s="246"/>
      <c r="P86" s="247"/>
    </row>
    <row r="87" spans="1:16" s="9" customFormat="1" ht="13.9" customHeight="1" thickBot="1" x14ac:dyDescent="0.3">
      <c r="A87" s="8" t="s">
        <v>87</v>
      </c>
      <c r="B87" s="248" t="s">
        <v>88</v>
      </c>
      <c r="C87" s="235"/>
      <c r="D87" s="235"/>
      <c r="E87" s="235"/>
      <c r="F87" s="236"/>
      <c r="G87" s="248" t="s">
        <v>89</v>
      </c>
      <c r="H87" s="235"/>
      <c r="I87" s="235"/>
      <c r="J87" s="235"/>
      <c r="K87" s="235"/>
      <c r="L87" s="236"/>
      <c r="M87" s="248" t="s">
        <v>90</v>
      </c>
      <c r="N87" s="235"/>
      <c r="O87" s="235"/>
      <c r="P87" s="236"/>
    </row>
    <row r="88" spans="1:16" s="9" customFormat="1" ht="52.15" customHeight="1" thickBot="1" x14ac:dyDescent="0.3">
      <c r="A88" s="8"/>
      <c r="B88" s="235"/>
      <c r="C88" s="235"/>
      <c r="D88" s="235"/>
      <c r="E88" s="235"/>
      <c r="F88" s="235"/>
      <c r="G88" s="235"/>
      <c r="H88" s="235"/>
      <c r="I88" s="235"/>
      <c r="J88" s="235"/>
      <c r="K88" s="235"/>
      <c r="L88" s="235"/>
      <c r="M88" s="235"/>
      <c r="N88" s="235"/>
      <c r="O88" s="235"/>
      <c r="P88" s="236"/>
    </row>
    <row r="89" spans="1:16" s="3" customFormat="1" ht="15.75" customHeight="1" thickBot="1" x14ac:dyDescent="0.25">
      <c r="A89" s="237" t="s">
        <v>36</v>
      </c>
      <c r="B89" s="238"/>
      <c r="C89" s="238"/>
      <c r="D89" s="238" t="s">
        <v>93</v>
      </c>
      <c r="E89" s="238"/>
      <c r="F89" s="238"/>
      <c r="G89" s="238"/>
      <c r="H89" s="238"/>
      <c r="I89" s="238"/>
      <c r="J89" s="238" t="s">
        <v>37</v>
      </c>
      <c r="K89" s="238"/>
      <c r="L89" s="238"/>
      <c r="M89" s="238"/>
      <c r="N89" s="238"/>
      <c r="O89" s="238"/>
      <c r="P89" s="239"/>
    </row>
  </sheetData>
  <mergeCells count="364">
    <mergeCell ref="B88:P88"/>
    <mergeCell ref="A89:C89"/>
    <mergeCell ref="D89:I89"/>
    <mergeCell ref="J89:K89"/>
    <mergeCell ref="L89:P89"/>
    <mergeCell ref="B84:P84"/>
    <mergeCell ref="A85:P85"/>
    <mergeCell ref="B86:F86"/>
    <mergeCell ref="G86:L86"/>
    <mergeCell ref="M86:P86"/>
    <mergeCell ref="B87:F87"/>
    <mergeCell ref="G87:L87"/>
    <mergeCell ref="M87:P87"/>
    <mergeCell ref="B78:I83"/>
    <mergeCell ref="J78:P78"/>
    <mergeCell ref="K79:P79"/>
    <mergeCell ref="J80:P80"/>
    <mergeCell ref="J81:N81"/>
    <mergeCell ref="O81:P81"/>
    <mergeCell ref="J82:N82"/>
    <mergeCell ref="O82:P82"/>
    <mergeCell ref="J83:P83"/>
    <mergeCell ref="B74:J75"/>
    <mergeCell ref="O74:O75"/>
    <mergeCell ref="P74:P75"/>
    <mergeCell ref="B76:P76"/>
    <mergeCell ref="B77:F77"/>
    <mergeCell ref="G77:L77"/>
    <mergeCell ref="M77:P77"/>
    <mergeCell ref="G71:H71"/>
    <mergeCell ref="I71:J71"/>
    <mergeCell ref="G72:H72"/>
    <mergeCell ref="I72:J72"/>
    <mergeCell ref="G73:H73"/>
    <mergeCell ref="I73:J73"/>
    <mergeCell ref="K64:K73"/>
    <mergeCell ref="L64:L73"/>
    <mergeCell ref="M64:M73"/>
    <mergeCell ref="N64:N73"/>
    <mergeCell ref="O64:O73"/>
    <mergeCell ref="P64:P73"/>
    <mergeCell ref="B64:B73"/>
    <mergeCell ref="G67:H67"/>
    <mergeCell ref="I67:J67"/>
    <mergeCell ref="G68:H68"/>
    <mergeCell ref="I68:J68"/>
    <mergeCell ref="C69:C73"/>
    <mergeCell ref="D69:D73"/>
    <mergeCell ref="G69:H69"/>
    <mergeCell ref="I69:J69"/>
    <mergeCell ref="G70:H70"/>
    <mergeCell ref="I70:J70"/>
    <mergeCell ref="C64:C68"/>
    <mergeCell ref="D64:D68"/>
    <mergeCell ref="E64:E73"/>
    <mergeCell ref="G64:H64"/>
    <mergeCell ref="I64:J64"/>
    <mergeCell ref="G65:H65"/>
    <mergeCell ref="I65:J65"/>
    <mergeCell ref="G66:H66"/>
    <mergeCell ref="I66:J66"/>
    <mergeCell ref="K61:K63"/>
    <mergeCell ref="L61:L63"/>
    <mergeCell ref="M61:M63"/>
    <mergeCell ref="N61:N63"/>
    <mergeCell ref="O61:O63"/>
    <mergeCell ref="P61:P63"/>
    <mergeCell ref="B61:B63"/>
    <mergeCell ref="C61:C62"/>
    <mergeCell ref="D61:D62"/>
    <mergeCell ref="E61:E63"/>
    <mergeCell ref="G61:H61"/>
    <mergeCell ref="I61:J61"/>
    <mergeCell ref="G62:H62"/>
    <mergeCell ref="I62:J62"/>
    <mergeCell ref="G63:H63"/>
    <mergeCell ref="I63:J63"/>
    <mergeCell ref="K58:K60"/>
    <mergeCell ref="L58:L60"/>
    <mergeCell ref="M58:M60"/>
    <mergeCell ref="N58:N60"/>
    <mergeCell ref="O58:O60"/>
    <mergeCell ref="P58:P60"/>
    <mergeCell ref="B58:B60"/>
    <mergeCell ref="C58:C59"/>
    <mergeCell ref="D58:D59"/>
    <mergeCell ref="E58:E60"/>
    <mergeCell ref="G58:H58"/>
    <mergeCell ref="I58:J58"/>
    <mergeCell ref="G59:H59"/>
    <mergeCell ref="I59:J59"/>
    <mergeCell ref="G60:H60"/>
    <mergeCell ref="I60:J60"/>
    <mergeCell ref="K55:K57"/>
    <mergeCell ref="L55:L57"/>
    <mergeCell ref="M55:M57"/>
    <mergeCell ref="N55:N57"/>
    <mergeCell ref="O55:O57"/>
    <mergeCell ref="P55:P57"/>
    <mergeCell ref="B55:B57"/>
    <mergeCell ref="C55:C56"/>
    <mergeCell ref="D55:D56"/>
    <mergeCell ref="E55:E57"/>
    <mergeCell ref="G55:H55"/>
    <mergeCell ref="I55:J55"/>
    <mergeCell ref="G56:H56"/>
    <mergeCell ref="I56:J56"/>
    <mergeCell ref="G57:H57"/>
    <mergeCell ref="I57:J57"/>
    <mergeCell ref="K52:K54"/>
    <mergeCell ref="L52:L54"/>
    <mergeCell ref="M52:M54"/>
    <mergeCell ref="N52:N54"/>
    <mergeCell ref="O52:O54"/>
    <mergeCell ref="P52:P54"/>
    <mergeCell ref="B52:B54"/>
    <mergeCell ref="C52:C53"/>
    <mergeCell ref="D52:D53"/>
    <mergeCell ref="E52:E54"/>
    <mergeCell ref="G52:H52"/>
    <mergeCell ref="I52:J52"/>
    <mergeCell ref="G53:H53"/>
    <mergeCell ref="I53:J53"/>
    <mergeCell ref="G54:H54"/>
    <mergeCell ref="I54:J54"/>
    <mergeCell ref="K49:K51"/>
    <mergeCell ref="L49:L51"/>
    <mergeCell ref="M49:M51"/>
    <mergeCell ref="N49:N51"/>
    <mergeCell ref="O49:O51"/>
    <mergeCell ref="P49:P51"/>
    <mergeCell ref="B49:B51"/>
    <mergeCell ref="C49:C50"/>
    <mergeCell ref="D49:D50"/>
    <mergeCell ref="E49:E51"/>
    <mergeCell ref="G49:H49"/>
    <mergeCell ref="I49:J49"/>
    <mergeCell ref="G50:H50"/>
    <mergeCell ref="I50:J50"/>
    <mergeCell ref="G51:H51"/>
    <mergeCell ref="I51:J51"/>
    <mergeCell ref="K46:K48"/>
    <mergeCell ref="L46:L48"/>
    <mergeCell ref="M46:M48"/>
    <mergeCell ref="N46:N48"/>
    <mergeCell ref="O46:O48"/>
    <mergeCell ref="P46:P48"/>
    <mergeCell ref="B46:B48"/>
    <mergeCell ref="C46:C47"/>
    <mergeCell ref="D46:D47"/>
    <mergeCell ref="E46:E48"/>
    <mergeCell ref="G46:H46"/>
    <mergeCell ref="I46:J46"/>
    <mergeCell ref="G47:H47"/>
    <mergeCell ref="I47:J47"/>
    <mergeCell ref="G48:H48"/>
    <mergeCell ref="I48:J48"/>
    <mergeCell ref="K43:K45"/>
    <mergeCell ref="L43:L45"/>
    <mergeCell ref="M43:M45"/>
    <mergeCell ref="N43:N45"/>
    <mergeCell ref="O43:O45"/>
    <mergeCell ref="P43:P45"/>
    <mergeCell ref="B43:B45"/>
    <mergeCell ref="C43:C44"/>
    <mergeCell ref="D43:D44"/>
    <mergeCell ref="E43:E45"/>
    <mergeCell ref="G43:H43"/>
    <mergeCell ref="I43:J43"/>
    <mergeCell ref="G44:H44"/>
    <mergeCell ref="I44:J44"/>
    <mergeCell ref="G45:H45"/>
    <mergeCell ref="I45:J45"/>
    <mergeCell ref="K40:K42"/>
    <mergeCell ref="L40:L42"/>
    <mergeCell ref="M40:M42"/>
    <mergeCell ref="N40:N42"/>
    <mergeCell ref="O40:O42"/>
    <mergeCell ref="P40:P42"/>
    <mergeCell ref="B40:B42"/>
    <mergeCell ref="C40:C41"/>
    <mergeCell ref="D40:D41"/>
    <mergeCell ref="E40:E42"/>
    <mergeCell ref="G40:H40"/>
    <mergeCell ref="I40:J40"/>
    <mergeCell ref="G41:H41"/>
    <mergeCell ref="I41:J41"/>
    <mergeCell ref="G42:H42"/>
    <mergeCell ref="I42:J42"/>
    <mergeCell ref="K37:K39"/>
    <mergeCell ref="L37:L39"/>
    <mergeCell ref="M37:M39"/>
    <mergeCell ref="N37:N39"/>
    <mergeCell ref="O37:O39"/>
    <mergeCell ref="P37:P39"/>
    <mergeCell ref="B37:B39"/>
    <mergeCell ref="C37:C38"/>
    <mergeCell ref="D37:D38"/>
    <mergeCell ref="E37:E39"/>
    <mergeCell ref="G37:H37"/>
    <mergeCell ref="I37:J37"/>
    <mergeCell ref="G38:H38"/>
    <mergeCell ref="I38:J38"/>
    <mergeCell ref="G39:H39"/>
    <mergeCell ref="I39:J39"/>
    <mergeCell ref="K34:K36"/>
    <mergeCell ref="L34:L36"/>
    <mergeCell ref="M34:M36"/>
    <mergeCell ref="N34:N36"/>
    <mergeCell ref="O34:O36"/>
    <mergeCell ref="P34:P36"/>
    <mergeCell ref="B34:B36"/>
    <mergeCell ref="C34:C35"/>
    <mergeCell ref="D34:D35"/>
    <mergeCell ref="E34:E36"/>
    <mergeCell ref="G34:H34"/>
    <mergeCell ref="I34:J34"/>
    <mergeCell ref="G35:H35"/>
    <mergeCell ref="I35:J35"/>
    <mergeCell ref="G36:H36"/>
    <mergeCell ref="I36:J36"/>
    <mergeCell ref="K31:K33"/>
    <mergeCell ref="L31:L33"/>
    <mergeCell ref="M31:M33"/>
    <mergeCell ref="N31:N33"/>
    <mergeCell ref="O31:O33"/>
    <mergeCell ref="P31:P33"/>
    <mergeCell ref="B31:B33"/>
    <mergeCell ref="C31:C32"/>
    <mergeCell ref="D31:D32"/>
    <mergeCell ref="E31:E33"/>
    <mergeCell ref="G31:H31"/>
    <mergeCell ref="I31:J31"/>
    <mergeCell ref="G32:H32"/>
    <mergeCell ref="I32:J32"/>
    <mergeCell ref="G33:H33"/>
    <mergeCell ref="I33:J33"/>
    <mergeCell ref="K28:K30"/>
    <mergeCell ref="L28:L30"/>
    <mergeCell ref="M28:M30"/>
    <mergeCell ref="N28:N30"/>
    <mergeCell ref="O28:O30"/>
    <mergeCell ref="P28:P30"/>
    <mergeCell ref="B28:B30"/>
    <mergeCell ref="C28:C29"/>
    <mergeCell ref="D28:D29"/>
    <mergeCell ref="E28:E30"/>
    <mergeCell ref="G28:H28"/>
    <mergeCell ref="I28:J28"/>
    <mergeCell ref="G29:H29"/>
    <mergeCell ref="I29:J29"/>
    <mergeCell ref="G30:H30"/>
    <mergeCell ref="I30:J30"/>
    <mergeCell ref="K25:K27"/>
    <mergeCell ref="L25:L27"/>
    <mergeCell ref="M25:M27"/>
    <mergeCell ref="N25:N27"/>
    <mergeCell ref="O25:O27"/>
    <mergeCell ref="P25:P27"/>
    <mergeCell ref="B25:B27"/>
    <mergeCell ref="C25:C26"/>
    <mergeCell ref="D25:D26"/>
    <mergeCell ref="E25:E27"/>
    <mergeCell ref="G25:H25"/>
    <mergeCell ref="I25:J25"/>
    <mergeCell ref="G26:H26"/>
    <mergeCell ref="I26:J26"/>
    <mergeCell ref="G27:H27"/>
    <mergeCell ref="I27:J27"/>
    <mergeCell ref="K22:K24"/>
    <mergeCell ref="L22:L24"/>
    <mergeCell ref="M22:M24"/>
    <mergeCell ref="N22:N24"/>
    <mergeCell ref="O22:O24"/>
    <mergeCell ref="P22:P24"/>
    <mergeCell ref="B22:B24"/>
    <mergeCell ref="C22:C23"/>
    <mergeCell ref="D22:D23"/>
    <mergeCell ref="E22:E24"/>
    <mergeCell ref="G22:H22"/>
    <mergeCell ref="I22:J22"/>
    <mergeCell ref="G23:H23"/>
    <mergeCell ref="I23:J23"/>
    <mergeCell ref="G24:H24"/>
    <mergeCell ref="I24:J24"/>
    <mergeCell ref="K19:K21"/>
    <mergeCell ref="L19:L21"/>
    <mergeCell ref="M19:M21"/>
    <mergeCell ref="N19:N21"/>
    <mergeCell ref="O19:O21"/>
    <mergeCell ref="P19:P21"/>
    <mergeCell ref="B19:B21"/>
    <mergeCell ref="C19:C20"/>
    <mergeCell ref="D19:D20"/>
    <mergeCell ref="E19:E21"/>
    <mergeCell ref="G19:H19"/>
    <mergeCell ref="I19:J19"/>
    <mergeCell ref="G20:H20"/>
    <mergeCell ref="I20:J20"/>
    <mergeCell ref="G21:H21"/>
    <mergeCell ref="I21:J21"/>
    <mergeCell ref="M16:M18"/>
    <mergeCell ref="N16:N18"/>
    <mergeCell ref="O16:O18"/>
    <mergeCell ref="P16:P18"/>
    <mergeCell ref="B16:B18"/>
    <mergeCell ref="C16:C17"/>
    <mergeCell ref="D16:D17"/>
    <mergeCell ref="E16:E18"/>
    <mergeCell ref="G16:H16"/>
    <mergeCell ref="I16:J16"/>
    <mergeCell ref="G17:H17"/>
    <mergeCell ref="I17:J17"/>
    <mergeCell ref="G18:H18"/>
    <mergeCell ref="I18:J18"/>
    <mergeCell ref="B14:B15"/>
    <mergeCell ref="C14:C15"/>
    <mergeCell ref="D14:D15"/>
    <mergeCell ref="E14:E15"/>
    <mergeCell ref="F14:H15"/>
    <mergeCell ref="I14:J14"/>
    <mergeCell ref="I15:J15"/>
    <mergeCell ref="K16:K18"/>
    <mergeCell ref="L16:L18"/>
    <mergeCell ref="B11:B13"/>
    <mergeCell ref="C11:E11"/>
    <mergeCell ref="G11:K11"/>
    <mergeCell ref="L11:L13"/>
    <mergeCell ref="M11:P11"/>
    <mergeCell ref="C12:E12"/>
    <mergeCell ref="G12:K13"/>
    <mergeCell ref="M12:P12"/>
    <mergeCell ref="C13:F13"/>
    <mergeCell ref="M13:P13"/>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O2:P3"/>
    <mergeCell ref="B4:P4"/>
    <mergeCell ref="C5:D5"/>
    <mergeCell ref="E5:F5"/>
    <mergeCell ref="H5:I5"/>
    <mergeCell ref="J5:P5"/>
    <mergeCell ref="B2:D3"/>
    <mergeCell ref="E2:N3"/>
    <mergeCell ref="B6:C6"/>
    <mergeCell ref="D6:J6"/>
    <mergeCell ref="K6:L6"/>
    <mergeCell ref="M6:N6"/>
    <mergeCell ref="O6:P6"/>
  </mergeCells>
  <printOptions horizontalCentered="1"/>
  <pageMargins left="0.35433070866141736" right="0.23622047244094491" top="0.74803149606299213" bottom="0.74803149606299213" header="0.19685039370078741" footer="0.31496062992125984"/>
  <pageSetup scale="76" fitToHeight="0" orientation="portrait" r:id="rId1"/>
  <headerFooter>
    <oddHeader>&amp;C&amp;"-,Negrita Cursiva"&amp;12Protocolo integrado de aforo en ríos de montaña 
Universidad Nacional de Colombia-Sede Manizales</oddHeader>
  </headerFooter>
  <rowBreaks count="1" manualBreakCount="1">
    <brk id="75" min="1" max="15" man="1"/>
  </rowBreaks>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83"/>
  <sheetViews>
    <sheetView view="pageBreakPreview" zoomScaleSheetLayoutView="100" zoomScalePageLayoutView="110" workbookViewId="0">
      <selection activeCell="J5" sqref="J5:P5"/>
    </sheetView>
  </sheetViews>
  <sheetFormatPr baseColWidth="10" defaultColWidth="11.42578125" defaultRowHeight="15" x14ac:dyDescent="0.25"/>
  <cols>
    <col min="1" max="1" width="0.140625" customWidth="1"/>
    <col min="2" max="2" width="6.7109375" customWidth="1"/>
    <col min="3" max="3" width="7.42578125" customWidth="1"/>
    <col min="4" max="4" width="11" bestFit="1" customWidth="1"/>
    <col min="5" max="5" width="6.8554687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1.7109375" customWidth="1"/>
  </cols>
  <sheetData>
    <row r="1" spans="1:17" ht="4.9000000000000004" customHeight="1" thickBot="1" x14ac:dyDescent="0.3"/>
    <row r="2" spans="1:17" s="2" customFormat="1" ht="30" customHeight="1" x14ac:dyDescent="0.25">
      <c r="A2" s="16"/>
      <c r="B2" s="77"/>
      <c r="C2" s="78"/>
      <c r="D2" s="79"/>
      <c r="E2" s="83" t="s">
        <v>54</v>
      </c>
      <c r="F2" s="84"/>
      <c r="G2" s="84"/>
      <c r="H2" s="84"/>
      <c r="I2" s="84"/>
      <c r="J2" s="84"/>
      <c r="K2" s="84"/>
      <c r="L2" s="84"/>
      <c r="M2" s="84"/>
      <c r="N2" s="84"/>
      <c r="O2" s="67"/>
      <c r="P2" s="68"/>
    </row>
    <row r="3" spans="1:17" s="2" customFormat="1" ht="20.45" customHeight="1" thickBot="1" x14ac:dyDescent="0.3">
      <c r="A3" s="16"/>
      <c r="B3" s="80"/>
      <c r="C3" s="81"/>
      <c r="D3" s="82"/>
      <c r="E3" s="85"/>
      <c r="F3" s="86"/>
      <c r="G3" s="86"/>
      <c r="H3" s="86"/>
      <c r="I3" s="86"/>
      <c r="J3" s="86"/>
      <c r="K3" s="86"/>
      <c r="L3" s="86"/>
      <c r="M3" s="86"/>
      <c r="N3" s="86"/>
      <c r="O3" s="69"/>
      <c r="P3" s="70"/>
    </row>
    <row r="4" spans="1:17" s="2" customFormat="1" ht="4.9000000000000004" customHeight="1" thickBot="1" x14ac:dyDescent="0.3">
      <c r="A4" s="16"/>
      <c r="B4" s="71"/>
      <c r="C4" s="71"/>
      <c r="D4" s="71"/>
      <c r="E4" s="71"/>
      <c r="F4" s="71"/>
      <c r="G4" s="71"/>
      <c r="H4" s="71"/>
      <c r="I4" s="71"/>
      <c r="J4" s="71"/>
      <c r="K4" s="71"/>
      <c r="L4" s="71"/>
      <c r="M4" s="71"/>
      <c r="N4" s="71"/>
      <c r="O4" s="71"/>
      <c r="P4" s="71"/>
    </row>
    <row r="5" spans="1:17" s="18" customFormat="1" ht="24.75" customHeight="1" thickBot="1" x14ac:dyDescent="0.25">
      <c r="A5" s="17"/>
      <c r="B5" s="56" t="s">
        <v>0</v>
      </c>
      <c r="C5" s="72">
        <v>42902</v>
      </c>
      <c r="D5" s="73"/>
      <c r="E5" s="87" t="s">
        <v>55</v>
      </c>
      <c r="F5" s="75"/>
      <c r="G5" s="293">
        <v>3</v>
      </c>
      <c r="H5" s="74" t="s">
        <v>2</v>
      </c>
      <c r="I5" s="75"/>
      <c r="J5" s="290" t="s">
        <v>100</v>
      </c>
      <c r="K5" s="291"/>
      <c r="L5" s="291"/>
      <c r="M5" s="291"/>
      <c r="N5" s="291"/>
      <c r="O5" s="291"/>
      <c r="P5" s="292"/>
    </row>
    <row r="6" spans="1:17" s="20" customFormat="1" ht="11.25" customHeight="1" thickBot="1" x14ac:dyDescent="0.3">
      <c r="A6" s="19"/>
      <c r="B6" s="87" t="s">
        <v>3</v>
      </c>
      <c r="C6" s="75"/>
      <c r="D6" s="88" t="s">
        <v>56</v>
      </c>
      <c r="E6" s="88"/>
      <c r="F6" s="88"/>
      <c r="G6" s="88"/>
      <c r="H6" s="88"/>
      <c r="I6" s="88"/>
      <c r="J6" s="89"/>
      <c r="K6" s="90" t="s">
        <v>4</v>
      </c>
      <c r="L6" s="74"/>
      <c r="M6" s="73" t="s">
        <v>57</v>
      </c>
      <c r="N6" s="91"/>
      <c r="O6" s="73" t="s">
        <v>58</v>
      </c>
      <c r="P6" s="76"/>
    </row>
    <row r="7" spans="1:17" s="20" customFormat="1" ht="14.1" customHeight="1" x14ac:dyDescent="0.25">
      <c r="A7" s="19"/>
      <c r="B7" s="92" t="s">
        <v>59</v>
      </c>
      <c r="C7" s="93"/>
      <c r="D7" s="93"/>
      <c r="E7" s="94"/>
      <c r="F7" s="95" t="s">
        <v>11</v>
      </c>
      <c r="G7" s="96"/>
      <c r="H7" s="97"/>
      <c r="I7" s="21">
        <v>0.49513888888888885</v>
      </c>
      <c r="J7" s="98" t="s">
        <v>60</v>
      </c>
      <c r="K7" s="99"/>
      <c r="L7" s="22">
        <v>1.1399999999999999</v>
      </c>
      <c r="M7" s="92" t="s">
        <v>13</v>
      </c>
      <c r="N7" s="93"/>
      <c r="O7" s="93"/>
      <c r="P7" s="23">
        <v>3.55</v>
      </c>
    </row>
    <row r="8" spans="1:17" s="20" customFormat="1" ht="14.1" customHeight="1" thickBot="1" x14ac:dyDescent="0.3">
      <c r="A8" s="19"/>
      <c r="B8" s="100" t="s">
        <v>6</v>
      </c>
      <c r="C8" s="101"/>
      <c r="D8" s="101"/>
      <c r="E8" s="102"/>
      <c r="F8" s="24" t="s">
        <v>14</v>
      </c>
      <c r="G8" s="25"/>
      <c r="H8" s="26"/>
      <c r="I8" s="27">
        <v>0.53680555555555554</v>
      </c>
      <c r="J8" s="103" t="s">
        <v>61</v>
      </c>
      <c r="K8" s="104"/>
      <c r="L8" s="22">
        <v>1.1200000000000001</v>
      </c>
      <c r="M8" s="105" t="s">
        <v>16</v>
      </c>
      <c r="N8" s="106"/>
      <c r="O8" s="106"/>
      <c r="P8" s="28">
        <v>0.25</v>
      </c>
    </row>
    <row r="9" spans="1:17" s="20" customFormat="1" ht="14.1" customHeight="1" x14ac:dyDescent="0.25">
      <c r="A9" s="29"/>
      <c r="B9" s="107" t="s">
        <v>7</v>
      </c>
      <c r="C9" s="108"/>
      <c r="D9" s="111" t="s">
        <v>8</v>
      </c>
      <c r="E9" s="93" t="s">
        <v>9</v>
      </c>
      <c r="F9" s="93"/>
      <c r="G9" s="93"/>
      <c r="H9" s="30"/>
      <c r="I9" s="113" t="s">
        <v>62</v>
      </c>
      <c r="J9" s="114"/>
      <c r="K9" s="117">
        <v>0.74</v>
      </c>
      <c r="L9" s="119" t="s">
        <v>12</v>
      </c>
      <c r="M9" s="120"/>
      <c r="N9" s="120"/>
      <c r="O9" s="121">
        <v>11</v>
      </c>
      <c r="P9" s="122"/>
    </row>
    <row r="10" spans="1:17" s="20" customFormat="1" ht="14.1" customHeight="1" thickBot="1" x14ac:dyDescent="0.3">
      <c r="A10" s="29"/>
      <c r="B10" s="109"/>
      <c r="C10" s="110"/>
      <c r="D10" s="112"/>
      <c r="E10" s="106" t="s">
        <v>10</v>
      </c>
      <c r="F10" s="106"/>
      <c r="G10" s="106"/>
      <c r="H10" s="31" t="s">
        <v>5</v>
      </c>
      <c r="I10" s="115"/>
      <c r="J10" s="116"/>
      <c r="K10" s="118"/>
      <c r="L10" s="123" t="s">
        <v>15</v>
      </c>
      <c r="M10" s="124"/>
      <c r="N10" s="124"/>
      <c r="O10" s="125">
        <v>0.48958333333333331</v>
      </c>
      <c r="P10" s="126"/>
    </row>
    <row r="11" spans="1:17" s="33" customFormat="1" ht="25.15" customHeight="1" x14ac:dyDescent="0.2">
      <c r="A11" s="11"/>
      <c r="B11" s="127" t="s">
        <v>17</v>
      </c>
      <c r="C11" s="130" t="s">
        <v>63</v>
      </c>
      <c r="D11" s="130"/>
      <c r="E11" s="130"/>
      <c r="F11" s="32"/>
      <c r="G11" s="131" t="s">
        <v>64</v>
      </c>
      <c r="H11" s="131"/>
      <c r="I11" s="131"/>
      <c r="J11" s="131"/>
      <c r="K11" s="131"/>
      <c r="L11" s="132"/>
      <c r="M11" s="131" t="s">
        <v>65</v>
      </c>
      <c r="N11" s="131"/>
      <c r="O11" s="131"/>
      <c r="P11" s="135"/>
    </row>
    <row r="12" spans="1:17" s="33" customFormat="1" ht="17.45" customHeight="1" x14ac:dyDescent="0.2">
      <c r="A12" s="11"/>
      <c r="B12" s="128"/>
      <c r="C12" s="136" t="s">
        <v>66</v>
      </c>
      <c r="D12" s="136"/>
      <c r="E12" s="136"/>
      <c r="F12" s="34"/>
      <c r="G12" s="137" t="s">
        <v>67</v>
      </c>
      <c r="H12" s="137"/>
      <c r="I12" s="137"/>
      <c r="J12" s="137"/>
      <c r="K12" s="137"/>
      <c r="L12" s="133"/>
      <c r="M12" s="137" t="s">
        <v>68</v>
      </c>
      <c r="N12" s="137"/>
      <c r="O12" s="137"/>
      <c r="P12" s="139"/>
    </row>
    <row r="13" spans="1:17" s="33" customFormat="1" ht="25.15" customHeight="1" thickBot="1" x14ac:dyDescent="0.25">
      <c r="A13" s="11"/>
      <c r="B13" s="129"/>
      <c r="C13" s="140"/>
      <c r="D13" s="141"/>
      <c r="E13" s="141"/>
      <c r="F13" s="141"/>
      <c r="G13" s="138" t="s">
        <v>69</v>
      </c>
      <c r="H13" s="138"/>
      <c r="I13" s="138"/>
      <c r="J13" s="138"/>
      <c r="K13" s="138"/>
      <c r="L13" s="134"/>
      <c r="M13" s="138" t="s">
        <v>70</v>
      </c>
      <c r="N13" s="138"/>
      <c r="O13" s="138"/>
      <c r="P13" s="142"/>
    </row>
    <row r="14" spans="1:17" ht="16.5" customHeight="1" x14ac:dyDescent="0.25">
      <c r="A14" s="5"/>
      <c r="B14" s="143" t="s">
        <v>18</v>
      </c>
      <c r="C14" s="145" t="s">
        <v>19</v>
      </c>
      <c r="D14" s="145" t="s">
        <v>40</v>
      </c>
      <c r="E14" s="147" t="s">
        <v>20</v>
      </c>
      <c r="F14" s="149" t="s">
        <v>41</v>
      </c>
      <c r="G14" s="150"/>
      <c r="H14" s="151"/>
      <c r="I14" s="155" t="s">
        <v>42</v>
      </c>
      <c r="J14" s="156"/>
      <c r="K14" s="35"/>
      <c r="L14" s="36" t="s">
        <v>43</v>
      </c>
      <c r="M14" s="36" t="s">
        <v>44</v>
      </c>
      <c r="N14" s="36" t="s">
        <v>44</v>
      </c>
      <c r="O14" s="36" t="s">
        <v>45</v>
      </c>
      <c r="P14" s="37" t="s">
        <v>21</v>
      </c>
    </row>
    <row r="15" spans="1:17" ht="14.1" customHeight="1" thickBot="1" x14ac:dyDescent="0.3">
      <c r="A15" s="5"/>
      <c r="B15" s="144"/>
      <c r="C15" s="146"/>
      <c r="D15" s="146"/>
      <c r="E15" s="148"/>
      <c r="F15" s="152"/>
      <c r="G15" s="153"/>
      <c r="H15" s="154"/>
      <c r="I15" s="157" t="s">
        <v>22</v>
      </c>
      <c r="J15" s="158"/>
      <c r="K15" s="38" t="s">
        <v>23</v>
      </c>
      <c r="L15" s="38" t="s">
        <v>46</v>
      </c>
      <c r="M15" s="38" t="s">
        <v>47</v>
      </c>
      <c r="N15" s="38" t="s">
        <v>24</v>
      </c>
      <c r="O15" s="38" t="s">
        <v>25</v>
      </c>
      <c r="P15" s="39" t="s">
        <v>26</v>
      </c>
      <c r="Q15">
        <f>+P7+K9</f>
        <v>4.29</v>
      </c>
    </row>
    <row r="16" spans="1:17" s="3" customFormat="1" ht="14.1" customHeight="1" x14ac:dyDescent="0.2">
      <c r="A16" s="11"/>
      <c r="B16" s="174">
        <v>1</v>
      </c>
      <c r="C16" s="177">
        <f>+K9</f>
        <v>0.74</v>
      </c>
      <c r="D16" s="159">
        <v>0</v>
      </c>
      <c r="E16" s="159">
        <v>2.5000000000000001E-2</v>
      </c>
      <c r="F16" s="40" t="s">
        <v>71</v>
      </c>
      <c r="G16" s="168" t="str">
        <f>IF(E16&lt;0.12,"NA",IF(E16&gt;=0.12,0.2*E16))</f>
        <v>NA</v>
      </c>
      <c r="H16" s="168"/>
      <c r="I16" s="168"/>
      <c r="J16" s="168"/>
      <c r="K16" s="159">
        <f>ROUND(+IF(E16&lt;0.12,(I17),(IF(E16&gt;=0.12,((I16+2*I17+I18)/4)))),3)</f>
        <v>5.0000000000000001E-3</v>
      </c>
      <c r="L16" s="159">
        <f>ROUND(+(D16+D18)/2*(C18-C16),3)</f>
        <v>1.0999999999999999E-2</v>
      </c>
      <c r="M16" s="162">
        <f>ROUND(+K16*L16,4)</f>
        <v>1E-4</v>
      </c>
      <c r="N16" s="165">
        <f>ROUND(+M16/$M$68*100,1)</f>
        <v>0.1</v>
      </c>
      <c r="O16" s="168"/>
      <c r="P16" s="171"/>
    </row>
    <row r="17" spans="1:16" s="3" customFormat="1" ht="14.1" customHeight="1" x14ac:dyDescent="0.2">
      <c r="A17" s="11"/>
      <c r="B17" s="175"/>
      <c r="C17" s="178"/>
      <c r="D17" s="160"/>
      <c r="E17" s="160"/>
      <c r="F17" s="41" t="s">
        <v>72</v>
      </c>
      <c r="G17" s="178">
        <f>IF(E16&lt;0.12,0.6*E16,IF(E16&gt;=0.12,0.6*E16))</f>
        <v>1.4999999999999999E-2</v>
      </c>
      <c r="H17" s="178"/>
      <c r="I17" s="169">
        <v>5.0000000000000001E-3</v>
      </c>
      <c r="J17" s="169"/>
      <c r="K17" s="160"/>
      <c r="L17" s="160"/>
      <c r="M17" s="163"/>
      <c r="N17" s="166"/>
      <c r="O17" s="169"/>
      <c r="P17" s="172"/>
    </row>
    <row r="18" spans="1:16" s="3" customFormat="1" ht="13.9" customHeight="1" thickBot="1" x14ac:dyDescent="0.25">
      <c r="A18" s="11"/>
      <c r="B18" s="176"/>
      <c r="C18" s="42">
        <f>+C16+P8</f>
        <v>0.99</v>
      </c>
      <c r="D18" s="43">
        <v>9.0999999999999998E-2</v>
      </c>
      <c r="E18" s="161"/>
      <c r="F18" s="44" t="s">
        <v>73</v>
      </c>
      <c r="G18" s="179" t="str">
        <f>IF(E16&lt;0.12,"NA",IF(E16&gt;=0.12,0.8*E16))</f>
        <v>NA</v>
      </c>
      <c r="H18" s="179"/>
      <c r="I18" s="170"/>
      <c r="J18" s="170"/>
      <c r="K18" s="161"/>
      <c r="L18" s="161"/>
      <c r="M18" s="164"/>
      <c r="N18" s="167"/>
      <c r="O18" s="170"/>
      <c r="P18" s="173"/>
    </row>
    <row r="19" spans="1:16" s="3" customFormat="1" ht="14.1" customHeight="1" x14ac:dyDescent="0.2">
      <c r="A19" s="11"/>
      <c r="B19" s="174">
        <v>2</v>
      </c>
      <c r="C19" s="177">
        <f>+C18</f>
        <v>0.99</v>
      </c>
      <c r="D19" s="159">
        <f>+D18</f>
        <v>9.0999999999999998E-2</v>
      </c>
      <c r="E19" s="159">
        <v>0.14099999999999999</v>
      </c>
      <c r="F19" s="40" t="s">
        <v>71</v>
      </c>
      <c r="G19" s="168">
        <f t="shared" ref="G19" si="0">IF(E19&lt;0.12,"NA",IF(E19&gt;=0.12,0.2*E19))</f>
        <v>2.8199999999999999E-2</v>
      </c>
      <c r="H19" s="168"/>
      <c r="I19" s="168">
        <v>0.20100000000000001</v>
      </c>
      <c r="J19" s="168"/>
      <c r="K19" s="159">
        <f t="shared" ref="K19" si="1">ROUND(+IF(E19&lt;0.12,(I20),(IF(E19&gt;=0.12,((I19+2*I20+I21)/4)))),3)</f>
        <v>0.159</v>
      </c>
      <c r="L19" s="159">
        <f>ROUND(+(D19+D21)/2*(C21-C19),3)</f>
        <v>3.4000000000000002E-2</v>
      </c>
      <c r="M19" s="162">
        <f t="shared" ref="M19" si="2">ROUND(+K19*L19,4)</f>
        <v>5.4000000000000003E-3</v>
      </c>
      <c r="N19" s="165">
        <f>ROUND(+M19/$M$68*100,1)</f>
        <v>3.6</v>
      </c>
      <c r="O19" s="168"/>
      <c r="P19" s="171"/>
    </row>
    <row r="20" spans="1:16" s="3" customFormat="1" ht="14.1" customHeight="1" x14ac:dyDescent="0.2">
      <c r="A20" s="11"/>
      <c r="B20" s="175"/>
      <c r="C20" s="178"/>
      <c r="D20" s="160"/>
      <c r="E20" s="160"/>
      <c r="F20" s="41" t="s">
        <v>72</v>
      </c>
      <c r="G20" s="178">
        <f t="shared" ref="G20" si="3">IF(E19&lt;0.12,0.6*E19,IF(E19&gt;=0.12,0.6*E19))</f>
        <v>8.4599999999999995E-2</v>
      </c>
      <c r="H20" s="178"/>
      <c r="I20" s="169">
        <v>0.14599999999999999</v>
      </c>
      <c r="J20" s="169"/>
      <c r="K20" s="160"/>
      <c r="L20" s="160"/>
      <c r="M20" s="163"/>
      <c r="N20" s="166"/>
      <c r="O20" s="169"/>
      <c r="P20" s="172"/>
    </row>
    <row r="21" spans="1:16" s="3" customFormat="1" ht="13.9" customHeight="1" thickBot="1" x14ac:dyDescent="0.25">
      <c r="A21" s="11"/>
      <c r="B21" s="176"/>
      <c r="C21" s="42">
        <f>+C19+$P$8</f>
        <v>1.24</v>
      </c>
      <c r="D21" s="43">
        <v>0.18</v>
      </c>
      <c r="E21" s="161"/>
      <c r="F21" s="44" t="s">
        <v>73</v>
      </c>
      <c r="G21" s="179">
        <f t="shared" ref="G21" si="4">IF(E19&lt;0.12,"NA",IF(E19&gt;=0.12,0.8*E19))</f>
        <v>0.1128</v>
      </c>
      <c r="H21" s="179"/>
      <c r="I21" s="170">
        <v>0.14299999999999999</v>
      </c>
      <c r="J21" s="170"/>
      <c r="K21" s="161"/>
      <c r="L21" s="161"/>
      <c r="M21" s="164"/>
      <c r="N21" s="167"/>
      <c r="O21" s="170"/>
      <c r="P21" s="173"/>
    </row>
    <row r="22" spans="1:16" s="54" customFormat="1" ht="14.1" customHeight="1" x14ac:dyDescent="0.2">
      <c r="A22" s="53"/>
      <c r="B22" s="274">
        <v>3</v>
      </c>
      <c r="C22" s="177">
        <f>+C21</f>
        <v>1.24</v>
      </c>
      <c r="D22" s="159">
        <f>+D21</f>
        <v>0.18</v>
      </c>
      <c r="E22" s="159">
        <v>0.186</v>
      </c>
      <c r="F22" s="40" t="s">
        <v>71</v>
      </c>
      <c r="G22" s="168">
        <f t="shared" ref="G22" si="5">IF(E22&lt;0.12,"NA",IF(E22&gt;=0.12,0.2*E22))</f>
        <v>3.7200000000000004E-2</v>
      </c>
      <c r="H22" s="168"/>
      <c r="I22" s="168">
        <v>0.249</v>
      </c>
      <c r="J22" s="168"/>
      <c r="K22" s="159">
        <f t="shared" ref="K22" si="6">ROUND(+IF(E22&lt;0.12,(I23),(IF(E22&gt;=0.12,((I22+2*I23+I24)/4)))),3)</f>
        <v>0.186</v>
      </c>
      <c r="L22" s="159">
        <f t="shared" ref="L22" si="7">ROUND(+(D22+D24)/2*(C24-C22),3)</f>
        <v>4.9000000000000002E-2</v>
      </c>
      <c r="M22" s="162">
        <f t="shared" ref="M22" si="8">ROUND(+K22*L22,4)</f>
        <v>9.1000000000000004E-3</v>
      </c>
      <c r="N22" s="165">
        <f>ROUND(+M22/$M$68*100,1)</f>
        <v>6</v>
      </c>
      <c r="O22" s="168"/>
      <c r="P22" s="171"/>
    </row>
    <row r="23" spans="1:16" s="54" customFormat="1" ht="14.1" customHeight="1" x14ac:dyDescent="0.2">
      <c r="A23" s="53"/>
      <c r="B23" s="275"/>
      <c r="C23" s="178"/>
      <c r="D23" s="160"/>
      <c r="E23" s="160"/>
      <c r="F23" s="41" t="s">
        <v>72</v>
      </c>
      <c r="G23" s="178">
        <f t="shared" ref="G23" si="9">IF(E22&lt;0.12,0.6*E22,IF(E22&gt;=0.12,0.6*E22))</f>
        <v>0.11159999999999999</v>
      </c>
      <c r="H23" s="178"/>
      <c r="I23" s="169">
        <v>0.16700000000000001</v>
      </c>
      <c r="J23" s="169"/>
      <c r="K23" s="160"/>
      <c r="L23" s="160"/>
      <c r="M23" s="163"/>
      <c r="N23" s="166"/>
      <c r="O23" s="169"/>
      <c r="P23" s="172"/>
    </row>
    <row r="24" spans="1:16" s="54" customFormat="1" ht="13.9" customHeight="1" thickBot="1" x14ac:dyDescent="0.25">
      <c r="A24" s="53"/>
      <c r="B24" s="276"/>
      <c r="C24" s="42">
        <f>+C22+$P$8</f>
        <v>1.49</v>
      </c>
      <c r="D24" s="43">
        <v>0.215</v>
      </c>
      <c r="E24" s="161"/>
      <c r="F24" s="44" t="s">
        <v>73</v>
      </c>
      <c r="G24" s="179">
        <f t="shared" ref="G24" si="10">IF(E22&lt;0.12,"NA",IF(E22&gt;=0.12,0.8*E22))</f>
        <v>0.14880000000000002</v>
      </c>
      <c r="H24" s="179"/>
      <c r="I24" s="170">
        <v>0.16200000000000001</v>
      </c>
      <c r="J24" s="170"/>
      <c r="K24" s="161"/>
      <c r="L24" s="161"/>
      <c r="M24" s="164"/>
      <c r="N24" s="167"/>
      <c r="O24" s="170"/>
      <c r="P24" s="173"/>
    </row>
    <row r="25" spans="1:16" s="3" customFormat="1" ht="14.1" customHeight="1" x14ac:dyDescent="0.2">
      <c r="A25" s="11"/>
      <c r="B25" s="174">
        <v>4</v>
      </c>
      <c r="C25" s="177">
        <f>+C24</f>
        <v>1.49</v>
      </c>
      <c r="D25" s="159">
        <f>+D24</f>
        <v>0.215</v>
      </c>
      <c r="E25" s="159">
        <v>0.21</v>
      </c>
      <c r="F25" s="40" t="s">
        <v>71</v>
      </c>
      <c r="G25" s="168">
        <f t="shared" ref="G25" si="11">IF(E25&lt;0.12,"NA",IF(E25&gt;=0.12,0.2*E25))</f>
        <v>4.2000000000000003E-2</v>
      </c>
      <c r="H25" s="168"/>
      <c r="I25" s="168">
        <v>0.25800000000000001</v>
      </c>
      <c r="J25" s="168"/>
      <c r="K25" s="159">
        <f t="shared" ref="K25" si="12">ROUND(+IF(E25&lt;0.12,(I26),(IF(E25&gt;=0.12,((I25+2*I26+I27)/4)))),3)</f>
        <v>0.19700000000000001</v>
      </c>
      <c r="L25" s="159">
        <f t="shared" ref="L25" si="13">ROUND(+(D25+D27)/2*(C27-C25),3)</f>
        <v>5.3999999999999999E-2</v>
      </c>
      <c r="M25" s="162">
        <f t="shared" ref="M25" si="14">ROUND(+K25*L25,4)</f>
        <v>1.06E-2</v>
      </c>
      <c r="N25" s="165">
        <f>ROUND(+M25/$M$68*100,1)</f>
        <v>7</v>
      </c>
      <c r="O25" s="168"/>
      <c r="P25" s="171"/>
    </row>
    <row r="26" spans="1:16" s="3" customFormat="1" ht="14.1" customHeight="1" x14ac:dyDescent="0.2">
      <c r="A26" s="11"/>
      <c r="B26" s="175"/>
      <c r="C26" s="178"/>
      <c r="D26" s="160"/>
      <c r="E26" s="160"/>
      <c r="F26" s="41" t="s">
        <v>72</v>
      </c>
      <c r="G26" s="178">
        <f t="shared" ref="G26" si="15">IF(E25&lt;0.12,0.6*E25,IF(E25&gt;=0.12,0.6*E25))</f>
        <v>0.126</v>
      </c>
      <c r="H26" s="178"/>
      <c r="I26" s="169">
        <v>0.18</v>
      </c>
      <c r="J26" s="169"/>
      <c r="K26" s="160"/>
      <c r="L26" s="160"/>
      <c r="M26" s="163"/>
      <c r="N26" s="166"/>
      <c r="O26" s="169"/>
      <c r="P26" s="172"/>
    </row>
    <row r="27" spans="1:16" s="3" customFormat="1" ht="13.9" customHeight="1" thickBot="1" x14ac:dyDescent="0.25">
      <c r="A27" s="11"/>
      <c r="B27" s="176"/>
      <c r="C27" s="42">
        <f>+C25+$P$8</f>
        <v>1.74</v>
      </c>
      <c r="D27" s="43">
        <v>0.22</v>
      </c>
      <c r="E27" s="161"/>
      <c r="F27" s="44" t="s">
        <v>73</v>
      </c>
      <c r="G27" s="179">
        <f t="shared" ref="G27" si="16">IF(E25&lt;0.12,"NA",IF(E25&gt;=0.12,0.8*E25))</f>
        <v>0.16800000000000001</v>
      </c>
      <c r="H27" s="179"/>
      <c r="I27" s="170">
        <v>0.16900000000000001</v>
      </c>
      <c r="J27" s="170"/>
      <c r="K27" s="161"/>
      <c r="L27" s="161"/>
      <c r="M27" s="164"/>
      <c r="N27" s="167"/>
      <c r="O27" s="170"/>
      <c r="P27" s="173"/>
    </row>
    <row r="28" spans="1:16" s="3" customFormat="1" ht="14.1" customHeight="1" x14ac:dyDescent="0.2">
      <c r="A28" s="11"/>
      <c r="B28" s="174">
        <v>5</v>
      </c>
      <c r="C28" s="177">
        <f>+C27</f>
        <v>1.74</v>
      </c>
      <c r="D28" s="159">
        <f t="shared" ref="D28" si="17">+D27</f>
        <v>0.22</v>
      </c>
      <c r="E28" s="159">
        <v>0.22500000000000001</v>
      </c>
      <c r="F28" s="40" t="s">
        <v>71</v>
      </c>
      <c r="G28" s="168">
        <f t="shared" ref="G28" si="18">IF(E28&lt;0.12,"NA",IF(E28&gt;=0.12,0.2*E28))</f>
        <v>4.5000000000000005E-2</v>
      </c>
      <c r="H28" s="168"/>
      <c r="I28" s="168">
        <v>0.378</v>
      </c>
      <c r="J28" s="168"/>
      <c r="K28" s="159">
        <f t="shared" ref="K28" si="19">ROUND(+IF(E28&lt;0.12,(I29),(IF(E28&gt;=0.12,((I28+2*I29+I30)/4)))),3)</f>
        <v>0.33500000000000002</v>
      </c>
      <c r="L28" s="159">
        <f t="shared" ref="L28" si="20">ROUND(+(D28+D30)/2*(C30-C28),3)</f>
        <v>6.2E-2</v>
      </c>
      <c r="M28" s="162">
        <f t="shared" ref="M28" si="21">ROUND(+K28*L28,4)</f>
        <v>2.0799999999999999E-2</v>
      </c>
      <c r="N28" s="165">
        <f>ROUND(+M28/$M$68*100,1)</f>
        <v>13.7</v>
      </c>
      <c r="O28" s="168"/>
      <c r="P28" s="171"/>
    </row>
    <row r="29" spans="1:16" s="3" customFormat="1" ht="14.1" customHeight="1" x14ac:dyDescent="0.2">
      <c r="A29" s="11"/>
      <c r="B29" s="175"/>
      <c r="C29" s="178"/>
      <c r="D29" s="160"/>
      <c r="E29" s="160"/>
      <c r="F29" s="41" t="s">
        <v>72</v>
      </c>
      <c r="G29" s="178">
        <f t="shared" ref="G29" si="22">IF(E28&lt;0.12,0.6*E28,IF(E28&gt;=0.12,0.6*E28))</f>
        <v>0.13500000000000001</v>
      </c>
      <c r="H29" s="178"/>
      <c r="I29" s="169">
        <v>0.36299999999999999</v>
      </c>
      <c r="J29" s="169"/>
      <c r="K29" s="160"/>
      <c r="L29" s="160"/>
      <c r="M29" s="163"/>
      <c r="N29" s="166"/>
      <c r="O29" s="169"/>
      <c r="P29" s="172"/>
    </row>
    <row r="30" spans="1:16" s="3" customFormat="1" ht="13.9" customHeight="1" thickBot="1" x14ac:dyDescent="0.25">
      <c r="A30" s="11"/>
      <c r="B30" s="176"/>
      <c r="C30" s="42">
        <f>+C28+$P$8</f>
        <v>1.99</v>
      </c>
      <c r="D30" s="43">
        <v>0.27500000000000002</v>
      </c>
      <c r="E30" s="161"/>
      <c r="F30" s="44" t="s">
        <v>73</v>
      </c>
      <c r="G30" s="179">
        <f t="shared" ref="G30" si="23">IF(E28&lt;0.12,"NA",IF(E28&gt;=0.12,0.8*E28))</f>
        <v>0.18000000000000002</v>
      </c>
      <c r="H30" s="179"/>
      <c r="I30" s="170">
        <v>0.23400000000000001</v>
      </c>
      <c r="J30" s="170"/>
      <c r="K30" s="161"/>
      <c r="L30" s="161"/>
      <c r="M30" s="164"/>
      <c r="N30" s="167"/>
      <c r="O30" s="170"/>
      <c r="P30" s="173"/>
    </row>
    <row r="31" spans="1:16" s="3" customFormat="1" ht="14.1" customHeight="1" x14ac:dyDescent="0.2">
      <c r="A31" s="11"/>
      <c r="B31" s="174">
        <v>6</v>
      </c>
      <c r="C31" s="177">
        <f>+C30</f>
        <v>1.99</v>
      </c>
      <c r="D31" s="159">
        <f t="shared" ref="D31" si="24">+D30</f>
        <v>0.27500000000000002</v>
      </c>
      <c r="E31" s="159">
        <v>0.26500000000000001</v>
      </c>
      <c r="F31" s="40" t="s">
        <v>71</v>
      </c>
      <c r="G31" s="168">
        <f t="shared" ref="G31" si="25">IF(E31&lt;0.12,"NA",IF(E31&gt;=0.12,0.2*E31))</f>
        <v>5.3000000000000005E-2</v>
      </c>
      <c r="H31" s="168"/>
      <c r="I31" s="168">
        <v>0.40699999999999997</v>
      </c>
      <c r="J31" s="168"/>
      <c r="K31" s="159">
        <f t="shared" ref="K31" si="26">ROUND(+IF(E31&lt;0.12,(I32),(IF(E31&gt;=0.12,((I31+2*I32+I33)/4)))),3)</f>
        <v>0.36799999999999999</v>
      </c>
      <c r="L31" s="159">
        <f t="shared" ref="L31" si="27">ROUND(+(D31+D33)/2*(C33-C31),3)</f>
        <v>7.3999999999999996E-2</v>
      </c>
      <c r="M31" s="162">
        <f t="shared" ref="M31" si="28">ROUND(+K31*L31,4)</f>
        <v>2.7199999999999998E-2</v>
      </c>
      <c r="N31" s="165">
        <f>ROUND(+M31/$M$68*100,1)</f>
        <v>18</v>
      </c>
      <c r="O31" s="168"/>
      <c r="P31" s="171"/>
    </row>
    <row r="32" spans="1:16" s="3" customFormat="1" ht="14.1" customHeight="1" x14ac:dyDescent="0.2">
      <c r="A32" s="11"/>
      <c r="B32" s="175"/>
      <c r="C32" s="178"/>
      <c r="D32" s="160"/>
      <c r="E32" s="160"/>
      <c r="F32" s="41" t="s">
        <v>72</v>
      </c>
      <c r="G32" s="178">
        <f t="shared" ref="G32" si="29">IF(E31&lt;0.12,0.6*E31,IF(E31&gt;=0.12,0.6*E31))</f>
        <v>0.159</v>
      </c>
      <c r="H32" s="178"/>
      <c r="I32" s="169">
        <v>0.36899999999999999</v>
      </c>
      <c r="J32" s="169"/>
      <c r="K32" s="160"/>
      <c r="L32" s="160"/>
      <c r="M32" s="163"/>
      <c r="N32" s="166"/>
      <c r="O32" s="169"/>
      <c r="P32" s="172"/>
    </row>
    <row r="33" spans="1:16" s="3" customFormat="1" ht="13.9" customHeight="1" thickBot="1" x14ac:dyDescent="0.25">
      <c r="A33" s="11"/>
      <c r="B33" s="176"/>
      <c r="C33" s="42">
        <f>+C31+$P$8</f>
        <v>2.2400000000000002</v>
      </c>
      <c r="D33" s="43">
        <v>0.314</v>
      </c>
      <c r="E33" s="161"/>
      <c r="F33" s="44" t="s">
        <v>73</v>
      </c>
      <c r="G33" s="179">
        <f t="shared" ref="G33" si="30">IF(E31&lt;0.12,"NA",IF(E31&gt;=0.12,0.8*E31))</f>
        <v>0.21200000000000002</v>
      </c>
      <c r="H33" s="179"/>
      <c r="I33" s="170">
        <v>0.32800000000000001</v>
      </c>
      <c r="J33" s="170"/>
      <c r="K33" s="161"/>
      <c r="L33" s="161"/>
      <c r="M33" s="164"/>
      <c r="N33" s="167"/>
      <c r="O33" s="170"/>
      <c r="P33" s="173"/>
    </row>
    <row r="34" spans="1:16" s="3" customFormat="1" ht="14.1" customHeight="1" x14ac:dyDescent="0.2">
      <c r="A34" s="11"/>
      <c r="B34" s="174">
        <v>7</v>
      </c>
      <c r="C34" s="177">
        <f>+C33</f>
        <v>2.2400000000000002</v>
      </c>
      <c r="D34" s="159">
        <f t="shared" ref="D34" si="31">+D33</f>
        <v>0.314</v>
      </c>
      <c r="E34" s="180">
        <v>0.32400000000000001</v>
      </c>
      <c r="F34" s="40" t="s">
        <v>71</v>
      </c>
      <c r="G34" s="168">
        <f t="shared" ref="G34" si="32">IF(E34&lt;0.12,"NA",IF(E34&gt;=0.12,0.2*E34))</f>
        <v>6.480000000000001E-2</v>
      </c>
      <c r="H34" s="168"/>
      <c r="I34" s="184"/>
      <c r="J34" s="185"/>
      <c r="K34" s="159"/>
      <c r="L34" s="159"/>
      <c r="M34" s="162"/>
      <c r="N34" s="165"/>
      <c r="O34" s="168"/>
      <c r="P34" s="171"/>
    </row>
    <row r="35" spans="1:16" s="3" customFormat="1" ht="14.1" customHeight="1" x14ac:dyDescent="0.2">
      <c r="A35" s="11"/>
      <c r="B35" s="175"/>
      <c r="C35" s="178"/>
      <c r="D35" s="160"/>
      <c r="E35" s="182"/>
      <c r="F35" s="41" t="s">
        <v>72</v>
      </c>
      <c r="G35" s="178">
        <f t="shared" ref="G35" si="33">IF(E34&lt;0.12,0.6*E34,IF(E34&gt;=0.12,0.6*E34))</f>
        <v>0.19439999999999999</v>
      </c>
      <c r="H35" s="178"/>
      <c r="I35" s="186"/>
      <c r="J35" s="187"/>
      <c r="K35" s="160"/>
      <c r="L35" s="160"/>
      <c r="M35" s="163"/>
      <c r="N35" s="166"/>
      <c r="O35" s="169"/>
      <c r="P35" s="172"/>
    </row>
    <row r="36" spans="1:16" s="3" customFormat="1" ht="13.9" customHeight="1" thickBot="1" x14ac:dyDescent="0.25">
      <c r="A36" s="11"/>
      <c r="B36" s="176"/>
      <c r="C36" s="42">
        <f>+C34+$P$8</f>
        <v>2.4900000000000002</v>
      </c>
      <c r="D36" s="43">
        <v>0.28599999999999998</v>
      </c>
      <c r="E36" s="183"/>
      <c r="F36" s="44" t="s">
        <v>73</v>
      </c>
      <c r="G36" s="179">
        <f t="shared" ref="G36" si="34">IF(E34&lt;0.12,"NA",IF(E34&gt;=0.12,0.8*E34))</f>
        <v>0.25920000000000004</v>
      </c>
      <c r="H36" s="179"/>
      <c r="I36" s="188"/>
      <c r="J36" s="189"/>
      <c r="K36" s="161"/>
      <c r="L36" s="161"/>
      <c r="M36" s="164"/>
      <c r="N36" s="167"/>
      <c r="O36" s="170"/>
      <c r="P36" s="173"/>
    </row>
    <row r="37" spans="1:16" s="3" customFormat="1" ht="14.1" customHeight="1" x14ac:dyDescent="0.2">
      <c r="A37" s="11"/>
      <c r="B37" s="174">
        <v>8</v>
      </c>
      <c r="C37" s="177">
        <f>+C36</f>
        <v>2.4900000000000002</v>
      </c>
      <c r="D37" s="159">
        <f t="shared" ref="D37" si="35">+D36</f>
        <v>0.28599999999999998</v>
      </c>
      <c r="E37" s="159">
        <v>0.23699999999999999</v>
      </c>
      <c r="F37" s="40" t="s">
        <v>71</v>
      </c>
      <c r="G37" s="168">
        <f t="shared" ref="G37" si="36">IF(E37&lt;0.12,"NA",IF(E37&gt;=0.12,0.2*E37))</f>
        <v>4.7399999999999998E-2</v>
      </c>
      <c r="H37" s="168"/>
      <c r="I37" s="168">
        <v>0.55300000000000005</v>
      </c>
      <c r="J37" s="168"/>
      <c r="K37" s="159">
        <f t="shared" ref="K37" si="37">ROUND(+IF(E37&lt;0.12,(I38),(IF(E37&gt;=0.12,((I37+2*I38+I39)/4)))),3)</f>
        <v>0.36099999999999999</v>
      </c>
      <c r="L37" s="159">
        <f t="shared" ref="L37" si="38">ROUND(+(D37+D39)/2*(C39-C37),3)</f>
        <v>6.5000000000000002E-2</v>
      </c>
      <c r="M37" s="162">
        <f t="shared" ref="M37" si="39">ROUND(+K37*L37,4)</f>
        <v>2.35E-2</v>
      </c>
      <c r="N37" s="165">
        <f>ROUND(+M37/$M$68*100,1)</f>
        <v>15.5</v>
      </c>
      <c r="O37" s="168"/>
      <c r="P37" s="171"/>
    </row>
    <row r="38" spans="1:16" s="3" customFormat="1" ht="14.1" customHeight="1" x14ac:dyDescent="0.2">
      <c r="A38" s="11"/>
      <c r="B38" s="175"/>
      <c r="C38" s="178"/>
      <c r="D38" s="160"/>
      <c r="E38" s="160"/>
      <c r="F38" s="41" t="s">
        <v>72</v>
      </c>
      <c r="G38" s="178">
        <f t="shared" ref="G38" si="40">IF(E37&lt;0.12,0.6*E37,IF(E37&gt;=0.12,0.6*E37))</f>
        <v>0.14219999999999999</v>
      </c>
      <c r="H38" s="178"/>
      <c r="I38" s="169">
        <v>0.317</v>
      </c>
      <c r="J38" s="169"/>
      <c r="K38" s="160"/>
      <c r="L38" s="160"/>
      <c r="M38" s="163"/>
      <c r="N38" s="166"/>
      <c r="O38" s="169"/>
      <c r="P38" s="172"/>
    </row>
    <row r="39" spans="1:16" s="3" customFormat="1" ht="13.9" customHeight="1" thickBot="1" x14ac:dyDescent="0.25">
      <c r="A39" s="11"/>
      <c r="B39" s="176"/>
      <c r="C39" s="42">
        <f>+C37+$P$8</f>
        <v>2.74</v>
      </c>
      <c r="D39" s="43">
        <v>0.23</v>
      </c>
      <c r="E39" s="161"/>
      <c r="F39" s="44" t="s">
        <v>73</v>
      </c>
      <c r="G39" s="179">
        <f t="shared" ref="G39" si="41">IF(E37&lt;0.12,"NA",IF(E37&gt;=0.12,0.8*E37))</f>
        <v>0.18959999999999999</v>
      </c>
      <c r="H39" s="179"/>
      <c r="I39" s="170">
        <v>0.25700000000000001</v>
      </c>
      <c r="J39" s="170"/>
      <c r="K39" s="161"/>
      <c r="L39" s="161"/>
      <c r="M39" s="164"/>
      <c r="N39" s="167"/>
      <c r="O39" s="170"/>
      <c r="P39" s="173"/>
    </row>
    <row r="40" spans="1:16" s="3" customFormat="1" ht="14.1" customHeight="1" x14ac:dyDescent="0.2">
      <c r="A40" s="11"/>
      <c r="B40" s="174">
        <v>9</v>
      </c>
      <c r="C40" s="177">
        <f t="shared" ref="C40:D40" si="42">+C39</f>
        <v>2.74</v>
      </c>
      <c r="D40" s="159">
        <f t="shared" si="42"/>
        <v>0.23</v>
      </c>
      <c r="E40" s="159">
        <v>0.23899999999999999</v>
      </c>
      <c r="F40" s="40" t="s">
        <v>71</v>
      </c>
      <c r="G40" s="168">
        <f t="shared" ref="G40" si="43">IF(E40&lt;0.12,"NA",IF(E40&gt;=0.12,0.2*E40))</f>
        <v>4.7800000000000002E-2</v>
      </c>
      <c r="H40" s="168"/>
      <c r="I40" s="168">
        <v>0.47799999999999998</v>
      </c>
      <c r="J40" s="168"/>
      <c r="K40" s="159">
        <f t="shared" ref="K40" si="44">ROUND(+IF(E40&lt;0.12,(I41),(IF(E40&gt;=0.12,((I40+2*I41+I42)/4)))),3)</f>
        <v>0.18</v>
      </c>
      <c r="L40" s="159">
        <f t="shared" ref="L40" si="45">ROUND(+(D40+D42)/2*(C42-C40),3)</f>
        <v>6.0999999999999999E-2</v>
      </c>
      <c r="M40" s="162">
        <f t="shared" ref="M40" si="46">ROUND(+K40*L40,4)</f>
        <v>1.0999999999999999E-2</v>
      </c>
      <c r="N40" s="165">
        <f>ROUND(+M40/$M$68*100,1)</f>
        <v>7.3</v>
      </c>
      <c r="O40" s="168"/>
      <c r="P40" s="171"/>
    </row>
    <row r="41" spans="1:16" s="3" customFormat="1" ht="14.1" customHeight="1" x14ac:dyDescent="0.2">
      <c r="A41" s="11"/>
      <c r="B41" s="175"/>
      <c r="C41" s="178"/>
      <c r="D41" s="160"/>
      <c r="E41" s="160"/>
      <c r="F41" s="41" t="s">
        <v>72</v>
      </c>
      <c r="G41" s="178">
        <f t="shared" ref="G41" si="47">IF(E40&lt;0.12,0.6*E40,IF(E40&gt;=0.12,0.6*E40))</f>
        <v>0.1434</v>
      </c>
      <c r="H41" s="178"/>
      <c r="I41" s="160">
        <v>0.113</v>
      </c>
      <c r="J41" s="160"/>
      <c r="K41" s="160"/>
      <c r="L41" s="160"/>
      <c r="M41" s="163"/>
      <c r="N41" s="166"/>
      <c r="O41" s="169"/>
      <c r="P41" s="172"/>
    </row>
    <row r="42" spans="1:16" s="3" customFormat="1" ht="13.9" customHeight="1" thickBot="1" x14ac:dyDescent="0.25">
      <c r="A42" s="11"/>
      <c r="B42" s="176"/>
      <c r="C42" s="42">
        <f>+C40+$P$8</f>
        <v>2.99</v>
      </c>
      <c r="D42" s="43">
        <v>0.25700000000000001</v>
      </c>
      <c r="E42" s="161"/>
      <c r="F42" s="44" t="s">
        <v>73</v>
      </c>
      <c r="G42" s="179">
        <f t="shared" ref="G42" si="48">IF(E40&lt;0.12,"NA",IF(E40&gt;=0.12,0.8*E40))</f>
        <v>0.19120000000000001</v>
      </c>
      <c r="H42" s="179"/>
      <c r="I42" s="170">
        <v>1.4999999999999999E-2</v>
      </c>
      <c r="J42" s="170"/>
      <c r="K42" s="161"/>
      <c r="L42" s="161"/>
      <c r="M42" s="164"/>
      <c r="N42" s="167"/>
      <c r="O42" s="170"/>
      <c r="P42" s="173"/>
    </row>
    <row r="43" spans="1:16" s="3" customFormat="1" ht="14.1" customHeight="1" x14ac:dyDescent="0.2">
      <c r="A43" s="11"/>
      <c r="B43" s="174">
        <v>10</v>
      </c>
      <c r="C43" s="177">
        <f t="shared" ref="C43:D43" si="49">+C42</f>
        <v>2.99</v>
      </c>
      <c r="D43" s="159">
        <f t="shared" si="49"/>
        <v>0.25700000000000001</v>
      </c>
      <c r="E43" s="159">
        <v>0.19700000000000001</v>
      </c>
      <c r="F43" s="40" t="s">
        <v>71</v>
      </c>
      <c r="G43" s="168">
        <f t="shared" ref="G43" si="50">IF(E43&lt;0.12,"NA",IF(E43&gt;=0.12,0.2*E43))</f>
        <v>3.9400000000000004E-2</v>
      </c>
      <c r="H43" s="168"/>
      <c r="I43" s="277">
        <v>0.19</v>
      </c>
      <c r="J43" s="277"/>
      <c r="K43" s="159">
        <f t="shared" ref="K43" si="51">ROUND(+IF(E43&lt;0.12,(I44),(IF(E43&gt;=0.12,((I43+2*I44+I45)/4)))),3)</f>
        <v>0.127</v>
      </c>
      <c r="L43" s="159">
        <f t="shared" ref="L43" si="52">ROUND(+(D43+D45)/2*(C45-C43),3)</f>
        <v>5.7000000000000002E-2</v>
      </c>
      <c r="M43" s="162">
        <f t="shared" ref="M43" si="53">ROUND(+K43*L43,4)</f>
        <v>7.1999999999999998E-3</v>
      </c>
      <c r="N43" s="165">
        <f>ROUND(+M43/$M$68*100,1)</f>
        <v>4.8</v>
      </c>
      <c r="O43" s="168"/>
      <c r="P43" s="171"/>
    </row>
    <row r="44" spans="1:16" s="3" customFormat="1" ht="14.1" customHeight="1" x14ac:dyDescent="0.2">
      <c r="A44" s="11"/>
      <c r="B44" s="175"/>
      <c r="C44" s="178"/>
      <c r="D44" s="160"/>
      <c r="E44" s="160"/>
      <c r="F44" s="41" t="s">
        <v>72</v>
      </c>
      <c r="G44" s="178">
        <f t="shared" ref="G44" si="54">IF(E43&lt;0.12,0.6*E43,IF(E43&gt;=0.12,0.6*E43))</f>
        <v>0.1182</v>
      </c>
      <c r="H44" s="178"/>
      <c r="I44" s="254">
        <v>0.125</v>
      </c>
      <c r="J44" s="254"/>
      <c r="K44" s="160"/>
      <c r="L44" s="160"/>
      <c r="M44" s="163"/>
      <c r="N44" s="166"/>
      <c r="O44" s="169"/>
      <c r="P44" s="172"/>
    </row>
    <row r="45" spans="1:16" s="3" customFormat="1" ht="13.9" customHeight="1" thickBot="1" x14ac:dyDescent="0.25">
      <c r="A45" s="11"/>
      <c r="B45" s="176"/>
      <c r="C45" s="42">
        <f>+C43+$P$8</f>
        <v>3.24</v>
      </c>
      <c r="D45" s="43">
        <v>0.19600000000000001</v>
      </c>
      <c r="E45" s="161"/>
      <c r="F45" s="44" t="s">
        <v>73</v>
      </c>
      <c r="G45" s="179">
        <f t="shared" ref="G45" si="55">IF(E43&lt;0.12,"NA",IF(E43&gt;=0.12,0.8*E43))</f>
        <v>0.15760000000000002</v>
      </c>
      <c r="H45" s="179"/>
      <c r="I45" s="256">
        <v>6.7000000000000004E-2</v>
      </c>
      <c r="J45" s="256"/>
      <c r="K45" s="161"/>
      <c r="L45" s="161"/>
      <c r="M45" s="164"/>
      <c r="N45" s="167"/>
      <c r="O45" s="170"/>
      <c r="P45" s="173"/>
    </row>
    <row r="46" spans="1:16" s="54" customFormat="1" ht="14.1" customHeight="1" x14ac:dyDescent="0.2">
      <c r="A46" s="53"/>
      <c r="B46" s="274">
        <v>11</v>
      </c>
      <c r="C46" s="177">
        <f t="shared" ref="C46:D46" si="56">+C45</f>
        <v>3.24</v>
      </c>
      <c r="D46" s="159">
        <f t="shared" si="56"/>
        <v>0.19600000000000001</v>
      </c>
      <c r="E46" s="159">
        <v>0.156</v>
      </c>
      <c r="F46" s="40" t="s">
        <v>71</v>
      </c>
      <c r="G46" s="168">
        <f t="shared" ref="G46" si="57">IF(E46&lt;0.12,"NA",IF(E46&gt;=0.12,0.2*E46))</f>
        <v>3.1200000000000002E-2</v>
      </c>
      <c r="H46" s="168"/>
      <c r="I46" s="253">
        <v>0.112</v>
      </c>
      <c r="J46" s="253"/>
      <c r="K46" s="159">
        <f t="shared" ref="K46" si="58">ROUND(+IF(E46&lt;0.12,(I47),(IF(E46&gt;=0.12,((I46+2*I47+I48)/4)))),3)</f>
        <v>0.1</v>
      </c>
      <c r="L46" s="159">
        <f t="shared" ref="L46" si="59">ROUND(+(D46+D48)/2*(C48-C46),3)</f>
        <v>4.3999999999999997E-2</v>
      </c>
      <c r="M46" s="162">
        <f t="shared" ref="M46" si="60">ROUND(+K46*L46,4)</f>
        <v>4.4000000000000003E-3</v>
      </c>
      <c r="N46" s="165">
        <f>ROUND(+M46/$M$68*100,1)</f>
        <v>2.9</v>
      </c>
      <c r="O46" s="168"/>
      <c r="P46" s="171"/>
    </row>
    <row r="47" spans="1:16" s="54" customFormat="1" ht="14.1" customHeight="1" x14ac:dyDescent="0.2">
      <c r="A47" s="53"/>
      <c r="B47" s="275"/>
      <c r="C47" s="178"/>
      <c r="D47" s="160"/>
      <c r="E47" s="160"/>
      <c r="F47" s="41" t="s">
        <v>72</v>
      </c>
      <c r="G47" s="178">
        <f t="shared" ref="G47" si="61">IF(E46&lt;0.12,0.6*E46,IF(E46&gt;=0.12,0.6*E46))</f>
        <v>9.3600000000000003E-2</v>
      </c>
      <c r="H47" s="178"/>
      <c r="I47" s="254">
        <v>9.7000000000000003E-2</v>
      </c>
      <c r="J47" s="254"/>
      <c r="K47" s="160"/>
      <c r="L47" s="160"/>
      <c r="M47" s="163"/>
      <c r="N47" s="166"/>
      <c r="O47" s="169"/>
      <c r="P47" s="172"/>
    </row>
    <row r="48" spans="1:16" s="54" customFormat="1" ht="13.9" customHeight="1" thickBot="1" x14ac:dyDescent="0.25">
      <c r="A48" s="53"/>
      <c r="B48" s="276"/>
      <c r="C48" s="42">
        <f>+C46+$P$8</f>
        <v>3.49</v>
      </c>
      <c r="D48" s="43">
        <v>0.155</v>
      </c>
      <c r="E48" s="252"/>
      <c r="F48" s="50" t="s">
        <v>73</v>
      </c>
      <c r="G48" s="179">
        <f t="shared" ref="G48" si="62">IF(E46&lt;0.12,"NA",IF(E46&gt;=0.12,0.8*E46))</f>
        <v>0.12480000000000001</v>
      </c>
      <c r="H48" s="179"/>
      <c r="I48" s="256">
        <v>9.1999999999999998E-2</v>
      </c>
      <c r="J48" s="256"/>
      <c r="K48" s="161"/>
      <c r="L48" s="161"/>
      <c r="M48" s="164"/>
      <c r="N48" s="167"/>
      <c r="O48" s="249"/>
      <c r="P48" s="250"/>
    </row>
    <row r="49" spans="1:18" s="3" customFormat="1" ht="14.1" customHeight="1" x14ac:dyDescent="0.2">
      <c r="A49" s="11"/>
      <c r="B49" s="174">
        <v>12</v>
      </c>
      <c r="C49" s="177">
        <f>+C48</f>
        <v>3.49</v>
      </c>
      <c r="D49" s="159">
        <f t="shared" ref="D49" si="63">+D48</f>
        <v>0.155</v>
      </c>
      <c r="E49" s="159">
        <v>0.156</v>
      </c>
      <c r="F49" s="40" t="s">
        <v>71</v>
      </c>
      <c r="G49" s="168">
        <f t="shared" ref="G49" si="64">IF(E49&lt;0.12,"NA",IF(E49&gt;=0.12,0.2*E49))</f>
        <v>3.1200000000000002E-2</v>
      </c>
      <c r="H49" s="168"/>
      <c r="I49" s="253">
        <v>3.9E-2</v>
      </c>
      <c r="J49" s="253"/>
      <c r="K49" s="159">
        <f t="shared" ref="K49" si="65">ROUND(+IF(E49&lt;0.12,(I50),(IF(E49&gt;=0.12,((I49+2*I50+I51)/4)))),3)</f>
        <v>2.8000000000000001E-2</v>
      </c>
      <c r="L49" s="159">
        <f t="shared" ref="L49" si="66">ROUND(+(D49+D51)/2*(C51-C49),3)</f>
        <v>3.5000000000000003E-2</v>
      </c>
      <c r="M49" s="162">
        <f t="shared" ref="M49" si="67">ROUND(+K49*L49,4)</f>
        <v>1E-3</v>
      </c>
      <c r="N49" s="165">
        <f>ROUND(+M49/$M$68*100,1)</f>
        <v>0.7</v>
      </c>
      <c r="O49" s="168"/>
      <c r="P49" s="171"/>
    </row>
    <row r="50" spans="1:18" s="3" customFormat="1" ht="14.1" customHeight="1" x14ac:dyDescent="0.2">
      <c r="A50" s="11"/>
      <c r="B50" s="175"/>
      <c r="C50" s="178"/>
      <c r="D50" s="160"/>
      <c r="E50" s="160"/>
      <c r="F50" s="41" t="s">
        <v>72</v>
      </c>
      <c r="G50" s="178">
        <f t="shared" ref="G50" si="68">IF(E49&lt;0.12,0.6*E49,IF(E49&gt;=0.12,0.6*E49))</f>
        <v>9.3600000000000003E-2</v>
      </c>
      <c r="H50" s="178"/>
      <c r="I50" s="254">
        <v>2.8000000000000001E-2</v>
      </c>
      <c r="J50" s="254"/>
      <c r="K50" s="160"/>
      <c r="L50" s="160"/>
      <c r="M50" s="163"/>
      <c r="N50" s="166"/>
      <c r="O50" s="169"/>
      <c r="P50" s="172"/>
    </row>
    <row r="51" spans="1:18" s="3" customFormat="1" ht="13.9" customHeight="1" thickBot="1" x14ac:dyDescent="0.25">
      <c r="A51" s="11"/>
      <c r="B51" s="176"/>
      <c r="C51" s="42">
        <f>+C49+$P$8</f>
        <v>3.74</v>
      </c>
      <c r="D51" s="43">
        <v>0.125</v>
      </c>
      <c r="E51" s="252"/>
      <c r="F51" s="50" t="s">
        <v>73</v>
      </c>
      <c r="G51" s="179">
        <f t="shared" ref="G51" si="69">IF(E49&lt;0.12,"NA",IF(E49&gt;=0.12,0.8*E49))</f>
        <v>0.12480000000000001</v>
      </c>
      <c r="H51" s="179"/>
      <c r="I51" s="255">
        <v>1.7000000000000001E-2</v>
      </c>
      <c r="J51" s="255"/>
      <c r="K51" s="161"/>
      <c r="L51" s="161"/>
      <c r="M51" s="164"/>
      <c r="N51" s="167"/>
      <c r="O51" s="249"/>
      <c r="P51" s="250"/>
    </row>
    <row r="52" spans="1:18" s="3" customFormat="1" ht="14.1" customHeight="1" x14ac:dyDescent="0.2">
      <c r="A52" s="11"/>
      <c r="B52" s="174">
        <v>13</v>
      </c>
      <c r="C52" s="177">
        <f>+C51</f>
        <v>3.74</v>
      </c>
      <c r="D52" s="159">
        <f>+D51</f>
        <v>0.125</v>
      </c>
      <c r="E52" s="159">
        <v>0.10100000000000001</v>
      </c>
      <c r="F52" s="40" t="s">
        <v>71</v>
      </c>
      <c r="G52" s="168" t="str">
        <f t="shared" ref="G52" si="70">IF(E52&lt;0.12,"NA",IF(E52&gt;=0.12,0.2*E52))</f>
        <v>NA</v>
      </c>
      <c r="H52" s="168"/>
      <c r="I52" s="168"/>
      <c r="J52" s="168"/>
      <c r="K52" s="159">
        <f t="shared" ref="K52" si="71">ROUND(+IF(E52&lt;0.12,(I53),(IF(E52&gt;=0.12,((I52+2*I53+I54)/4)))),3)</f>
        <v>0.08</v>
      </c>
      <c r="L52" s="159">
        <f t="shared" ref="L52" si="72">ROUND(+(D52+D54)/2*(C54-C52),3)</f>
        <v>2.5999999999999999E-2</v>
      </c>
      <c r="M52" s="162">
        <f t="shared" ref="M52" si="73">ROUND(+K52*L52,4)</f>
        <v>2.0999999999999999E-3</v>
      </c>
      <c r="N52" s="165">
        <f t="shared" ref="N52" si="74">ROUND(+M52/$M$68*100,1)</f>
        <v>1.4</v>
      </c>
      <c r="O52" s="168"/>
      <c r="P52" s="171"/>
    </row>
    <row r="53" spans="1:18" s="3" customFormat="1" ht="14.1" customHeight="1" x14ac:dyDescent="0.2">
      <c r="A53" s="11"/>
      <c r="B53" s="175"/>
      <c r="C53" s="178"/>
      <c r="D53" s="160"/>
      <c r="E53" s="160"/>
      <c r="F53" s="41" t="s">
        <v>72</v>
      </c>
      <c r="G53" s="178">
        <f t="shared" ref="G53" si="75">IF(E52&lt;0.12,0.6*E52,IF(E52&gt;=0.12,0.6*E52))</f>
        <v>6.0600000000000001E-2</v>
      </c>
      <c r="H53" s="178"/>
      <c r="I53" s="160">
        <v>0.08</v>
      </c>
      <c r="J53" s="160"/>
      <c r="K53" s="160"/>
      <c r="L53" s="160"/>
      <c r="M53" s="163"/>
      <c r="N53" s="166"/>
      <c r="O53" s="169"/>
      <c r="P53" s="172"/>
    </row>
    <row r="54" spans="1:18" s="3" customFormat="1" ht="13.9" customHeight="1" thickBot="1" x14ac:dyDescent="0.25">
      <c r="A54" s="11"/>
      <c r="B54" s="176"/>
      <c r="C54" s="42">
        <f>+C52+$P$8</f>
        <v>3.99</v>
      </c>
      <c r="D54" s="43">
        <v>7.9000000000000001E-2</v>
      </c>
      <c r="E54" s="161"/>
      <c r="F54" s="44" t="s">
        <v>73</v>
      </c>
      <c r="G54" s="179" t="str">
        <f t="shared" ref="G54" si="76">IF(E52&lt;0.12,"NA",IF(E52&gt;=0.12,0.8*E52))</f>
        <v>NA</v>
      </c>
      <c r="H54" s="179"/>
      <c r="I54" s="170"/>
      <c r="J54" s="170"/>
      <c r="K54" s="161"/>
      <c r="L54" s="161"/>
      <c r="M54" s="164"/>
      <c r="N54" s="167"/>
      <c r="O54" s="170"/>
      <c r="P54" s="173"/>
    </row>
    <row r="55" spans="1:18" s="3" customFormat="1" ht="14.1" customHeight="1" x14ac:dyDescent="0.2">
      <c r="A55" s="11"/>
      <c r="B55" s="174">
        <v>14</v>
      </c>
      <c r="C55" s="177">
        <f>+C54</f>
        <v>3.99</v>
      </c>
      <c r="D55" s="159">
        <f t="shared" ref="D55" si="77">+D54</f>
        <v>7.9000000000000001E-2</v>
      </c>
      <c r="E55" s="159">
        <v>4.5999999999999999E-2</v>
      </c>
      <c r="F55" s="40" t="s">
        <v>71</v>
      </c>
      <c r="G55" s="168" t="str">
        <f t="shared" ref="G55" si="78">IF(E55&lt;0.12,"NA",IF(E55&gt;=0.12,0.2*E55))</f>
        <v>NA</v>
      </c>
      <c r="H55" s="168"/>
      <c r="I55" s="253"/>
      <c r="J55" s="253"/>
      <c r="K55" s="159">
        <f t="shared" ref="K55" si="79">ROUND(+IF(E55&lt;0.12,(I56),(IF(E55&gt;=0.12,((I55+2*I56+I57)/4)))),3)</f>
        <v>7.0000000000000001E-3</v>
      </c>
      <c r="L55" s="159">
        <f t="shared" ref="L55" si="80">ROUND(+(D55+D57)/2*(C57-C55),3)</f>
        <v>1.2E-2</v>
      </c>
      <c r="M55" s="162">
        <f t="shared" ref="M55" si="81">ROUND(+K55*L55,4)</f>
        <v>1E-4</v>
      </c>
      <c r="N55" s="165">
        <f t="shared" ref="N55" si="82">ROUND(+M55/$M$68*100,1)</f>
        <v>0.1</v>
      </c>
      <c r="O55" s="168"/>
      <c r="P55" s="171"/>
    </row>
    <row r="56" spans="1:18" s="3" customFormat="1" ht="14.1" customHeight="1" x14ac:dyDescent="0.2">
      <c r="A56" s="11"/>
      <c r="B56" s="175"/>
      <c r="C56" s="178"/>
      <c r="D56" s="160"/>
      <c r="E56" s="160"/>
      <c r="F56" s="41" t="s">
        <v>72</v>
      </c>
      <c r="G56" s="178">
        <f t="shared" ref="G56" si="83">IF(E55&lt;0.12,0.6*E55,IF(E55&gt;=0.12,0.6*E55))</f>
        <v>2.76E-2</v>
      </c>
      <c r="H56" s="178"/>
      <c r="I56" s="254">
        <v>7.0000000000000001E-3</v>
      </c>
      <c r="J56" s="254"/>
      <c r="K56" s="160"/>
      <c r="L56" s="160"/>
      <c r="M56" s="163"/>
      <c r="N56" s="166"/>
      <c r="O56" s="169"/>
      <c r="P56" s="172"/>
    </row>
    <row r="57" spans="1:18" s="3" customFormat="1" ht="13.9" customHeight="1" thickBot="1" x14ac:dyDescent="0.25">
      <c r="A57" s="11"/>
      <c r="B57" s="176"/>
      <c r="C57" s="42">
        <f>+C55+0.3</f>
        <v>4.29</v>
      </c>
      <c r="D57" s="43">
        <v>0</v>
      </c>
      <c r="E57" s="161"/>
      <c r="F57" s="44" t="s">
        <v>73</v>
      </c>
      <c r="G57" s="179" t="str">
        <f t="shared" ref="G57" si="84">IF(E55&lt;0.12,"NA",IF(E55&gt;=0.12,0.8*E55))</f>
        <v>NA</v>
      </c>
      <c r="H57" s="179"/>
      <c r="I57" s="256"/>
      <c r="J57" s="256"/>
      <c r="K57" s="161"/>
      <c r="L57" s="161"/>
      <c r="M57" s="164"/>
      <c r="N57" s="167"/>
      <c r="O57" s="170"/>
      <c r="P57" s="173"/>
    </row>
    <row r="58" spans="1:18" s="3" customFormat="1" ht="14.1" customHeight="1" x14ac:dyDescent="0.25">
      <c r="A58" s="11"/>
      <c r="B58" s="193">
        <f>+B34</f>
        <v>7</v>
      </c>
      <c r="C58" s="192">
        <f>+C34</f>
        <v>2.2400000000000002</v>
      </c>
      <c r="D58" s="194">
        <f>+D34</f>
        <v>0.314</v>
      </c>
      <c r="E58" s="194">
        <f>E34</f>
        <v>0.32400000000000001</v>
      </c>
      <c r="F58" s="45" t="s">
        <v>29</v>
      </c>
      <c r="G58" s="190"/>
      <c r="H58" s="190"/>
      <c r="I58" s="191">
        <v>0.50600000000000001</v>
      </c>
      <c r="J58" s="191"/>
      <c r="K58" s="194">
        <f>AVERAGE(I58:J67)</f>
        <v>0.38679999999999998</v>
      </c>
      <c r="L58" s="193">
        <f>ROUND(+(D58+D63)/2*(C63-C58),3)</f>
        <v>7.4999999999999997E-2</v>
      </c>
      <c r="M58" s="209">
        <f>ROUND(+K58*L58,4)</f>
        <v>2.9000000000000001E-2</v>
      </c>
      <c r="N58" s="193">
        <f>ROUND(+M58/$M$68*100,1)</f>
        <v>19.100000000000001</v>
      </c>
      <c r="O58" s="193"/>
      <c r="P58" s="193"/>
    </row>
    <row r="59" spans="1:18" s="3" customFormat="1" ht="14.1" customHeight="1" x14ac:dyDescent="0.25">
      <c r="A59" s="11"/>
      <c r="B59" s="193"/>
      <c r="C59" s="193"/>
      <c r="D59" s="194"/>
      <c r="E59" s="194"/>
      <c r="F59" s="45" t="s">
        <v>74</v>
      </c>
      <c r="G59" s="190">
        <f>+ROUND(0.1*$E$58,2)</f>
        <v>0.03</v>
      </c>
      <c r="H59" s="190"/>
      <c r="I59" s="191">
        <v>0.503</v>
      </c>
      <c r="J59" s="191"/>
      <c r="K59" s="193"/>
      <c r="L59" s="193"/>
      <c r="M59" s="209"/>
      <c r="N59" s="193"/>
      <c r="O59" s="193"/>
      <c r="P59" s="193"/>
      <c r="R59" s="46"/>
    </row>
    <row r="60" spans="1:18" s="3" customFormat="1" ht="14.1" customHeight="1" x14ac:dyDescent="0.25">
      <c r="A60" s="11"/>
      <c r="B60" s="193"/>
      <c r="C60" s="193"/>
      <c r="D60" s="194"/>
      <c r="E60" s="194"/>
      <c r="F60" s="45" t="s">
        <v>71</v>
      </c>
      <c r="G60" s="190">
        <f>+ROUND(0.2*$E$58,2)</f>
        <v>0.06</v>
      </c>
      <c r="H60" s="190"/>
      <c r="I60" s="191">
        <v>0.46899999999999997</v>
      </c>
      <c r="J60" s="191"/>
      <c r="K60" s="193"/>
      <c r="L60" s="193"/>
      <c r="M60" s="209"/>
      <c r="N60" s="193"/>
      <c r="O60" s="193"/>
      <c r="P60" s="193"/>
      <c r="R60" s="46"/>
    </row>
    <row r="61" spans="1:18" s="3" customFormat="1" ht="14.1" customHeight="1" x14ac:dyDescent="0.25">
      <c r="A61" s="11"/>
      <c r="B61" s="193"/>
      <c r="C61" s="193"/>
      <c r="D61" s="194"/>
      <c r="E61" s="194"/>
      <c r="F61" s="45" t="s">
        <v>75</v>
      </c>
      <c r="G61" s="190">
        <f>+ROUND(0.3*$E$58,2)</f>
        <v>0.1</v>
      </c>
      <c r="H61" s="190"/>
      <c r="I61" s="191">
        <v>0.441</v>
      </c>
      <c r="J61" s="191"/>
      <c r="K61" s="193"/>
      <c r="L61" s="193"/>
      <c r="M61" s="209"/>
      <c r="N61" s="193"/>
      <c r="O61" s="193"/>
      <c r="P61" s="193"/>
      <c r="R61" s="46"/>
    </row>
    <row r="62" spans="1:18" s="3" customFormat="1" ht="14.1" customHeight="1" x14ac:dyDescent="0.25">
      <c r="A62" s="11"/>
      <c r="B62" s="193"/>
      <c r="C62" s="193"/>
      <c r="D62" s="194"/>
      <c r="E62" s="194"/>
      <c r="F62" s="45" t="s">
        <v>76</v>
      </c>
      <c r="G62" s="190">
        <f>+ROUND(0.4*$E$58,2)</f>
        <v>0.13</v>
      </c>
      <c r="H62" s="190"/>
      <c r="I62" s="191">
        <v>0.40200000000000002</v>
      </c>
      <c r="J62" s="191"/>
      <c r="K62" s="193"/>
      <c r="L62" s="193"/>
      <c r="M62" s="209"/>
      <c r="N62" s="193"/>
      <c r="O62" s="193"/>
      <c r="P62" s="193"/>
      <c r="R62" s="46"/>
    </row>
    <row r="63" spans="1:18" s="3" customFormat="1" ht="14.1" customHeight="1" x14ac:dyDescent="0.25">
      <c r="A63" s="11"/>
      <c r="B63" s="193"/>
      <c r="C63" s="192">
        <f>+C36</f>
        <v>2.4900000000000002</v>
      </c>
      <c r="D63" s="194">
        <f>+D36</f>
        <v>0.28599999999999998</v>
      </c>
      <c r="E63" s="194"/>
      <c r="F63" s="45" t="s">
        <v>28</v>
      </c>
      <c r="G63" s="190">
        <f>+ROUND(0.5*$E$58,2)</f>
        <v>0.16</v>
      </c>
      <c r="H63" s="190"/>
      <c r="I63" s="191">
        <v>0.373</v>
      </c>
      <c r="J63" s="191"/>
      <c r="K63" s="193"/>
      <c r="L63" s="193"/>
      <c r="M63" s="209"/>
      <c r="N63" s="193"/>
      <c r="O63" s="193"/>
      <c r="P63" s="193"/>
      <c r="R63" s="46"/>
    </row>
    <row r="64" spans="1:18" s="3" customFormat="1" ht="14.1" customHeight="1" x14ac:dyDescent="0.25">
      <c r="A64" s="11"/>
      <c r="B64" s="193"/>
      <c r="C64" s="193"/>
      <c r="D64" s="194"/>
      <c r="E64" s="194"/>
      <c r="F64" s="45" t="s">
        <v>72</v>
      </c>
      <c r="G64" s="190">
        <f>+ROUND(0.6*$E$58,2)</f>
        <v>0.19</v>
      </c>
      <c r="H64" s="190"/>
      <c r="I64" s="191">
        <v>0.34399999999999997</v>
      </c>
      <c r="J64" s="191"/>
      <c r="K64" s="193"/>
      <c r="L64" s="193"/>
      <c r="M64" s="209"/>
      <c r="N64" s="193"/>
      <c r="O64" s="193"/>
      <c r="P64" s="193"/>
      <c r="R64" s="46"/>
    </row>
    <row r="65" spans="1:18" s="3" customFormat="1" ht="14.1" customHeight="1" x14ac:dyDescent="0.25">
      <c r="A65" s="11"/>
      <c r="B65" s="193"/>
      <c r="C65" s="193"/>
      <c r="D65" s="194"/>
      <c r="E65" s="194"/>
      <c r="F65" s="45" t="s">
        <v>77</v>
      </c>
      <c r="G65" s="190">
        <f>+ROUND(0.7*$E$58,2)</f>
        <v>0.23</v>
      </c>
      <c r="H65" s="190"/>
      <c r="I65" s="191">
        <v>0.30599999999999999</v>
      </c>
      <c r="J65" s="191"/>
      <c r="K65" s="193"/>
      <c r="L65" s="193"/>
      <c r="M65" s="209"/>
      <c r="N65" s="193"/>
      <c r="O65" s="193"/>
      <c r="P65" s="193"/>
      <c r="R65" s="46"/>
    </row>
    <row r="66" spans="1:18" s="3" customFormat="1" ht="14.1" customHeight="1" x14ac:dyDescent="0.25">
      <c r="A66" s="11"/>
      <c r="B66" s="193"/>
      <c r="C66" s="193"/>
      <c r="D66" s="194"/>
      <c r="E66" s="194"/>
      <c r="F66" s="45" t="s">
        <v>73</v>
      </c>
      <c r="G66" s="190">
        <f>+ROUND(0.8*$E$58,2)</f>
        <v>0.26</v>
      </c>
      <c r="H66" s="190"/>
      <c r="I66" s="191">
        <v>0.29699999999999999</v>
      </c>
      <c r="J66" s="191"/>
      <c r="K66" s="193"/>
      <c r="L66" s="193"/>
      <c r="M66" s="209"/>
      <c r="N66" s="193"/>
      <c r="O66" s="193"/>
      <c r="P66" s="193"/>
      <c r="R66" s="46"/>
    </row>
    <row r="67" spans="1:18" s="3" customFormat="1" x14ac:dyDescent="0.25">
      <c r="A67" s="11"/>
      <c r="B67" s="193"/>
      <c r="C67" s="193"/>
      <c r="D67" s="194"/>
      <c r="E67" s="194"/>
      <c r="F67" s="45" t="s">
        <v>78</v>
      </c>
      <c r="G67" s="190">
        <f>+ROUND(0.9*$E$58,2)</f>
        <v>0.28999999999999998</v>
      </c>
      <c r="H67" s="190"/>
      <c r="I67" s="191">
        <v>0.22700000000000001</v>
      </c>
      <c r="J67" s="191"/>
      <c r="K67" s="193"/>
      <c r="L67" s="193"/>
      <c r="M67" s="209"/>
      <c r="N67" s="193"/>
      <c r="O67" s="193"/>
      <c r="P67" s="193"/>
      <c r="R67" s="46"/>
    </row>
    <row r="68" spans="1:18" s="3" customFormat="1" ht="12.75" x14ac:dyDescent="0.2">
      <c r="A68" s="11"/>
      <c r="B68" s="195" t="s">
        <v>30</v>
      </c>
      <c r="C68" s="196"/>
      <c r="D68" s="196"/>
      <c r="E68" s="196"/>
      <c r="F68" s="196"/>
      <c r="G68" s="196"/>
      <c r="H68" s="196"/>
      <c r="I68" s="196"/>
      <c r="J68" s="196"/>
      <c r="K68" s="47">
        <f>ROUND(+M68/L68,3)</f>
        <v>0.23</v>
      </c>
      <c r="L68" s="15">
        <f>SUM(L16:L67)</f>
        <v>0.65900000000000003</v>
      </c>
      <c r="M68" s="14">
        <f>SUM(M16:M67)</f>
        <v>0.15150000000000002</v>
      </c>
      <c r="N68" s="12">
        <f>ROUND(SUM(N16:N67),0)</f>
        <v>100</v>
      </c>
      <c r="O68" s="199" t="s">
        <v>31</v>
      </c>
      <c r="P68" s="201"/>
    </row>
    <row r="69" spans="1:18" s="3" customFormat="1" ht="15" customHeight="1" thickBot="1" x14ac:dyDescent="0.25">
      <c r="A69" s="11"/>
      <c r="B69" s="197"/>
      <c r="C69" s="198"/>
      <c r="D69" s="198"/>
      <c r="E69" s="198"/>
      <c r="F69" s="198"/>
      <c r="G69" s="198"/>
      <c r="H69" s="198"/>
      <c r="I69" s="198"/>
      <c r="J69" s="198"/>
      <c r="K69" s="13" t="s">
        <v>32</v>
      </c>
      <c r="L69" s="13" t="s">
        <v>48</v>
      </c>
      <c r="M69" s="13" t="s">
        <v>49</v>
      </c>
      <c r="N69" s="13" t="s">
        <v>33</v>
      </c>
      <c r="O69" s="200"/>
      <c r="P69" s="202"/>
    </row>
    <row r="70" spans="1:18" ht="69.599999999999994" customHeight="1" thickBot="1" x14ac:dyDescent="0.3">
      <c r="A70" s="48"/>
      <c r="B70" s="203" t="s">
        <v>27</v>
      </c>
      <c r="C70" s="204"/>
      <c r="D70" s="204"/>
      <c r="E70" s="204"/>
      <c r="F70" s="204"/>
      <c r="G70" s="204"/>
      <c r="H70" s="204"/>
      <c r="I70" s="204"/>
      <c r="J70" s="204"/>
      <c r="K70" s="204"/>
      <c r="L70" s="204"/>
      <c r="M70" s="204"/>
      <c r="N70" s="204"/>
      <c r="O70" s="204"/>
      <c r="P70" s="205"/>
    </row>
    <row r="71" spans="1:18" ht="15" customHeight="1" thickBot="1" x14ac:dyDescent="0.3">
      <c r="A71" s="5"/>
      <c r="B71" s="206" t="s">
        <v>79</v>
      </c>
      <c r="C71" s="207"/>
      <c r="D71" s="207"/>
      <c r="E71" s="207"/>
      <c r="F71" s="207"/>
      <c r="G71" s="207" t="s">
        <v>80</v>
      </c>
      <c r="H71" s="207"/>
      <c r="I71" s="207"/>
      <c r="J71" s="207"/>
      <c r="K71" s="207"/>
      <c r="L71" s="207"/>
      <c r="M71" s="207" t="s">
        <v>81</v>
      </c>
      <c r="N71" s="207"/>
      <c r="O71" s="207"/>
      <c r="P71" s="208"/>
    </row>
    <row r="72" spans="1:18" ht="15" customHeight="1" thickBot="1" x14ac:dyDescent="0.3">
      <c r="A72" s="5"/>
      <c r="B72" s="210"/>
      <c r="C72" s="211"/>
      <c r="D72" s="211"/>
      <c r="E72" s="211"/>
      <c r="F72" s="211"/>
      <c r="G72" s="211"/>
      <c r="H72" s="211"/>
      <c r="I72" s="212"/>
      <c r="J72" s="216" t="s">
        <v>51</v>
      </c>
      <c r="K72" s="217"/>
      <c r="L72" s="217"/>
      <c r="M72" s="217"/>
      <c r="N72" s="217"/>
      <c r="O72" s="217"/>
      <c r="P72" s="218"/>
    </row>
    <row r="73" spans="1:18" ht="18.600000000000001" customHeight="1" thickBot="1" x14ac:dyDescent="0.3">
      <c r="A73" s="6"/>
      <c r="B73" s="210"/>
      <c r="C73" s="211"/>
      <c r="D73" s="211"/>
      <c r="E73" s="211"/>
      <c r="F73" s="211"/>
      <c r="G73" s="211"/>
      <c r="H73" s="211"/>
      <c r="I73" s="212"/>
      <c r="J73" s="49" t="s">
        <v>82</v>
      </c>
      <c r="K73" s="219" t="s">
        <v>94</v>
      </c>
      <c r="L73" s="219"/>
      <c r="M73" s="219"/>
      <c r="N73" s="219"/>
      <c r="O73" s="219"/>
      <c r="P73" s="220"/>
    </row>
    <row r="74" spans="1:18" ht="97.15" customHeight="1" thickBot="1" x14ac:dyDescent="0.3">
      <c r="A74" s="10"/>
      <c r="B74" s="210"/>
      <c r="C74" s="211"/>
      <c r="D74" s="211"/>
      <c r="E74" s="211"/>
      <c r="F74" s="211"/>
      <c r="G74" s="211"/>
      <c r="H74" s="211"/>
      <c r="I74" s="212"/>
      <c r="J74" s="221" t="s">
        <v>95</v>
      </c>
      <c r="K74" s="222"/>
      <c r="L74" s="222"/>
      <c r="M74" s="222"/>
      <c r="N74" s="222"/>
      <c r="O74" s="222"/>
      <c r="P74" s="223"/>
    </row>
    <row r="75" spans="1:18" ht="15" customHeight="1" thickBot="1" x14ac:dyDescent="0.3">
      <c r="A75" s="5"/>
      <c r="B75" s="210"/>
      <c r="C75" s="211"/>
      <c r="D75" s="211"/>
      <c r="E75" s="211"/>
      <c r="F75" s="211"/>
      <c r="G75" s="211"/>
      <c r="H75" s="211"/>
      <c r="I75" s="212"/>
      <c r="J75" s="224" t="s">
        <v>34</v>
      </c>
      <c r="K75" s="225"/>
      <c r="L75" s="225"/>
      <c r="M75" s="225"/>
      <c r="N75" s="226"/>
      <c r="O75" s="227">
        <v>5.58</v>
      </c>
      <c r="P75" s="228"/>
    </row>
    <row r="76" spans="1:18" ht="15.75" thickBot="1" x14ac:dyDescent="0.3">
      <c r="A76" s="5"/>
      <c r="B76" s="210"/>
      <c r="C76" s="211"/>
      <c r="D76" s="211"/>
      <c r="E76" s="211"/>
      <c r="F76" s="211"/>
      <c r="G76" s="211"/>
      <c r="H76" s="211"/>
      <c r="I76" s="212"/>
      <c r="J76" s="229" t="s">
        <v>50</v>
      </c>
      <c r="K76" s="230"/>
      <c r="L76" s="230"/>
      <c r="M76" s="230"/>
      <c r="N76" s="231"/>
      <c r="O76" s="227">
        <v>0.40579999999999999</v>
      </c>
      <c r="P76" s="228"/>
    </row>
    <row r="77" spans="1:18" ht="14.45" customHeight="1" thickBot="1" x14ac:dyDescent="0.3">
      <c r="A77" s="5"/>
      <c r="B77" s="213"/>
      <c r="C77" s="214"/>
      <c r="D77" s="214"/>
      <c r="E77" s="214"/>
      <c r="F77" s="214"/>
      <c r="G77" s="214"/>
      <c r="H77" s="214"/>
      <c r="I77" s="215"/>
      <c r="J77" s="232" t="s">
        <v>86</v>
      </c>
      <c r="K77" s="233"/>
      <c r="L77" s="233"/>
      <c r="M77" s="233"/>
      <c r="N77" s="233"/>
      <c r="O77" s="233"/>
      <c r="P77" s="234"/>
    </row>
    <row r="78" spans="1:18" ht="14.45" customHeight="1" thickBot="1" x14ac:dyDescent="0.3">
      <c r="A78" s="7"/>
      <c r="B78" s="240"/>
      <c r="C78" s="240"/>
      <c r="D78" s="240"/>
      <c r="E78" s="240"/>
      <c r="F78" s="240"/>
      <c r="G78" s="240"/>
      <c r="H78" s="240"/>
      <c r="I78" s="240"/>
      <c r="J78" s="240"/>
      <c r="K78" s="240"/>
      <c r="L78" s="240"/>
      <c r="M78" s="240"/>
      <c r="N78" s="240"/>
      <c r="O78" s="240"/>
      <c r="P78" s="241"/>
    </row>
    <row r="79" spans="1:18" ht="15.75" thickBot="1" x14ac:dyDescent="0.3">
      <c r="A79" s="242" t="s">
        <v>35</v>
      </c>
      <c r="B79" s="243"/>
      <c r="C79" s="243"/>
      <c r="D79" s="243"/>
      <c r="E79" s="243"/>
      <c r="F79" s="243"/>
      <c r="G79" s="243"/>
      <c r="H79" s="243"/>
      <c r="I79" s="243"/>
      <c r="J79" s="243"/>
      <c r="K79" s="243"/>
      <c r="L79" s="243"/>
      <c r="M79" s="243"/>
      <c r="N79" s="243"/>
      <c r="O79" s="243"/>
      <c r="P79" s="244"/>
    </row>
    <row r="80" spans="1:18" ht="141.6" customHeight="1" thickBot="1" x14ac:dyDescent="0.3">
      <c r="A80" s="4"/>
      <c r="B80" s="245"/>
      <c r="C80" s="246"/>
      <c r="D80" s="246"/>
      <c r="E80" s="246"/>
      <c r="F80" s="247"/>
      <c r="G80" s="245"/>
      <c r="H80" s="246"/>
      <c r="I80" s="246"/>
      <c r="J80" s="246"/>
      <c r="K80" s="246"/>
      <c r="L80" s="247"/>
      <c r="M80" s="245"/>
      <c r="N80" s="246"/>
      <c r="O80" s="246"/>
      <c r="P80" s="247"/>
    </row>
    <row r="81" spans="1:16" s="9" customFormat="1" ht="13.9" customHeight="1" thickBot="1" x14ac:dyDescent="0.3">
      <c r="A81" s="8" t="s">
        <v>87</v>
      </c>
      <c r="B81" s="248" t="s">
        <v>88</v>
      </c>
      <c r="C81" s="235"/>
      <c r="D81" s="235"/>
      <c r="E81" s="235"/>
      <c r="F81" s="236"/>
      <c r="G81" s="248" t="s">
        <v>89</v>
      </c>
      <c r="H81" s="235"/>
      <c r="I81" s="235"/>
      <c r="J81" s="235"/>
      <c r="K81" s="235"/>
      <c r="L81" s="236"/>
      <c r="M81" s="248" t="s">
        <v>90</v>
      </c>
      <c r="N81" s="235"/>
      <c r="O81" s="235"/>
      <c r="P81" s="236"/>
    </row>
    <row r="82" spans="1:16" s="9" customFormat="1" ht="52.15" customHeight="1" thickBot="1" x14ac:dyDescent="0.3">
      <c r="A82" s="8"/>
      <c r="B82" s="235"/>
      <c r="C82" s="235"/>
      <c r="D82" s="235"/>
      <c r="E82" s="235"/>
      <c r="F82" s="235"/>
      <c r="G82" s="235"/>
      <c r="H82" s="235"/>
      <c r="I82" s="235"/>
      <c r="J82" s="235"/>
      <c r="K82" s="235"/>
      <c r="L82" s="235"/>
      <c r="M82" s="235"/>
      <c r="N82" s="235"/>
      <c r="O82" s="235"/>
      <c r="P82" s="236"/>
    </row>
    <row r="83" spans="1:16" s="3" customFormat="1" ht="15.75" customHeight="1" thickBot="1" x14ac:dyDescent="0.25">
      <c r="A83" s="237" t="s">
        <v>36</v>
      </c>
      <c r="B83" s="238"/>
      <c r="C83" s="238"/>
      <c r="D83" s="238" t="s">
        <v>93</v>
      </c>
      <c r="E83" s="238"/>
      <c r="F83" s="238"/>
      <c r="G83" s="238"/>
      <c r="H83" s="238"/>
      <c r="I83" s="238"/>
      <c r="J83" s="238" t="s">
        <v>37</v>
      </c>
      <c r="K83" s="238"/>
      <c r="L83" s="238"/>
      <c r="M83" s="238"/>
      <c r="N83" s="238"/>
      <c r="O83" s="238"/>
      <c r="P83" s="239"/>
    </row>
  </sheetData>
  <mergeCells count="332">
    <mergeCell ref="B82:P82"/>
    <mergeCell ref="A83:C83"/>
    <mergeCell ref="D83:I83"/>
    <mergeCell ref="J83:K83"/>
    <mergeCell ref="L83:P83"/>
    <mergeCell ref="B78:P78"/>
    <mergeCell ref="A79:P79"/>
    <mergeCell ref="B80:F80"/>
    <mergeCell ref="G80:L80"/>
    <mergeCell ref="M80:P80"/>
    <mergeCell ref="B81:F81"/>
    <mergeCell ref="G81:L81"/>
    <mergeCell ref="M81:P81"/>
    <mergeCell ref="B72:I77"/>
    <mergeCell ref="J72:P72"/>
    <mergeCell ref="K73:P73"/>
    <mergeCell ref="J74:P74"/>
    <mergeCell ref="J75:N75"/>
    <mergeCell ref="O75:P75"/>
    <mergeCell ref="J76:N76"/>
    <mergeCell ref="O76:P76"/>
    <mergeCell ref="J77:P77"/>
    <mergeCell ref="B68:J69"/>
    <mergeCell ref="O68:O69"/>
    <mergeCell ref="P68:P69"/>
    <mergeCell ref="B70:P70"/>
    <mergeCell ref="B71:F71"/>
    <mergeCell ref="G71:L71"/>
    <mergeCell ref="M71:P71"/>
    <mergeCell ref="G65:H65"/>
    <mergeCell ref="I65:J65"/>
    <mergeCell ref="G66:H66"/>
    <mergeCell ref="I66:J66"/>
    <mergeCell ref="G67:H67"/>
    <mergeCell ref="I67:J67"/>
    <mergeCell ref="K58:K67"/>
    <mergeCell ref="L58:L67"/>
    <mergeCell ref="M58:M67"/>
    <mergeCell ref="N58:N67"/>
    <mergeCell ref="O58:O67"/>
    <mergeCell ref="P58:P67"/>
    <mergeCell ref="B58:B67"/>
    <mergeCell ref="G61:H61"/>
    <mergeCell ref="I61:J61"/>
    <mergeCell ref="G62:H62"/>
    <mergeCell ref="I62:J62"/>
    <mergeCell ref="C63:C67"/>
    <mergeCell ref="D63:D67"/>
    <mergeCell ref="G63:H63"/>
    <mergeCell ref="I63:J63"/>
    <mergeCell ref="G64:H64"/>
    <mergeCell ref="I64:J64"/>
    <mergeCell ref="C58:C62"/>
    <mergeCell ref="D58:D62"/>
    <mergeCell ref="E58:E67"/>
    <mergeCell ref="G58:H58"/>
    <mergeCell ref="I58:J58"/>
    <mergeCell ref="G59:H59"/>
    <mergeCell ref="I59:J59"/>
    <mergeCell ref="G60:H60"/>
    <mergeCell ref="I60:J60"/>
    <mergeCell ref="K55:K57"/>
    <mergeCell ref="L55:L57"/>
    <mergeCell ref="M55:M57"/>
    <mergeCell ref="N55:N57"/>
    <mergeCell ref="O55:O57"/>
    <mergeCell ref="P55:P57"/>
    <mergeCell ref="B55:B57"/>
    <mergeCell ref="C55:C56"/>
    <mergeCell ref="D55:D56"/>
    <mergeCell ref="E55:E57"/>
    <mergeCell ref="G55:H55"/>
    <mergeCell ref="I55:J55"/>
    <mergeCell ref="G56:H56"/>
    <mergeCell ref="I56:J56"/>
    <mergeCell ref="G57:H57"/>
    <mergeCell ref="I57:J57"/>
    <mergeCell ref="K52:K54"/>
    <mergeCell ref="L52:L54"/>
    <mergeCell ref="M52:M54"/>
    <mergeCell ref="N52:N54"/>
    <mergeCell ref="O52:O54"/>
    <mergeCell ref="P52:P54"/>
    <mergeCell ref="B52:B54"/>
    <mergeCell ref="C52:C53"/>
    <mergeCell ref="D52:D53"/>
    <mergeCell ref="E52:E54"/>
    <mergeCell ref="G52:H52"/>
    <mergeCell ref="I52:J52"/>
    <mergeCell ref="G53:H53"/>
    <mergeCell ref="I53:J53"/>
    <mergeCell ref="G54:H54"/>
    <mergeCell ref="I54:J54"/>
    <mergeCell ref="K49:K51"/>
    <mergeCell ref="L49:L51"/>
    <mergeCell ref="M49:M51"/>
    <mergeCell ref="N49:N51"/>
    <mergeCell ref="O49:O51"/>
    <mergeCell ref="P49:P51"/>
    <mergeCell ref="B49:B51"/>
    <mergeCell ref="C49:C50"/>
    <mergeCell ref="D49:D50"/>
    <mergeCell ref="E49:E51"/>
    <mergeCell ref="G49:H49"/>
    <mergeCell ref="I49:J49"/>
    <mergeCell ref="G50:H50"/>
    <mergeCell ref="I50:J50"/>
    <mergeCell ref="G51:H51"/>
    <mergeCell ref="I51:J51"/>
    <mergeCell ref="K46:K48"/>
    <mergeCell ref="L46:L48"/>
    <mergeCell ref="M46:M48"/>
    <mergeCell ref="N46:N48"/>
    <mergeCell ref="O46:O48"/>
    <mergeCell ref="P46:P48"/>
    <mergeCell ref="B46:B48"/>
    <mergeCell ref="C46:C47"/>
    <mergeCell ref="D46:D47"/>
    <mergeCell ref="E46:E48"/>
    <mergeCell ref="G46:H46"/>
    <mergeCell ref="I46:J46"/>
    <mergeCell ref="G47:H47"/>
    <mergeCell ref="I47:J47"/>
    <mergeCell ref="G48:H48"/>
    <mergeCell ref="I48:J48"/>
    <mergeCell ref="K43:K45"/>
    <mergeCell ref="L43:L45"/>
    <mergeCell ref="M43:M45"/>
    <mergeCell ref="N43:N45"/>
    <mergeCell ref="O43:O45"/>
    <mergeCell ref="P43:P45"/>
    <mergeCell ref="B43:B45"/>
    <mergeCell ref="C43:C44"/>
    <mergeCell ref="D43:D44"/>
    <mergeCell ref="E43:E45"/>
    <mergeCell ref="G43:H43"/>
    <mergeCell ref="I43:J43"/>
    <mergeCell ref="G44:H44"/>
    <mergeCell ref="I44:J44"/>
    <mergeCell ref="G45:H45"/>
    <mergeCell ref="I45:J45"/>
    <mergeCell ref="K40:K42"/>
    <mergeCell ref="L40:L42"/>
    <mergeCell ref="M40:M42"/>
    <mergeCell ref="N40:N42"/>
    <mergeCell ref="O40:O42"/>
    <mergeCell ref="P40:P42"/>
    <mergeCell ref="B40:B42"/>
    <mergeCell ref="C40:C41"/>
    <mergeCell ref="D40:D41"/>
    <mergeCell ref="E40:E42"/>
    <mergeCell ref="G40:H40"/>
    <mergeCell ref="I40:J40"/>
    <mergeCell ref="G41:H41"/>
    <mergeCell ref="I41:J41"/>
    <mergeCell ref="G42:H42"/>
    <mergeCell ref="I42:J42"/>
    <mergeCell ref="K37:K39"/>
    <mergeCell ref="L37:L39"/>
    <mergeCell ref="M37:M39"/>
    <mergeCell ref="N37:N39"/>
    <mergeCell ref="O37:O39"/>
    <mergeCell ref="P37:P39"/>
    <mergeCell ref="B37:B39"/>
    <mergeCell ref="C37:C38"/>
    <mergeCell ref="D37:D38"/>
    <mergeCell ref="E37:E39"/>
    <mergeCell ref="G37:H37"/>
    <mergeCell ref="I37:J37"/>
    <mergeCell ref="G38:H38"/>
    <mergeCell ref="I38:J38"/>
    <mergeCell ref="G39:H39"/>
    <mergeCell ref="I39:J39"/>
    <mergeCell ref="K34:K36"/>
    <mergeCell ref="L34:L36"/>
    <mergeCell ref="M34:M36"/>
    <mergeCell ref="N34:N36"/>
    <mergeCell ref="O34:O36"/>
    <mergeCell ref="P34:P36"/>
    <mergeCell ref="B34:B36"/>
    <mergeCell ref="C34:C35"/>
    <mergeCell ref="D34:D35"/>
    <mergeCell ref="E34:E36"/>
    <mergeCell ref="G34:H34"/>
    <mergeCell ref="I34:J34"/>
    <mergeCell ref="G35:H35"/>
    <mergeCell ref="I35:J35"/>
    <mergeCell ref="G36:H36"/>
    <mergeCell ref="I36:J36"/>
    <mergeCell ref="K31:K33"/>
    <mergeCell ref="L31:L33"/>
    <mergeCell ref="M31:M33"/>
    <mergeCell ref="N31:N33"/>
    <mergeCell ref="O31:O33"/>
    <mergeCell ref="P31:P33"/>
    <mergeCell ref="B31:B33"/>
    <mergeCell ref="C31:C32"/>
    <mergeCell ref="D31:D32"/>
    <mergeCell ref="E31:E33"/>
    <mergeCell ref="G31:H31"/>
    <mergeCell ref="I31:J31"/>
    <mergeCell ref="G32:H32"/>
    <mergeCell ref="I32:J32"/>
    <mergeCell ref="G33:H33"/>
    <mergeCell ref="I33:J33"/>
    <mergeCell ref="K28:K30"/>
    <mergeCell ref="L28:L30"/>
    <mergeCell ref="M28:M30"/>
    <mergeCell ref="N28:N30"/>
    <mergeCell ref="O28:O30"/>
    <mergeCell ref="P28:P30"/>
    <mergeCell ref="B28:B30"/>
    <mergeCell ref="C28:C29"/>
    <mergeCell ref="D28:D29"/>
    <mergeCell ref="E28:E30"/>
    <mergeCell ref="G28:H28"/>
    <mergeCell ref="I28:J28"/>
    <mergeCell ref="G29:H29"/>
    <mergeCell ref="I29:J29"/>
    <mergeCell ref="G30:H30"/>
    <mergeCell ref="I30:J30"/>
    <mergeCell ref="K25:K27"/>
    <mergeCell ref="L25:L27"/>
    <mergeCell ref="M25:M27"/>
    <mergeCell ref="N25:N27"/>
    <mergeCell ref="O25:O27"/>
    <mergeCell ref="P25:P27"/>
    <mergeCell ref="B25:B27"/>
    <mergeCell ref="C25:C26"/>
    <mergeCell ref="D25:D26"/>
    <mergeCell ref="E25:E27"/>
    <mergeCell ref="G25:H25"/>
    <mergeCell ref="I25:J25"/>
    <mergeCell ref="G26:H26"/>
    <mergeCell ref="I26:J26"/>
    <mergeCell ref="G27:H27"/>
    <mergeCell ref="I27:J27"/>
    <mergeCell ref="K22:K24"/>
    <mergeCell ref="L22:L24"/>
    <mergeCell ref="M22:M24"/>
    <mergeCell ref="N22:N24"/>
    <mergeCell ref="O22:O24"/>
    <mergeCell ref="P22:P24"/>
    <mergeCell ref="B22:B24"/>
    <mergeCell ref="C22:C23"/>
    <mergeCell ref="D22:D23"/>
    <mergeCell ref="E22:E24"/>
    <mergeCell ref="G22:H22"/>
    <mergeCell ref="I22:J22"/>
    <mergeCell ref="G23:H23"/>
    <mergeCell ref="I23:J23"/>
    <mergeCell ref="G24:H24"/>
    <mergeCell ref="I24:J24"/>
    <mergeCell ref="K19:K21"/>
    <mergeCell ref="L19:L21"/>
    <mergeCell ref="M19:M21"/>
    <mergeCell ref="N19:N21"/>
    <mergeCell ref="O19:O21"/>
    <mergeCell ref="P19:P21"/>
    <mergeCell ref="B19:B21"/>
    <mergeCell ref="C19:C20"/>
    <mergeCell ref="D19:D20"/>
    <mergeCell ref="E19:E21"/>
    <mergeCell ref="G19:H19"/>
    <mergeCell ref="I19:J19"/>
    <mergeCell ref="G20:H20"/>
    <mergeCell ref="I20:J20"/>
    <mergeCell ref="G21:H21"/>
    <mergeCell ref="I21:J21"/>
    <mergeCell ref="M16:M18"/>
    <mergeCell ref="N16:N18"/>
    <mergeCell ref="O16:O18"/>
    <mergeCell ref="P16:P18"/>
    <mergeCell ref="B16:B18"/>
    <mergeCell ref="C16:C17"/>
    <mergeCell ref="D16:D17"/>
    <mergeCell ref="E16:E18"/>
    <mergeCell ref="G16:H16"/>
    <mergeCell ref="I16:J16"/>
    <mergeCell ref="G17:H17"/>
    <mergeCell ref="I17:J17"/>
    <mergeCell ref="G18:H18"/>
    <mergeCell ref="I18:J18"/>
    <mergeCell ref="B14:B15"/>
    <mergeCell ref="C14:C15"/>
    <mergeCell ref="D14:D15"/>
    <mergeCell ref="E14:E15"/>
    <mergeCell ref="F14:H15"/>
    <mergeCell ref="I14:J14"/>
    <mergeCell ref="I15:J15"/>
    <mergeCell ref="K16:K18"/>
    <mergeCell ref="L16:L18"/>
    <mergeCell ref="B11:B13"/>
    <mergeCell ref="C11:E11"/>
    <mergeCell ref="G11:K11"/>
    <mergeCell ref="L11:L13"/>
    <mergeCell ref="M11:P11"/>
    <mergeCell ref="C12:E12"/>
    <mergeCell ref="G12:K13"/>
    <mergeCell ref="M12:P12"/>
    <mergeCell ref="C13:F13"/>
    <mergeCell ref="M13:P13"/>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O2:P3"/>
    <mergeCell ref="B4:P4"/>
    <mergeCell ref="C5:D5"/>
    <mergeCell ref="E5:F5"/>
    <mergeCell ref="H5:I5"/>
    <mergeCell ref="J5:P5"/>
    <mergeCell ref="B2:D3"/>
    <mergeCell ref="E2:N3"/>
    <mergeCell ref="B6:C6"/>
    <mergeCell ref="D6:J6"/>
    <mergeCell ref="K6:L6"/>
    <mergeCell ref="M6:N6"/>
    <mergeCell ref="O6:P6"/>
  </mergeCells>
  <printOptions horizontalCentered="1"/>
  <pageMargins left="0.35433070866141736" right="0.23622047244094491" top="0.74803149606299213" bottom="0.74803149606299213" header="0.19685039370078741" footer="0.31496062992125984"/>
  <pageSetup scale="76" fitToHeight="0" orientation="portrait" r:id="rId1"/>
  <headerFooter>
    <oddHeader>&amp;C&amp;"-,Negrita Cursiva"&amp;12Protocolo integrado de aforo en ríos de montaña 
Universidad Nacional de Colombia-Sede Manizales</oddHeader>
  </headerFooter>
  <rowBreaks count="1" manualBreakCount="1">
    <brk id="69" min="1" max="15" man="1"/>
  </rowBreaks>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80"/>
  <sheetViews>
    <sheetView view="pageBreakPreview" zoomScale="80" zoomScaleSheetLayoutView="80" zoomScalePageLayoutView="110" workbookViewId="0">
      <selection activeCell="J5" sqref="J5:P5"/>
    </sheetView>
  </sheetViews>
  <sheetFormatPr baseColWidth="10" defaultColWidth="11.42578125" defaultRowHeight="15" x14ac:dyDescent="0.25"/>
  <cols>
    <col min="1" max="1" width="0.140625" customWidth="1"/>
    <col min="2" max="2" width="6.7109375" customWidth="1"/>
    <col min="3" max="3" width="7.42578125" customWidth="1"/>
    <col min="4" max="4" width="11" bestFit="1" customWidth="1"/>
    <col min="5" max="5" width="6.85546875" style="5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1.7109375" customWidth="1"/>
  </cols>
  <sheetData>
    <row r="1" spans="1:16" ht="4.9000000000000004" customHeight="1" thickBot="1" x14ac:dyDescent="0.3"/>
    <row r="2" spans="1:16" s="2" customFormat="1" ht="30" customHeight="1" x14ac:dyDescent="0.25">
      <c r="A2" s="16"/>
      <c r="B2" s="77"/>
      <c r="C2" s="78"/>
      <c r="D2" s="79"/>
      <c r="E2" s="83" t="s">
        <v>54</v>
      </c>
      <c r="F2" s="84"/>
      <c r="G2" s="84"/>
      <c r="H2" s="84"/>
      <c r="I2" s="84"/>
      <c r="J2" s="84"/>
      <c r="K2" s="84"/>
      <c r="L2" s="84"/>
      <c r="M2" s="84"/>
      <c r="N2" s="84"/>
      <c r="O2" s="67"/>
      <c r="P2" s="68"/>
    </row>
    <row r="3" spans="1:16" s="2" customFormat="1" ht="20.45" customHeight="1" thickBot="1" x14ac:dyDescent="0.3">
      <c r="A3" s="16"/>
      <c r="B3" s="80"/>
      <c r="C3" s="81"/>
      <c r="D3" s="82"/>
      <c r="E3" s="85"/>
      <c r="F3" s="86"/>
      <c r="G3" s="86"/>
      <c r="H3" s="86"/>
      <c r="I3" s="86"/>
      <c r="J3" s="86"/>
      <c r="K3" s="86"/>
      <c r="L3" s="86"/>
      <c r="M3" s="86"/>
      <c r="N3" s="86"/>
      <c r="O3" s="69"/>
      <c r="P3" s="70"/>
    </row>
    <row r="4" spans="1:16" s="2" customFormat="1" ht="4.9000000000000004" customHeight="1" thickBot="1" x14ac:dyDescent="0.3">
      <c r="A4" s="16"/>
      <c r="B4" s="71"/>
      <c r="C4" s="71"/>
      <c r="D4" s="71"/>
      <c r="E4" s="71"/>
      <c r="F4" s="71"/>
      <c r="G4" s="71"/>
      <c r="H4" s="71"/>
      <c r="I4" s="71"/>
      <c r="J4" s="71"/>
      <c r="K4" s="71"/>
      <c r="L4" s="71"/>
      <c r="M4" s="71"/>
      <c r="N4" s="71"/>
      <c r="O4" s="71"/>
      <c r="P4" s="71"/>
    </row>
    <row r="5" spans="1:16" s="18" customFormat="1" ht="24.75" customHeight="1" thickBot="1" x14ac:dyDescent="0.25">
      <c r="A5" s="17"/>
      <c r="B5" s="56" t="s">
        <v>0</v>
      </c>
      <c r="C5" s="72">
        <v>42924</v>
      </c>
      <c r="D5" s="73"/>
      <c r="E5" s="87" t="s">
        <v>55</v>
      </c>
      <c r="F5" s="75"/>
      <c r="G5" s="293">
        <v>4</v>
      </c>
      <c r="H5" s="74" t="s">
        <v>2</v>
      </c>
      <c r="I5" s="75"/>
      <c r="J5" s="290" t="s">
        <v>100</v>
      </c>
      <c r="K5" s="291"/>
      <c r="L5" s="291"/>
      <c r="M5" s="291"/>
      <c r="N5" s="291"/>
      <c r="O5" s="291"/>
      <c r="P5" s="292"/>
    </row>
    <row r="6" spans="1:16" s="20" customFormat="1" ht="11.25" customHeight="1" thickBot="1" x14ac:dyDescent="0.3">
      <c r="A6" s="19"/>
      <c r="B6" s="87" t="s">
        <v>3</v>
      </c>
      <c r="C6" s="75"/>
      <c r="D6" s="88" t="s">
        <v>56</v>
      </c>
      <c r="E6" s="88"/>
      <c r="F6" s="88"/>
      <c r="G6" s="88"/>
      <c r="H6" s="88"/>
      <c r="I6" s="88"/>
      <c r="J6" s="89"/>
      <c r="K6" s="90" t="s">
        <v>4</v>
      </c>
      <c r="L6" s="74"/>
      <c r="M6" s="73" t="s">
        <v>57</v>
      </c>
      <c r="N6" s="91"/>
      <c r="O6" s="73" t="s">
        <v>58</v>
      </c>
      <c r="P6" s="76"/>
    </row>
    <row r="7" spans="1:16" s="20" customFormat="1" ht="14.1" customHeight="1" x14ac:dyDescent="0.25">
      <c r="A7" s="19"/>
      <c r="B7" s="92" t="s">
        <v>59</v>
      </c>
      <c r="C7" s="93"/>
      <c r="D7" s="93"/>
      <c r="E7" s="94"/>
      <c r="F7" s="95" t="s">
        <v>11</v>
      </c>
      <c r="G7" s="96"/>
      <c r="H7" s="97"/>
      <c r="I7" s="21">
        <v>0.50347222222222221</v>
      </c>
      <c r="J7" s="98" t="s">
        <v>60</v>
      </c>
      <c r="K7" s="99"/>
      <c r="L7" s="22">
        <v>1.1299999999999999</v>
      </c>
      <c r="M7" s="92" t="s">
        <v>13</v>
      </c>
      <c r="N7" s="93"/>
      <c r="O7" s="93"/>
      <c r="P7" s="23">
        <v>3.3</v>
      </c>
    </row>
    <row r="8" spans="1:16" s="20" customFormat="1" ht="14.1" customHeight="1" thickBot="1" x14ac:dyDescent="0.3">
      <c r="A8" s="19"/>
      <c r="B8" s="100" t="s">
        <v>6</v>
      </c>
      <c r="C8" s="101"/>
      <c r="D8" s="101"/>
      <c r="E8" s="102"/>
      <c r="F8" s="24" t="s">
        <v>14</v>
      </c>
      <c r="G8" s="25"/>
      <c r="H8" s="26"/>
      <c r="I8" s="27">
        <v>0.55555555555555558</v>
      </c>
      <c r="J8" s="103" t="s">
        <v>61</v>
      </c>
      <c r="K8" s="104"/>
      <c r="L8" s="22">
        <v>1.1299999999999999</v>
      </c>
      <c r="M8" s="105" t="s">
        <v>16</v>
      </c>
      <c r="N8" s="106"/>
      <c r="O8" s="106"/>
      <c r="P8" s="28">
        <v>0.25</v>
      </c>
    </row>
    <row r="9" spans="1:16" s="20" customFormat="1" ht="14.1" customHeight="1" x14ac:dyDescent="0.25">
      <c r="A9" s="29"/>
      <c r="B9" s="107" t="s">
        <v>7</v>
      </c>
      <c r="C9" s="108"/>
      <c r="D9" s="111" t="s">
        <v>8</v>
      </c>
      <c r="E9" s="93" t="s">
        <v>9</v>
      </c>
      <c r="F9" s="93"/>
      <c r="G9" s="93"/>
      <c r="H9" s="30"/>
      <c r="I9" s="113" t="s">
        <v>62</v>
      </c>
      <c r="J9" s="114"/>
      <c r="K9" s="117">
        <v>0.8</v>
      </c>
      <c r="L9" s="119" t="s">
        <v>12</v>
      </c>
      <c r="M9" s="120"/>
      <c r="N9" s="120"/>
      <c r="O9" s="121">
        <v>11</v>
      </c>
      <c r="P9" s="122"/>
    </row>
    <row r="10" spans="1:16" s="20" customFormat="1" ht="14.1" customHeight="1" thickBot="1" x14ac:dyDescent="0.3">
      <c r="A10" s="29"/>
      <c r="B10" s="109"/>
      <c r="C10" s="110"/>
      <c r="D10" s="112"/>
      <c r="E10" s="106" t="s">
        <v>10</v>
      </c>
      <c r="F10" s="106"/>
      <c r="G10" s="106"/>
      <c r="H10" s="31" t="s">
        <v>5</v>
      </c>
      <c r="I10" s="115"/>
      <c r="J10" s="116"/>
      <c r="K10" s="118"/>
      <c r="L10" s="123" t="s">
        <v>15</v>
      </c>
      <c r="M10" s="124"/>
      <c r="N10" s="124"/>
      <c r="O10" s="125">
        <v>0.50347222222222221</v>
      </c>
      <c r="P10" s="126"/>
    </row>
    <row r="11" spans="1:16" s="33" customFormat="1" ht="25.15" customHeight="1" x14ac:dyDescent="0.2">
      <c r="A11" s="11"/>
      <c r="B11" s="127" t="s">
        <v>17</v>
      </c>
      <c r="C11" s="130" t="s">
        <v>63</v>
      </c>
      <c r="D11" s="130"/>
      <c r="E11" s="130"/>
      <c r="F11" s="32"/>
      <c r="G11" s="131" t="s">
        <v>64</v>
      </c>
      <c r="H11" s="131"/>
      <c r="I11" s="131"/>
      <c r="J11" s="131"/>
      <c r="K11" s="131"/>
      <c r="L11" s="132"/>
      <c r="M11" s="131" t="s">
        <v>65</v>
      </c>
      <c r="N11" s="131"/>
      <c r="O11" s="131"/>
      <c r="P11" s="135"/>
    </row>
    <row r="12" spans="1:16" s="33" customFormat="1" ht="17.45" customHeight="1" x14ac:dyDescent="0.2">
      <c r="A12" s="11"/>
      <c r="B12" s="128"/>
      <c r="C12" s="136" t="s">
        <v>66</v>
      </c>
      <c r="D12" s="136"/>
      <c r="E12" s="136"/>
      <c r="F12" s="34"/>
      <c r="G12" s="137" t="s">
        <v>67</v>
      </c>
      <c r="H12" s="137"/>
      <c r="I12" s="137"/>
      <c r="J12" s="137"/>
      <c r="K12" s="137"/>
      <c r="L12" s="133"/>
      <c r="M12" s="137" t="s">
        <v>68</v>
      </c>
      <c r="N12" s="137"/>
      <c r="O12" s="137"/>
      <c r="P12" s="139"/>
    </row>
    <row r="13" spans="1:16" s="33" customFormat="1" ht="25.15" customHeight="1" thickBot="1" x14ac:dyDescent="0.25">
      <c r="A13" s="11"/>
      <c r="B13" s="129"/>
      <c r="C13" s="140"/>
      <c r="D13" s="141"/>
      <c r="E13" s="141"/>
      <c r="F13" s="141"/>
      <c r="G13" s="138" t="s">
        <v>69</v>
      </c>
      <c r="H13" s="138"/>
      <c r="I13" s="138"/>
      <c r="J13" s="138"/>
      <c r="K13" s="138"/>
      <c r="L13" s="134"/>
      <c r="M13" s="138" t="s">
        <v>70</v>
      </c>
      <c r="N13" s="138"/>
      <c r="O13" s="138"/>
      <c r="P13" s="142"/>
    </row>
    <row r="14" spans="1:16" ht="16.5" customHeight="1" x14ac:dyDescent="0.25">
      <c r="A14" s="5"/>
      <c r="B14" s="143" t="s">
        <v>18</v>
      </c>
      <c r="C14" s="145" t="s">
        <v>19</v>
      </c>
      <c r="D14" s="145" t="s">
        <v>40</v>
      </c>
      <c r="E14" s="147" t="s">
        <v>20</v>
      </c>
      <c r="F14" s="149" t="s">
        <v>41</v>
      </c>
      <c r="G14" s="150"/>
      <c r="H14" s="151"/>
      <c r="I14" s="155" t="s">
        <v>42</v>
      </c>
      <c r="J14" s="156"/>
      <c r="K14" s="35"/>
      <c r="L14" s="36" t="s">
        <v>43</v>
      </c>
      <c r="M14" s="36" t="s">
        <v>44</v>
      </c>
      <c r="N14" s="36" t="s">
        <v>44</v>
      </c>
      <c r="O14" s="36" t="s">
        <v>45</v>
      </c>
      <c r="P14" s="37" t="s">
        <v>21</v>
      </c>
    </row>
    <row r="15" spans="1:16" ht="14.1" customHeight="1" thickBot="1" x14ac:dyDescent="0.3">
      <c r="A15" s="5"/>
      <c r="B15" s="144"/>
      <c r="C15" s="146"/>
      <c r="D15" s="146"/>
      <c r="E15" s="148"/>
      <c r="F15" s="152"/>
      <c r="G15" s="153"/>
      <c r="H15" s="154"/>
      <c r="I15" s="157" t="s">
        <v>22</v>
      </c>
      <c r="J15" s="158"/>
      <c r="K15" s="38" t="s">
        <v>23</v>
      </c>
      <c r="L15" s="38" t="s">
        <v>46</v>
      </c>
      <c r="M15" s="38" t="s">
        <v>47</v>
      </c>
      <c r="N15" s="38" t="s">
        <v>24</v>
      </c>
      <c r="O15" s="38" t="s">
        <v>25</v>
      </c>
      <c r="P15" s="39" t="s">
        <v>26</v>
      </c>
    </row>
    <row r="16" spans="1:16" s="3" customFormat="1" ht="14.1" customHeight="1" x14ac:dyDescent="0.2">
      <c r="A16" s="11"/>
      <c r="B16" s="174">
        <v>1</v>
      </c>
      <c r="C16" s="159">
        <f>+K9</f>
        <v>0.8</v>
      </c>
      <c r="D16" s="159">
        <v>7.0000000000000007E-2</v>
      </c>
      <c r="E16" s="159">
        <v>9.8000000000000004E-2</v>
      </c>
      <c r="F16" s="40" t="s">
        <v>71</v>
      </c>
      <c r="G16" s="168" t="str">
        <f>IF(E16&lt;0.12,"NA",IF(E16&gt;=0.12,0.2*E16))</f>
        <v>NA</v>
      </c>
      <c r="H16" s="168"/>
      <c r="I16" s="168"/>
      <c r="J16" s="168"/>
      <c r="K16" s="159">
        <f>ROUND(+IF(E16&lt;0.12,(I17),(IF(E16&gt;=0.12,((I16+2*I17+I18)/4)))),3)</f>
        <v>0.23</v>
      </c>
      <c r="L16" s="159">
        <f>ROUND(+(D16+D18)/2*(C18-C16),3)</f>
        <v>2.8000000000000001E-2</v>
      </c>
      <c r="M16" s="162">
        <f>ROUND(+K16*L16,4)</f>
        <v>6.4000000000000003E-3</v>
      </c>
      <c r="N16" s="165">
        <f>ROUND(+M16/$M$65*100,1)</f>
        <v>4</v>
      </c>
      <c r="O16" s="168"/>
      <c r="P16" s="171"/>
    </row>
    <row r="17" spans="1:16" s="3" customFormat="1" ht="14.1" customHeight="1" x14ac:dyDescent="0.2">
      <c r="A17" s="11"/>
      <c r="B17" s="175"/>
      <c r="C17" s="160"/>
      <c r="D17" s="160"/>
      <c r="E17" s="160"/>
      <c r="F17" s="41" t="s">
        <v>72</v>
      </c>
      <c r="G17" s="160">
        <f>IF(E16&lt;0.12,0.6*E16,IF(E16&gt;=0.12,0.6*E16))</f>
        <v>5.8799999999999998E-2</v>
      </c>
      <c r="H17" s="160"/>
      <c r="I17" s="160">
        <v>0.23</v>
      </c>
      <c r="J17" s="160"/>
      <c r="K17" s="160"/>
      <c r="L17" s="160"/>
      <c r="M17" s="163"/>
      <c r="N17" s="166"/>
      <c r="O17" s="169"/>
      <c r="P17" s="172"/>
    </row>
    <row r="18" spans="1:16" s="3" customFormat="1" ht="13.9" customHeight="1" thickBot="1" x14ac:dyDescent="0.25">
      <c r="A18" s="11"/>
      <c r="B18" s="176"/>
      <c r="C18" s="43">
        <f>+C16+P8</f>
        <v>1.05</v>
      </c>
      <c r="D18" s="43">
        <v>0.151</v>
      </c>
      <c r="E18" s="161"/>
      <c r="F18" s="44" t="s">
        <v>73</v>
      </c>
      <c r="G18" s="161" t="str">
        <f>IF(E16&lt;0.12,"NA",IF(E16&gt;=0.12,0.8*E16))</f>
        <v>NA</v>
      </c>
      <c r="H18" s="161"/>
      <c r="I18" s="161"/>
      <c r="J18" s="161"/>
      <c r="K18" s="161"/>
      <c r="L18" s="161"/>
      <c r="M18" s="164"/>
      <c r="N18" s="167"/>
      <c r="O18" s="170"/>
      <c r="P18" s="173"/>
    </row>
    <row r="19" spans="1:16" s="3" customFormat="1" ht="14.1" customHeight="1" x14ac:dyDescent="0.2">
      <c r="A19" s="11"/>
      <c r="B19" s="174">
        <v>2</v>
      </c>
      <c r="C19" s="159">
        <f>+C18</f>
        <v>1.05</v>
      </c>
      <c r="D19" s="159">
        <f>+D18</f>
        <v>0.151</v>
      </c>
      <c r="E19" s="159">
        <v>0.14000000000000001</v>
      </c>
      <c r="F19" s="40" t="s">
        <v>71</v>
      </c>
      <c r="G19" s="159">
        <f t="shared" ref="G19" si="0">IF(E19&lt;0.12,"NA",IF(E19&gt;=0.12,0.2*E19))</f>
        <v>2.8000000000000004E-2</v>
      </c>
      <c r="H19" s="159"/>
      <c r="I19" s="159">
        <v>0.27</v>
      </c>
      <c r="J19" s="159"/>
      <c r="K19" s="159">
        <f t="shared" ref="K19" si="1">ROUND(+IF(E19&lt;0.12,(I20),(IF(E19&gt;=0.12,((I19+2*I20+I21)/4)))),3)</f>
        <v>0.246</v>
      </c>
      <c r="L19" s="159">
        <f>ROUND(+(D19+D21)/2*(C21-C19),3)</f>
        <v>3.6999999999999998E-2</v>
      </c>
      <c r="M19" s="162">
        <f t="shared" ref="M19" si="2">ROUND(+K19*L19,4)</f>
        <v>9.1000000000000004E-3</v>
      </c>
      <c r="N19" s="165">
        <f>ROUND(+M19/$M$65*100,1)</f>
        <v>5.6</v>
      </c>
      <c r="O19" s="168"/>
      <c r="P19" s="171"/>
    </row>
    <row r="20" spans="1:16" s="3" customFormat="1" ht="14.1" customHeight="1" x14ac:dyDescent="0.2">
      <c r="A20" s="11"/>
      <c r="B20" s="175"/>
      <c r="C20" s="160"/>
      <c r="D20" s="160"/>
      <c r="E20" s="160"/>
      <c r="F20" s="41" t="s">
        <v>72</v>
      </c>
      <c r="G20" s="160">
        <f t="shared" ref="G20" si="3">IF(E19&lt;0.12,0.6*E19,IF(E19&gt;=0.12,0.6*E19))</f>
        <v>8.4000000000000005E-2</v>
      </c>
      <c r="H20" s="160"/>
      <c r="I20" s="160">
        <v>0.251</v>
      </c>
      <c r="J20" s="160"/>
      <c r="K20" s="160"/>
      <c r="L20" s="160"/>
      <c r="M20" s="163"/>
      <c r="N20" s="166"/>
      <c r="O20" s="169"/>
      <c r="P20" s="172"/>
    </row>
    <row r="21" spans="1:16" s="3" customFormat="1" ht="13.9" customHeight="1" thickBot="1" x14ac:dyDescent="0.25">
      <c r="A21" s="11"/>
      <c r="B21" s="176"/>
      <c r="C21" s="43">
        <f>+C19+$P$8</f>
        <v>1.3</v>
      </c>
      <c r="D21" s="43">
        <v>0.14799999999999999</v>
      </c>
      <c r="E21" s="161"/>
      <c r="F21" s="44" t="s">
        <v>73</v>
      </c>
      <c r="G21" s="161">
        <f t="shared" ref="G21" si="4">IF(E19&lt;0.12,"NA",IF(E19&gt;=0.12,0.8*E19))</f>
        <v>0.11200000000000002</v>
      </c>
      <c r="H21" s="161"/>
      <c r="I21" s="161">
        <v>0.21199999999999999</v>
      </c>
      <c r="J21" s="161"/>
      <c r="K21" s="161"/>
      <c r="L21" s="161"/>
      <c r="M21" s="164"/>
      <c r="N21" s="167"/>
      <c r="O21" s="170"/>
      <c r="P21" s="173"/>
    </row>
    <row r="22" spans="1:16" s="54" customFormat="1" ht="14.1" customHeight="1" x14ac:dyDescent="0.2">
      <c r="A22" s="53"/>
      <c r="B22" s="274">
        <v>3</v>
      </c>
      <c r="C22" s="159">
        <f>+C21</f>
        <v>1.3</v>
      </c>
      <c r="D22" s="159">
        <f>+D21</f>
        <v>0.14799999999999999</v>
      </c>
      <c r="E22" s="159">
        <v>0.158</v>
      </c>
      <c r="F22" s="40" t="s">
        <v>71</v>
      </c>
      <c r="G22" s="159">
        <f t="shared" ref="G22" si="5">IF(E22&lt;0.12,"NA",IF(E22&gt;=0.12,0.2*E22))</f>
        <v>3.1600000000000003E-2</v>
      </c>
      <c r="H22" s="159"/>
      <c r="I22" s="159">
        <v>0.32</v>
      </c>
      <c r="J22" s="159"/>
      <c r="K22" s="159">
        <f t="shared" ref="K22" si="6">ROUND(+IF(E22&lt;0.12,(I23),(IF(E22&gt;=0.12,((I22+2*I23+I24)/4)))),3)</f>
        <v>0.27800000000000002</v>
      </c>
      <c r="L22" s="159">
        <f t="shared" ref="L22" si="7">ROUND(+(D22+D24)/2*(C24-C22),3)</f>
        <v>3.5999999999999997E-2</v>
      </c>
      <c r="M22" s="162">
        <f t="shared" ref="M22" si="8">ROUND(+K22*L22,4)</f>
        <v>0.01</v>
      </c>
      <c r="N22" s="165">
        <f>ROUND(+M22/$M$65*100,1)</f>
        <v>6.2</v>
      </c>
      <c r="O22" s="168"/>
      <c r="P22" s="171"/>
    </row>
    <row r="23" spans="1:16" s="54" customFormat="1" ht="14.1" customHeight="1" x14ac:dyDescent="0.2">
      <c r="A23" s="53"/>
      <c r="B23" s="275"/>
      <c r="C23" s="160"/>
      <c r="D23" s="160"/>
      <c r="E23" s="160"/>
      <c r="F23" s="41" t="s">
        <v>72</v>
      </c>
      <c r="G23" s="160">
        <f t="shared" ref="G23" si="9">IF(E22&lt;0.12,0.6*E22,IF(E22&gt;=0.12,0.6*E22))</f>
        <v>9.4799999999999995E-2</v>
      </c>
      <c r="H23" s="160"/>
      <c r="I23" s="169">
        <v>0.27900000000000003</v>
      </c>
      <c r="J23" s="169"/>
      <c r="K23" s="160"/>
      <c r="L23" s="160"/>
      <c r="M23" s="163"/>
      <c r="N23" s="166"/>
      <c r="O23" s="169"/>
      <c r="P23" s="172"/>
    </row>
    <row r="24" spans="1:16" s="54" customFormat="1" ht="13.9" customHeight="1" thickBot="1" x14ac:dyDescent="0.25">
      <c r="A24" s="53"/>
      <c r="B24" s="276"/>
      <c r="C24" s="43">
        <f>+C22+$P$8</f>
        <v>1.55</v>
      </c>
      <c r="D24" s="43">
        <v>0.13800000000000001</v>
      </c>
      <c r="E24" s="161"/>
      <c r="F24" s="44" t="s">
        <v>73</v>
      </c>
      <c r="G24" s="161">
        <f t="shared" ref="G24" si="10">IF(E22&lt;0.12,"NA",IF(E22&gt;=0.12,0.8*E22))</f>
        <v>0.12640000000000001</v>
      </c>
      <c r="H24" s="161"/>
      <c r="I24" s="170">
        <v>0.23200000000000001</v>
      </c>
      <c r="J24" s="170"/>
      <c r="K24" s="161"/>
      <c r="L24" s="161"/>
      <c r="M24" s="164"/>
      <c r="N24" s="167"/>
      <c r="O24" s="170"/>
      <c r="P24" s="173"/>
    </row>
    <row r="25" spans="1:16" s="3" customFormat="1" ht="14.1" customHeight="1" x14ac:dyDescent="0.2">
      <c r="A25" s="11"/>
      <c r="B25" s="174">
        <v>4</v>
      </c>
      <c r="C25" s="159">
        <f>+C24</f>
        <v>1.55</v>
      </c>
      <c r="D25" s="159">
        <f>+D24</f>
        <v>0.13800000000000001</v>
      </c>
      <c r="E25" s="159">
        <v>0.11799999999999999</v>
      </c>
      <c r="F25" s="40" t="s">
        <v>71</v>
      </c>
      <c r="G25" s="159" t="str">
        <f t="shared" ref="G25" si="11">IF(E25&lt;0.12,"NA",IF(E25&gt;=0.12,0.2*E25))</f>
        <v>NA</v>
      </c>
      <c r="H25" s="159"/>
      <c r="I25" s="168"/>
      <c r="J25" s="168"/>
      <c r="K25" s="159">
        <f t="shared" ref="K25" si="12">ROUND(+IF(E25&lt;0.12,(I26),(IF(E25&gt;=0.12,((I25+2*I26+I27)/4)))),3)</f>
        <v>0.33700000000000002</v>
      </c>
      <c r="L25" s="159">
        <f t="shared" ref="L25" si="13">ROUND(+(D25+D27)/2*(C27-C25),3)</f>
        <v>4.4999999999999998E-2</v>
      </c>
      <c r="M25" s="162">
        <f t="shared" ref="M25" si="14">ROUND(+K25*L25,4)</f>
        <v>1.52E-2</v>
      </c>
      <c r="N25" s="165">
        <f>ROUND(+M25/$M$65*100,1)</f>
        <v>9.4</v>
      </c>
      <c r="O25" s="168"/>
      <c r="P25" s="171"/>
    </row>
    <row r="26" spans="1:16" s="3" customFormat="1" ht="14.1" customHeight="1" x14ac:dyDescent="0.2">
      <c r="A26" s="11"/>
      <c r="B26" s="175"/>
      <c r="C26" s="160"/>
      <c r="D26" s="160"/>
      <c r="E26" s="160"/>
      <c r="F26" s="41" t="s">
        <v>72</v>
      </c>
      <c r="G26" s="160">
        <f t="shared" ref="G26" si="15">IF(E25&lt;0.12,0.6*E25,IF(E25&gt;=0.12,0.6*E25))</f>
        <v>7.0799999999999988E-2</v>
      </c>
      <c r="H26" s="160"/>
      <c r="I26" s="169">
        <v>0.33700000000000002</v>
      </c>
      <c r="J26" s="169"/>
      <c r="K26" s="160"/>
      <c r="L26" s="160"/>
      <c r="M26" s="163"/>
      <c r="N26" s="166"/>
      <c r="O26" s="169"/>
      <c r="P26" s="172"/>
    </row>
    <row r="27" spans="1:16" s="3" customFormat="1" ht="13.9" customHeight="1" thickBot="1" x14ac:dyDescent="0.25">
      <c r="A27" s="11"/>
      <c r="B27" s="176"/>
      <c r="C27" s="43">
        <f>+C25+$P$8</f>
        <v>1.8</v>
      </c>
      <c r="D27" s="43">
        <v>0.22500000000000001</v>
      </c>
      <c r="E27" s="161"/>
      <c r="F27" s="44" t="s">
        <v>73</v>
      </c>
      <c r="G27" s="161" t="str">
        <f t="shared" ref="G27" si="16">IF(E25&lt;0.12,"NA",IF(E25&gt;=0.12,0.8*E25))</f>
        <v>NA</v>
      </c>
      <c r="H27" s="161"/>
      <c r="I27" s="170"/>
      <c r="J27" s="170"/>
      <c r="K27" s="161"/>
      <c r="L27" s="161"/>
      <c r="M27" s="164"/>
      <c r="N27" s="167"/>
      <c r="O27" s="170"/>
      <c r="P27" s="173"/>
    </row>
    <row r="28" spans="1:16" s="3" customFormat="1" ht="14.1" customHeight="1" x14ac:dyDescent="0.2">
      <c r="A28" s="11"/>
      <c r="B28" s="174">
        <v>5</v>
      </c>
      <c r="C28" s="159">
        <f>+C27</f>
        <v>1.8</v>
      </c>
      <c r="D28" s="159">
        <f t="shared" ref="D28" si="17">+D27</f>
        <v>0.22500000000000001</v>
      </c>
      <c r="E28" s="159">
        <v>0.22800000000000001</v>
      </c>
      <c r="F28" s="40" t="s">
        <v>71</v>
      </c>
      <c r="G28" s="159">
        <f t="shared" ref="G28" si="18">IF(E28&lt;0.12,"NA",IF(E28&gt;=0.12,0.2*E28))</f>
        <v>4.5600000000000002E-2</v>
      </c>
      <c r="H28" s="159"/>
      <c r="I28" s="168">
        <v>0.36499999999999999</v>
      </c>
      <c r="J28" s="168"/>
      <c r="K28" s="159">
        <f t="shared" ref="K28" si="19">ROUND(+IF(E28&lt;0.12,(I29),(IF(E28&gt;=0.12,((I28+2*I29+I30)/4)))),3)</f>
        <v>0.33600000000000002</v>
      </c>
      <c r="L28" s="159">
        <f t="shared" ref="L28" si="20">ROUND(+(D28+D30)/2*(C30-C28),3)</f>
        <v>6.0999999999999999E-2</v>
      </c>
      <c r="M28" s="162">
        <f t="shared" ref="M28" si="21">ROUND(+K28*L28,4)</f>
        <v>2.0500000000000001E-2</v>
      </c>
      <c r="N28" s="165">
        <f>ROUND(+M28/$M$65*100,1)</f>
        <v>12.7</v>
      </c>
      <c r="O28" s="168"/>
      <c r="P28" s="171"/>
    </row>
    <row r="29" spans="1:16" s="3" customFormat="1" ht="14.1" customHeight="1" x14ac:dyDescent="0.2">
      <c r="A29" s="11"/>
      <c r="B29" s="175"/>
      <c r="C29" s="160"/>
      <c r="D29" s="160"/>
      <c r="E29" s="160"/>
      <c r="F29" s="41" t="s">
        <v>72</v>
      </c>
      <c r="G29" s="160">
        <f t="shared" ref="G29" si="22">IF(E28&lt;0.12,0.6*E28,IF(E28&gt;=0.12,0.6*E28))</f>
        <v>0.1368</v>
      </c>
      <c r="H29" s="160"/>
      <c r="I29" s="169">
        <v>0.33100000000000002</v>
      </c>
      <c r="J29" s="169"/>
      <c r="K29" s="160"/>
      <c r="L29" s="160"/>
      <c r="M29" s="163"/>
      <c r="N29" s="166"/>
      <c r="O29" s="169"/>
      <c r="P29" s="172"/>
    </row>
    <row r="30" spans="1:16" s="3" customFormat="1" ht="13.9" customHeight="1" thickBot="1" x14ac:dyDescent="0.25">
      <c r="A30" s="11"/>
      <c r="B30" s="176"/>
      <c r="C30" s="43">
        <f>+C28+$P$8</f>
        <v>2.0499999999999998</v>
      </c>
      <c r="D30" s="43">
        <v>0.26500000000000001</v>
      </c>
      <c r="E30" s="161"/>
      <c r="F30" s="44" t="s">
        <v>73</v>
      </c>
      <c r="G30" s="161">
        <f t="shared" ref="G30" si="23">IF(E28&lt;0.12,"NA",IF(E28&gt;=0.12,0.8*E28))</f>
        <v>0.18240000000000001</v>
      </c>
      <c r="H30" s="161"/>
      <c r="I30" s="170">
        <v>0.317</v>
      </c>
      <c r="J30" s="170"/>
      <c r="K30" s="161"/>
      <c r="L30" s="161"/>
      <c r="M30" s="164"/>
      <c r="N30" s="167"/>
      <c r="O30" s="170"/>
      <c r="P30" s="173"/>
    </row>
    <row r="31" spans="1:16" s="3" customFormat="1" ht="14.1" customHeight="1" x14ac:dyDescent="0.2">
      <c r="A31" s="11"/>
      <c r="B31" s="174">
        <v>6</v>
      </c>
      <c r="C31" s="159">
        <f>+C30</f>
        <v>2.0499999999999998</v>
      </c>
      <c r="D31" s="159">
        <f t="shared" ref="D31" si="24">+D30</f>
        <v>0.26500000000000001</v>
      </c>
      <c r="E31" s="159">
        <v>0.26500000000000001</v>
      </c>
      <c r="F31" s="40" t="s">
        <v>71</v>
      </c>
      <c r="G31" s="159">
        <f t="shared" ref="G31" si="25">IF(E31&lt;0.12,"NA",IF(E31&gt;=0.12,0.2*E31))</f>
        <v>5.3000000000000005E-2</v>
      </c>
      <c r="H31" s="159"/>
      <c r="I31" s="159">
        <v>0.43</v>
      </c>
      <c r="J31" s="159"/>
      <c r="K31" s="159">
        <f t="shared" ref="K31" si="26">ROUND(+IF(E31&lt;0.12,(I32),(IF(E31&gt;=0.12,((I31+2*I32+I33)/4)))),3)</f>
        <v>0.374</v>
      </c>
      <c r="L31" s="159">
        <f t="shared" ref="L31" si="27">ROUND(+(D31+D33)/2*(C33-C31),3)</f>
        <v>6.9000000000000006E-2</v>
      </c>
      <c r="M31" s="162">
        <f t="shared" ref="M31" si="28">ROUND(+K31*L31,4)</f>
        <v>2.58E-2</v>
      </c>
      <c r="N31" s="165">
        <f>ROUND(+M31/$M$65*100,1)</f>
        <v>16</v>
      </c>
      <c r="O31" s="168"/>
      <c r="P31" s="171"/>
    </row>
    <row r="32" spans="1:16" s="3" customFormat="1" ht="14.1" customHeight="1" x14ac:dyDescent="0.2">
      <c r="A32" s="11"/>
      <c r="B32" s="175"/>
      <c r="C32" s="160"/>
      <c r="D32" s="160"/>
      <c r="E32" s="160"/>
      <c r="F32" s="41" t="s">
        <v>72</v>
      </c>
      <c r="G32" s="160">
        <f t="shared" ref="G32" si="29">IF(E31&lt;0.12,0.6*E31,IF(E31&gt;=0.12,0.6*E31))</f>
        <v>0.159</v>
      </c>
      <c r="H32" s="160"/>
      <c r="I32" s="160">
        <v>0.374</v>
      </c>
      <c r="J32" s="160"/>
      <c r="K32" s="160"/>
      <c r="L32" s="160"/>
      <c r="M32" s="163"/>
      <c r="N32" s="166"/>
      <c r="O32" s="169"/>
      <c r="P32" s="172"/>
    </row>
    <row r="33" spans="1:16" s="3" customFormat="1" ht="13.9" customHeight="1" thickBot="1" x14ac:dyDescent="0.25">
      <c r="A33" s="11"/>
      <c r="B33" s="176"/>
      <c r="C33" s="43">
        <f>+C31+$P$8</f>
        <v>2.2999999999999998</v>
      </c>
      <c r="D33" s="43">
        <v>0.28499999999999998</v>
      </c>
      <c r="E33" s="161"/>
      <c r="F33" s="44" t="s">
        <v>73</v>
      </c>
      <c r="G33" s="161">
        <f t="shared" ref="G33" si="30">IF(E31&lt;0.12,"NA",IF(E31&gt;=0.12,0.8*E31))</f>
        <v>0.21200000000000002</v>
      </c>
      <c r="H33" s="161"/>
      <c r="I33" s="170">
        <v>0.31900000000000001</v>
      </c>
      <c r="J33" s="170"/>
      <c r="K33" s="161"/>
      <c r="L33" s="161"/>
      <c r="M33" s="164"/>
      <c r="N33" s="167"/>
      <c r="O33" s="170"/>
      <c r="P33" s="173"/>
    </row>
    <row r="34" spans="1:16" s="3" customFormat="1" ht="14.1" customHeight="1" x14ac:dyDescent="0.2">
      <c r="A34" s="11"/>
      <c r="B34" s="174">
        <v>7</v>
      </c>
      <c r="C34" s="159">
        <f>+C33</f>
        <v>2.2999999999999998</v>
      </c>
      <c r="D34" s="159">
        <f t="shared" ref="D34" si="31">+D33</f>
        <v>0.28499999999999998</v>
      </c>
      <c r="E34" s="180">
        <v>0.30599999999999999</v>
      </c>
      <c r="F34" s="40" t="s">
        <v>71</v>
      </c>
      <c r="G34" s="159">
        <f t="shared" ref="G34" si="32">IF(E34&lt;0.12,"NA",IF(E34&gt;=0.12,0.2*E34))</f>
        <v>6.1200000000000004E-2</v>
      </c>
      <c r="H34" s="159"/>
      <c r="I34" s="184"/>
      <c r="J34" s="185"/>
      <c r="K34" s="159"/>
      <c r="L34" s="159"/>
      <c r="M34" s="162"/>
      <c r="N34" s="165"/>
      <c r="O34" s="168"/>
      <c r="P34" s="171"/>
    </row>
    <row r="35" spans="1:16" s="3" customFormat="1" ht="14.1" customHeight="1" x14ac:dyDescent="0.2">
      <c r="A35" s="11"/>
      <c r="B35" s="175"/>
      <c r="C35" s="160"/>
      <c r="D35" s="160"/>
      <c r="E35" s="182"/>
      <c r="F35" s="41" t="s">
        <v>72</v>
      </c>
      <c r="G35" s="160">
        <f t="shared" ref="G35" si="33">IF(E34&lt;0.12,0.6*E34,IF(E34&gt;=0.12,0.6*E34))</f>
        <v>0.18359999999999999</v>
      </c>
      <c r="H35" s="160"/>
      <c r="I35" s="186"/>
      <c r="J35" s="187"/>
      <c r="K35" s="160"/>
      <c r="L35" s="160"/>
      <c r="M35" s="163"/>
      <c r="N35" s="166"/>
      <c r="O35" s="169"/>
      <c r="P35" s="172"/>
    </row>
    <row r="36" spans="1:16" s="3" customFormat="1" ht="13.9" customHeight="1" thickBot="1" x14ac:dyDescent="0.25">
      <c r="A36" s="11"/>
      <c r="B36" s="176"/>
      <c r="C36" s="43">
        <f>+C34+$P$8</f>
        <v>2.5499999999999998</v>
      </c>
      <c r="D36" s="43">
        <v>0.30499999999999999</v>
      </c>
      <c r="E36" s="183"/>
      <c r="F36" s="44" t="s">
        <v>73</v>
      </c>
      <c r="G36" s="161">
        <f t="shared" ref="G36" si="34">IF(E34&lt;0.12,"NA",IF(E34&gt;=0.12,0.8*E34))</f>
        <v>0.24480000000000002</v>
      </c>
      <c r="H36" s="161"/>
      <c r="I36" s="188"/>
      <c r="J36" s="189"/>
      <c r="K36" s="161"/>
      <c r="L36" s="161"/>
      <c r="M36" s="164"/>
      <c r="N36" s="167"/>
      <c r="O36" s="170"/>
      <c r="P36" s="173"/>
    </row>
    <row r="37" spans="1:16" s="3" customFormat="1" ht="14.1" customHeight="1" x14ac:dyDescent="0.2">
      <c r="A37" s="11"/>
      <c r="B37" s="174">
        <v>8</v>
      </c>
      <c r="C37" s="159">
        <f>+C36</f>
        <v>2.5499999999999998</v>
      </c>
      <c r="D37" s="159">
        <f t="shared" ref="D37" si="35">+D36</f>
        <v>0.30499999999999999</v>
      </c>
      <c r="E37" s="159">
        <v>0.217</v>
      </c>
      <c r="F37" s="40" t="s">
        <v>71</v>
      </c>
      <c r="G37" s="159">
        <f t="shared" ref="G37" si="36">IF(E37&lt;0.12,"NA",IF(E37&gt;=0.12,0.2*E37))</f>
        <v>4.3400000000000001E-2</v>
      </c>
      <c r="H37" s="159"/>
      <c r="I37" s="168">
        <v>0.34899999999999998</v>
      </c>
      <c r="J37" s="168"/>
      <c r="K37" s="159">
        <f t="shared" ref="K37" si="37">ROUND(+IF(E37&lt;0.12,(I38),(IF(E37&gt;=0.12,((I37+2*I38+I39)/4)))),3)</f>
        <v>0.33</v>
      </c>
      <c r="L37" s="159">
        <f t="shared" ref="L37" si="38">ROUND(+(D37+D39)/2*(C39-C37),3)</f>
        <v>6.4000000000000001E-2</v>
      </c>
      <c r="M37" s="162">
        <f t="shared" ref="M37" si="39">ROUND(+K37*L37,4)</f>
        <v>2.1100000000000001E-2</v>
      </c>
      <c r="N37" s="165">
        <f>ROUND(+M37/$M$65*100,1)</f>
        <v>13.1</v>
      </c>
      <c r="O37" s="168"/>
      <c r="P37" s="171"/>
    </row>
    <row r="38" spans="1:16" s="3" customFormat="1" ht="14.1" customHeight="1" x14ac:dyDescent="0.2">
      <c r="A38" s="11"/>
      <c r="B38" s="175"/>
      <c r="C38" s="160"/>
      <c r="D38" s="160"/>
      <c r="E38" s="160"/>
      <c r="F38" s="41" t="s">
        <v>72</v>
      </c>
      <c r="G38" s="160">
        <f t="shared" ref="G38" si="40">IF(E37&lt;0.12,0.6*E37,IF(E37&gt;=0.12,0.6*E37))</f>
        <v>0.13019999999999998</v>
      </c>
      <c r="H38" s="160"/>
      <c r="I38" s="160">
        <v>0.35</v>
      </c>
      <c r="J38" s="160"/>
      <c r="K38" s="160"/>
      <c r="L38" s="160"/>
      <c r="M38" s="163"/>
      <c r="N38" s="166"/>
      <c r="O38" s="169"/>
      <c r="P38" s="172"/>
    </row>
    <row r="39" spans="1:16" s="3" customFormat="1" ht="13.9" customHeight="1" thickBot="1" x14ac:dyDescent="0.25">
      <c r="A39" s="11"/>
      <c r="B39" s="176"/>
      <c r="C39" s="43">
        <f>+C37+$P$8</f>
        <v>2.8</v>
      </c>
      <c r="D39" s="43">
        <v>0.20499999999999999</v>
      </c>
      <c r="E39" s="161"/>
      <c r="F39" s="44" t="s">
        <v>73</v>
      </c>
      <c r="G39" s="161">
        <f t="shared" ref="G39" si="41">IF(E37&lt;0.12,"NA",IF(E37&gt;=0.12,0.8*E37))</f>
        <v>0.1736</v>
      </c>
      <c r="H39" s="161"/>
      <c r="I39" s="170">
        <v>0.26900000000000002</v>
      </c>
      <c r="J39" s="170"/>
      <c r="K39" s="161"/>
      <c r="L39" s="161"/>
      <c r="M39" s="164"/>
      <c r="N39" s="167"/>
      <c r="O39" s="170"/>
      <c r="P39" s="173"/>
    </row>
    <row r="40" spans="1:16" s="3" customFormat="1" ht="14.1" customHeight="1" x14ac:dyDescent="0.2">
      <c r="A40" s="11"/>
      <c r="B40" s="174">
        <v>9</v>
      </c>
      <c r="C40" s="159">
        <f t="shared" ref="C40:D40" si="42">+C39</f>
        <v>2.8</v>
      </c>
      <c r="D40" s="159">
        <f t="shared" si="42"/>
        <v>0.20499999999999999</v>
      </c>
      <c r="E40" s="159">
        <v>0.19900000000000001</v>
      </c>
      <c r="F40" s="40" t="s">
        <v>71</v>
      </c>
      <c r="G40" s="159">
        <f t="shared" ref="G40" si="43">IF(E40&lt;0.12,"NA",IF(E40&gt;=0.12,0.2*E40))</f>
        <v>3.9800000000000002E-2</v>
      </c>
      <c r="H40" s="159"/>
      <c r="I40" s="168">
        <v>0.30299999999999999</v>
      </c>
      <c r="J40" s="168"/>
      <c r="K40" s="159">
        <f t="shared" ref="K40" si="44">ROUND(+IF(E40&lt;0.12,(I41),(IF(E40&gt;=0.12,((I40+2*I41+I42)/4)))),3)</f>
        <v>0.28199999999999997</v>
      </c>
      <c r="L40" s="159">
        <f t="shared" ref="L40" si="45">ROUND(+(D40+D42)/2*(C42-C40),3)</f>
        <v>4.8000000000000001E-2</v>
      </c>
      <c r="M40" s="162">
        <f t="shared" ref="M40" si="46">ROUND(+K40*L40,4)</f>
        <v>1.35E-2</v>
      </c>
      <c r="N40" s="165">
        <f>ROUND(+M40/$M$65*100,1)</f>
        <v>8.4</v>
      </c>
      <c r="O40" s="168"/>
      <c r="P40" s="171"/>
    </row>
    <row r="41" spans="1:16" s="3" customFormat="1" ht="14.1" customHeight="1" x14ac:dyDescent="0.2">
      <c r="A41" s="11"/>
      <c r="B41" s="175"/>
      <c r="C41" s="160"/>
      <c r="D41" s="160"/>
      <c r="E41" s="160"/>
      <c r="F41" s="41" t="s">
        <v>72</v>
      </c>
      <c r="G41" s="160">
        <f t="shared" ref="G41" si="47">IF(E40&lt;0.12,0.6*E40,IF(E40&gt;=0.12,0.6*E40))</f>
        <v>0.11940000000000001</v>
      </c>
      <c r="H41" s="160"/>
      <c r="I41" s="169">
        <v>0.28899999999999998</v>
      </c>
      <c r="J41" s="169"/>
      <c r="K41" s="160"/>
      <c r="L41" s="160"/>
      <c r="M41" s="163"/>
      <c r="N41" s="166"/>
      <c r="O41" s="169"/>
      <c r="P41" s="172"/>
    </row>
    <row r="42" spans="1:16" s="3" customFormat="1" ht="13.9" customHeight="1" thickBot="1" x14ac:dyDescent="0.25">
      <c r="A42" s="11"/>
      <c r="B42" s="176"/>
      <c r="C42" s="43">
        <f>+C40+$P$8</f>
        <v>3.05</v>
      </c>
      <c r="D42" s="43">
        <v>0.17499999999999999</v>
      </c>
      <c r="E42" s="161"/>
      <c r="F42" s="44" t="s">
        <v>73</v>
      </c>
      <c r="G42" s="161">
        <f t="shared" ref="G42" si="48">IF(E40&lt;0.12,"NA",IF(E40&gt;=0.12,0.8*E40))</f>
        <v>0.15920000000000001</v>
      </c>
      <c r="H42" s="161"/>
      <c r="I42" s="170">
        <v>0.245</v>
      </c>
      <c r="J42" s="170"/>
      <c r="K42" s="161"/>
      <c r="L42" s="161"/>
      <c r="M42" s="164"/>
      <c r="N42" s="167"/>
      <c r="O42" s="170"/>
      <c r="P42" s="173"/>
    </row>
    <row r="43" spans="1:16" s="3" customFormat="1" ht="14.1" customHeight="1" x14ac:dyDescent="0.2">
      <c r="A43" s="11"/>
      <c r="B43" s="174">
        <v>10</v>
      </c>
      <c r="C43" s="159">
        <f t="shared" ref="C43:D43" si="49">+C42</f>
        <v>3.05</v>
      </c>
      <c r="D43" s="159">
        <f t="shared" si="49"/>
        <v>0.17499999999999999</v>
      </c>
      <c r="E43" s="159">
        <v>0.16400000000000001</v>
      </c>
      <c r="F43" s="40" t="s">
        <v>71</v>
      </c>
      <c r="G43" s="159">
        <f t="shared" ref="G43" si="50">IF(E43&lt;0.12,"NA",IF(E43&gt;=0.12,0.2*E43))</f>
        <v>3.2800000000000003E-2</v>
      </c>
      <c r="H43" s="159"/>
      <c r="I43" s="277">
        <v>0.22900000000000001</v>
      </c>
      <c r="J43" s="277"/>
      <c r="K43" s="159">
        <f t="shared" ref="K43" si="51">ROUND(+IF(E43&lt;0.12,(I44),(IF(E43&gt;=0.12,((I43+2*I44+I45)/4)))),3)</f>
        <v>0.14399999999999999</v>
      </c>
      <c r="L43" s="159">
        <f t="shared" ref="L43" si="52">ROUND(+(D43+D45)/2*(C45-C43),3)</f>
        <v>3.6999999999999998E-2</v>
      </c>
      <c r="M43" s="162">
        <f t="shared" ref="M43" si="53">ROUND(+K43*L43,4)</f>
        <v>5.3E-3</v>
      </c>
      <c r="N43" s="165">
        <f>ROUND(+M43/$M$65*100,1)</f>
        <v>3.3</v>
      </c>
      <c r="O43" s="168"/>
      <c r="P43" s="171"/>
    </row>
    <row r="44" spans="1:16" s="3" customFormat="1" ht="14.1" customHeight="1" x14ac:dyDescent="0.2">
      <c r="A44" s="11"/>
      <c r="B44" s="175"/>
      <c r="C44" s="160"/>
      <c r="D44" s="160"/>
      <c r="E44" s="160"/>
      <c r="F44" s="41" t="s">
        <v>72</v>
      </c>
      <c r="G44" s="160">
        <f t="shared" ref="G44" si="54">IF(E43&lt;0.12,0.6*E43,IF(E43&gt;=0.12,0.6*E43))</f>
        <v>9.8400000000000001E-2</v>
      </c>
      <c r="H44" s="160"/>
      <c r="I44" s="254">
        <v>0.114</v>
      </c>
      <c r="J44" s="254"/>
      <c r="K44" s="160"/>
      <c r="L44" s="160"/>
      <c r="M44" s="163"/>
      <c r="N44" s="166"/>
      <c r="O44" s="169"/>
      <c r="P44" s="172"/>
    </row>
    <row r="45" spans="1:16" s="3" customFormat="1" ht="13.9" customHeight="1" thickBot="1" x14ac:dyDescent="0.25">
      <c r="A45" s="11"/>
      <c r="B45" s="176"/>
      <c r="C45" s="43">
        <f>+C43+$P$8</f>
        <v>3.3</v>
      </c>
      <c r="D45" s="43">
        <v>0.11899999999999999</v>
      </c>
      <c r="E45" s="161"/>
      <c r="F45" s="44" t="s">
        <v>73</v>
      </c>
      <c r="G45" s="161">
        <f t="shared" ref="G45" si="55">IF(E43&lt;0.12,"NA",IF(E43&gt;=0.12,0.8*E43))</f>
        <v>0.13120000000000001</v>
      </c>
      <c r="H45" s="161"/>
      <c r="I45" s="278">
        <v>0.12</v>
      </c>
      <c r="J45" s="278"/>
      <c r="K45" s="161"/>
      <c r="L45" s="161"/>
      <c r="M45" s="164"/>
      <c r="N45" s="167"/>
      <c r="O45" s="170"/>
      <c r="P45" s="173"/>
    </row>
    <row r="46" spans="1:16" s="54" customFormat="1" ht="14.1" customHeight="1" x14ac:dyDescent="0.2">
      <c r="A46" s="53"/>
      <c r="B46" s="274">
        <v>11</v>
      </c>
      <c r="C46" s="159">
        <f t="shared" ref="C46:D46" si="56">+C45</f>
        <v>3.3</v>
      </c>
      <c r="D46" s="159">
        <f t="shared" si="56"/>
        <v>0.11899999999999999</v>
      </c>
      <c r="E46" s="159">
        <v>0.109</v>
      </c>
      <c r="F46" s="40" t="s">
        <v>71</v>
      </c>
      <c r="G46" s="159" t="str">
        <f t="shared" ref="G46" si="57">IF(E46&lt;0.12,"NA",IF(E46&gt;=0.12,0.2*E46))</f>
        <v>NA</v>
      </c>
      <c r="H46" s="159"/>
      <c r="I46" s="253"/>
      <c r="J46" s="253"/>
      <c r="K46" s="159">
        <f t="shared" ref="K46" si="58">ROUND(+IF(E46&lt;0.12,(I47),(IF(E46&gt;=0.12,((I46+2*I47+I48)/4)))),3)</f>
        <v>8.2000000000000003E-2</v>
      </c>
      <c r="L46" s="159">
        <f t="shared" ref="L46" si="59">ROUND(+(D46+D48)/2*(C48-C46),3)</f>
        <v>2.7E-2</v>
      </c>
      <c r="M46" s="162">
        <f t="shared" ref="M46" si="60">ROUND(+K46*L46,4)</f>
        <v>2.2000000000000001E-3</v>
      </c>
      <c r="N46" s="165">
        <f>ROUND(+M46/$M$65*100,1)</f>
        <v>1.4</v>
      </c>
      <c r="O46" s="168"/>
      <c r="P46" s="171"/>
    </row>
    <row r="47" spans="1:16" s="54" customFormat="1" ht="14.1" customHeight="1" x14ac:dyDescent="0.2">
      <c r="A47" s="53"/>
      <c r="B47" s="275"/>
      <c r="C47" s="160"/>
      <c r="D47" s="160"/>
      <c r="E47" s="160"/>
      <c r="F47" s="41" t="s">
        <v>72</v>
      </c>
      <c r="G47" s="160">
        <f t="shared" ref="G47" si="61">IF(E46&lt;0.12,0.6*E46,IF(E46&gt;=0.12,0.6*E46))</f>
        <v>6.54E-2</v>
      </c>
      <c r="H47" s="160"/>
      <c r="I47" s="254">
        <v>8.2000000000000003E-2</v>
      </c>
      <c r="J47" s="254"/>
      <c r="K47" s="160"/>
      <c r="L47" s="160"/>
      <c r="M47" s="163"/>
      <c r="N47" s="166"/>
      <c r="O47" s="169"/>
      <c r="P47" s="172"/>
    </row>
    <row r="48" spans="1:16" s="54" customFormat="1" ht="13.9" customHeight="1" thickBot="1" x14ac:dyDescent="0.25">
      <c r="A48" s="53"/>
      <c r="B48" s="276"/>
      <c r="C48" s="43">
        <f>+C46+$P$8</f>
        <v>3.55</v>
      </c>
      <c r="D48" s="43">
        <v>9.6000000000000002E-2</v>
      </c>
      <c r="E48" s="252"/>
      <c r="F48" s="50" t="s">
        <v>73</v>
      </c>
      <c r="G48" s="161" t="str">
        <f t="shared" ref="G48" si="62">IF(E46&lt;0.12,"NA",IF(E46&gt;=0.12,0.8*E46))</f>
        <v>NA</v>
      </c>
      <c r="H48" s="161"/>
      <c r="I48" s="256"/>
      <c r="J48" s="256"/>
      <c r="K48" s="161"/>
      <c r="L48" s="161"/>
      <c r="M48" s="164"/>
      <c r="N48" s="167"/>
      <c r="O48" s="249"/>
      <c r="P48" s="250"/>
    </row>
    <row r="49" spans="1:18" s="3" customFormat="1" ht="14.1" customHeight="1" x14ac:dyDescent="0.2">
      <c r="A49" s="11"/>
      <c r="B49" s="174">
        <v>12</v>
      </c>
      <c r="C49" s="159">
        <f t="shared" ref="C49:D49" si="63">+C48</f>
        <v>3.55</v>
      </c>
      <c r="D49" s="159">
        <f t="shared" si="63"/>
        <v>9.6000000000000002E-2</v>
      </c>
      <c r="E49" s="159">
        <v>6.5000000000000002E-2</v>
      </c>
      <c r="F49" s="40" t="s">
        <v>71</v>
      </c>
      <c r="G49" s="159" t="str">
        <f t="shared" ref="G49" si="64">IF(E49&lt;0.12,"NA",IF(E49&gt;=0.12,0.2*E49))</f>
        <v>NA</v>
      </c>
      <c r="H49" s="159"/>
      <c r="I49" s="253"/>
      <c r="J49" s="253"/>
      <c r="K49" s="159">
        <f t="shared" ref="K49" si="65">ROUND(+IF(E49&lt;0.12,(I50),(IF(E49&gt;=0.12,((I49+2*I50+I51)/4)))),3)</f>
        <v>4.1000000000000002E-2</v>
      </c>
      <c r="L49" s="159">
        <f t="shared" ref="L49" si="66">ROUND(+(D49+D51)/2*(C51-C49),3)</f>
        <v>1.7999999999999999E-2</v>
      </c>
      <c r="M49" s="162">
        <f t="shared" ref="M49" si="67">ROUND(+K49*L49,4)</f>
        <v>6.9999999999999999E-4</v>
      </c>
      <c r="N49" s="165">
        <f>ROUND(+M49/$M$65*100,1)</f>
        <v>0.4</v>
      </c>
      <c r="O49" s="168"/>
      <c r="P49" s="171"/>
    </row>
    <row r="50" spans="1:18" s="3" customFormat="1" ht="14.1" customHeight="1" x14ac:dyDescent="0.2">
      <c r="A50" s="11"/>
      <c r="B50" s="175"/>
      <c r="C50" s="160"/>
      <c r="D50" s="160"/>
      <c r="E50" s="160"/>
      <c r="F50" s="41" t="s">
        <v>72</v>
      </c>
      <c r="G50" s="160">
        <f t="shared" ref="G50" si="68">IF(E49&lt;0.12,0.6*E49,IF(E49&gt;=0.12,0.6*E49))</f>
        <v>3.9E-2</v>
      </c>
      <c r="H50" s="160"/>
      <c r="I50" s="254">
        <v>4.1000000000000002E-2</v>
      </c>
      <c r="J50" s="254"/>
      <c r="K50" s="160"/>
      <c r="L50" s="160"/>
      <c r="M50" s="163"/>
      <c r="N50" s="166"/>
      <c r="O50" s="169"/>
      <c r="P50" s="172"/>
    </row>
    <row r="51" spans="1:18" s="3" customFormat="1" ht="13.9" customHeight="1" thickBot="1" x14ac:dyDescent="0.25">
      <c r="A51" s="11"/>
      <c r="B51" s="176"/>
      <c r="C51" s="43">
        <f>+C49+$P$8</f>
        <v>3.8</v>
      </c>
      <c r="D51" s="43">
        <v>4.4999999999999998E-2</v>
      </c>
      <c r="E51" s="252"/>
      <c r="F51" s="50" t="s">
        <v>73</v>
      </c>
      <c r="G51" s="161" t="str">
        <f t="shared" ref="G51" si="69">IF(E49&lt;0.12,"NA",IF(E49&gt;=0.12,0.8*E49))</f>
        <v>NA</v>
      </c>
      <c r="H51" s="161"/>
      <c r="I51" s="255"/>
      <c r="J51" s="255"/>
      <c r="K51" s="161"/>
      <c r="L51" s="161"/>
      <c r="M51" s="164"/>
      <c r="N51" s="167"/>
      <c r="O51" s="249"/>
      <c r="P51" s="250"/>
    </row>
    <row r="52" spans="1:18" s="3" customFormat="1" ht="14.1" customHeight="1" x14ac:dyDescent="0.2">
      <c r="A52" s="11"/>
      <c r="B52" s="174">
        <v>13</v>
      </c>
      <c r="C52" s="159">
        <f t="shared" ref="C52" si="70">+C51</f>
        <v>3.8</v>
      </c>
      <c r="D52" s="159">
        <f>+D51</f>
        <v>4.4999999999999998E-2</v>
      </c>
      <c r="E52" s="159">
        <v>4.2999999999999997E-2</v>
      </c>
      <c r="F52" s="40" t="s">
        <v>71</v>
      </c>
      <c r="G52" s="159" t="str">
        <f t="shared" ref="G52" si="71">IF(E52&lt;0.12,"NA",IF(E52&gt;=0.12,0.2*E52))</f>
        <v>NA</v>
      </c>
      <c r="H52" s="159"/>
      <c r="I52" s="168"/>
      <c r="J52" s="168"/>
      <c r="K52" s="159">
        <f t="shared" ref="K52" si="72">ROUND(+IF(E52&lt;0.12,(I53),(IF(E52&gt;=0.12,((I52+2*I53+I54)/4)))),3)</f>
        <v>7.0000000000000007E-2</v>
      </c>
      <c r="L52" s="159">
        <f t="shared" ref="L52" si="73">ROUND(+(D52+D54)/2*(C54-C52),3)</f>
        <v>1.0999999999999999E-2</v>
      </c>
      <c r="M52" s="162">
        <f t="shared" ref="M52" si="74">ROUND(+K52*L52,4)</f>
        <v>8.0000000000000004E-4</v>
      </c>
      <c r="N52" s="165">
        <f t="shared" ref="N52" si="75">ROUND(+M52/$M$65*100,1)</f>
        <v>0.5</v>
      </c>
      <c r="O52" s="168"/>
      <c r="P52" s="171"/>
    </row>
    <row r="53" spans="1:18" s="3" customFormat="1" ht="14.1" customHeight="1" x14ac:dyDescent="0.2">
      <c r="A53" s="11"/>
      <c r="B53" s="175"/>
      <c r="C53" s="160"/>
      <c r="D53" s="160"/>
      <c r="E53" s="160"/>
      <c r="F53" s="41" t="s">
        <v>72</v>
      </c>
      <c r="G53" s="160">
        <f t="shared" ref="G53" si="76">IF(E52&lt;0.12,0.6*E52,IF(E52&gt;=0.12,0.6*E52))</f>
        <v>2.5799999999999997E-2</v>
      </c>
      <c r="H53" s="160"/>
      <c r="I53" s="160">
        <v>7.0000000000000007E-2</v>
      </c>
      <c r="J53" s="160"/>
      <c r="K53" s="160"/>
      <c r="L53" s="160"/>
      <c r="M53" s="163"/>
      <c r="N53" s="166"/>
      <c r="O53" s="169"/>
      <c r="P53" s="172"/>
    </row>
    <row r="54" spans="1:18" s="3" customFormat="1" ht="13.9" customHeight="1" thickBot="1" x14ac:dyDescent="0.25">
      <c r="A54" s="11"/>
      <c r="B54" s="176"/>
      <c r="C54" s="43">
        <f>+C52+0.3</f>
        <v>4.0999999999999996</v>
      </c>
      <c r="D54" s="43">
        <v>2.5000000000000001E-2</v>
      </c>
      <c r="E54" s="161"/>
      <c r="F54" s="44" t="s">
        <v>73</v>
      </c>
      <c r="G54" s="161" t="str">
        <f t="shared" ref="G54" si="77">IF(E52&lt;0.12,"NA",IF(E52&gt;=0.12,0.8*E52))</f>
        <v>NA</v>
      </c>
      <c r="H54" s="161"/>
      <c r="I54" s="170"/>
      <c r="J54" s="170"/>
      <c r="K54" s="161"/>
      <c r="L54" s="161"/>
      <c r="M54" s="164"/>
      <c r="N54" s="167"/>
      <c r="O54" s="170"/>
      <c r="P54" s="173"/>
    </row>
    <row r="55" spans="1:18" s="3" customFormat="1" ht="14.1" customHeight="1" x14ac:dyDescent="0.25">
      <c r="A55" s="11"/>
      <c r="B55" s="193">
        <f>+B34</f>
        <v>7</v>
      </c>
      <c r="C55" s="192">
        <f>+C34</f>
        <v>2.2999999999999998</v>
      </c>
      <c r="D55" s="194">
        <f>+D34</f>
        <v>0.28499999999999998</v>
      </c>
      <c r="E55" s="194">
        <f>+E34</f>
        <v>0.30599999999999999</v>
      </c>
      <c r="F55" s="45" t="s">
        <v>29</v>
      </c>
      <c r="G55" s="190"/>
      <c r="H55" s="190"/>
      <c r="I55" s="191">
        <v>0.48099999999999998</v>
      </c>
      <c r="J55" s="191"/>
      <c r="K55" s="194">
        <f>AVERAGE(I55:J64)</f>
        <v>0.41869999999999996</v>
      </c>
      <c r="L55" s="193">
        <f>ROUND(+(D55+D60)/2*(C60-C55),3)</f>
        <v>7.3999999999999996E-2</v>
      </c>
      <c r="M55" s="209">
        <f>ROUND(+K55*L55,4)</f>
        <v>3.1E-2</v>
      </c>
      <c r="N55" s="193">
        <f>ROUND(+M55/$M$65*100,1)</f>
        <v>19.2</v>
      </c>
      <c r="O55" s="193"/>
      <c r="P55" s="193"/>
    </row>
    <row r="56" spans="1:18" s="3" customFormat="1" ht="14.1" customHeight="1" x14ac:dyDescent="0.25">
      <c r="A56" s="11"/>
      <c r="B56" s="193"/>
      <c r="C56" s="193"/>
      <c r="D56" s="194"/>
      <c r="E56" s="194"/>
      <c r="F56" s="45" t="s">
        <v>74</v>
      </c>
      <c r="G56" s="190">
        <f>+ROUND(0.1*$E$55,2)</f>
        <v>0.03</v>
      </c>
      <c r="H56" s="190"/>
      <c r="I56" s="191">
        <v>0.50900000000000001</v>
      </c>
      <c r="J56" s="191"/>
      <c r="K56" s="193"/>
      <c r="L56" s="193"/>
      <c r="M56" s="209"/>
      <c r="N56" s="193"/>
      <c r="O56" s="193"/>
      <c r="P56" s="193"/>
      <c r="R56" s="46"/>
    </row>
    <row r="57" spans="1:18" s="3" customFormat="1" ht="14.1" customHeight="1" x14ac:dyDescent="0.25">
      <c r="A57" s="11"/>
      <c r="B57" s="193"/>
      <c r="C57" s="193"/>
      <c r="D57" s="194"/>
      <c r="E57" s="194"/>
      <c r="F57" s="45" t="s">
        <v>71</v>
      </c>
      <c r="G57" s="190">
        <f>+ROUND(0.2*$E$55,2)</f>
        <v>0.06</v>
      </c>
      <c r="H57" s="190"/>
      <c r="I57" s="191">
        <v>0.49299999999999999</v>
      </c>
      <c r="J57" s="191"/>
      <c r="K57" s="193"/>
      <c r="L57" s="193"/>
      <c r="M57" s="209"/>
      <c r="N57" s="193"/>
      <c r="O57" s="193"/>
      <c r="P57" s="193"/>
      <c r="R57" s="46"/>
    </row>
    <row r="58" spans="1:18" s="3" customFormat="1" ht="14.1" customHeight="1" x14ac:dyDescent="0.25">
      <c r="A58" s="11"/>
      <c r="B58" s="193"/>
      <c r="C58" s="193"/>
      <c r="D58" s="194"/>
      <c r="E58" s="194"/>
      <c r="F58" s="45" t="s">
        <v>75</v>
      </c>
      <c r="G58" s="190">
        <f>+ROUND(0.3*$E$55,2)</f>
        <v>0.09</v>
      </c>
      <c r="H58" s="190"/>
      <c r="I58" s="191">
        <v>0.47899999999999998</v>
      </c>
      <c r="J58" s="191"/>
      <c r="K58" s="193"/>
      <c r="L58" s="193"/>
      <c r="M58" s="209"/>
      <c r="N58" s="193"/>
      <c r="O58" s="193"/>
      <c r="P58" s="193"/>
      <c r="R58" s="46"/>
    </row>
    <row r="59" spans="1:18" s="3" customFormat="1" ht="14.1" customHeight="1" x14ac:dyDescent="0.25">
      <c r="A59" s="11"/>
      <c r="B59" s="193"/>
      <c r="C59" s="193"/>
      <c r="D59" s="194"/>
      <c r="E59" s="194"/>
      <c r="F59" s="45" t="s">
        <v>76</v>
      </c>
      <c r="G59" s="190">
        <f>+ROUND(0.4*$E$55,2)</f>
        <v>0.12</v>
      </c>
      <c r="H59" s="190"/>
      <c r="I59" s="191">
        <v>0.42699999999999999</v>
      </c>
      <c r="J59" s="191"/>
      <c r="K59" s="193"/>
      <c r="L59" s="193"/>
      <c r="M59" s="209"/>
      <c r="N59" s="193"/>
      <c r="O59" s="193"/>
      <c r="P59" s="193"/>
      <c r="R59" s="46"/>
    </row>
    <row r="60" spans="1:18" s="3" customFormat="1" ht="14.1" customHeight="1" x14ac:dyDescent="0.25">
      <c r="A60" s="11"/>
      <c r="B60" s="193"/>
      <c r="C60" s="192">
        <f>+C36</f>
        <v>2.5499999999999998</v>
      </c>
      <c r="D60" s="194">
        <f>+D36</f>
        <v>0.30499999999999999</v>
      </c>
      <c r="E60" s="194"/>
      <c r="F60" s="45" t="s">
        <v>28</v>
      </c>
      <c r="G60" s="190">
        <f>+ROUND(0.5*$E$55,2)</f>
        <v>0.15</v>
      </c>
      <c r="H60" s="190"/>
      <c r="I60" s="191">
        <v>0.42099999999999999</v>
      </c>
      <c r="J60" s="191"/>
      <c r="K60" s="193"/>
      <c r="L60" s="193"/>
      <c r="M60" s="209"/>
      <c r="N60" s="193"/>
      <c r="O60" s="193"/>
      <c r="P60" s="193"/>
      <c r="R60" s="46"/>
    </row>
    <row r="61" spans="1:18" s="3" customFormat="1" ht="14.1" customHeight="1" x14ac:dyDescent="0.25">
      <c r="A61" s="11"/>
      <c r="B61" s="193"/>
      <c r="C61" s="193"/>
      <c r="D61" s="194"/>
      <c r="E61" s="194"/>
      <c r="F61" s="45" t="s">
        <v>72</v>
      </c>
      <c r="G61" s="190">
        <f>+ROUND(0.6*$E$55,2)</f>
        <v>0.18</v>
      </c>
      <c r="H61" s="190"/>
      <c r="I61" s="191">
        <v>0.41499999999999998</v>
      </c>
      <c r="J61" s="191"/>
      <c r="K61" s="193"/>
      <c r="L61" s="193"/>
      <c r="M61" s="209"/>
      <c r="N61" s="193"/>
      <c r="O61" s="193"/>
      <c r="P61" s="193"/>
      <c r="R61" s="46"/>
    </row>
    <row r="62" spans="1:18" s="3" customFormat="1" ht="14.1" customHeight="1" x14ac:dyDescent="0.25">
      <c r="A62" s="11"/>
      <c r="B62" s="193"/>
      <c r="C62" s="193"/>
      <c r="D62" s="194"/>
      <c r="E62" s="194"/>
      <c r="F62" s="45" t="s">
        <v>77</v>
      </c>
      <c r="G62" s="190">
        <f>+ROUND(0.7*$E$55,2)</f>
        <v>0.21</v>
      </c>
      <c r="H62" s="190"/>
      <c r="I62" s="191">
        <v>0.41299999999999998</v>
      </c>
      <c r="J62" s="191"/>
      <c r="K62" s="193"/>
      <c r="L62" s="193"/>
      <c r="M62" s="209"/>
      <c r="N62" s="193"/>
      <c r="O62" s="193"/>
      <c r="P62" s="193"/>
      <c r="R62" s="46"/>
    </row>
    <row r="63" spans="1:18" s="3" customFormat="1" ht="14.1" customHeight="1" x14ac:dyDescent="0.25">
      <c r="A63" s="11"/>
      <c r="B63" s="193"/>
      <c r="C63" s="193"/>
      <c r="D63" s="194"/>
      <c r="E63" s="194"/>
      <c r="F63" s="45" t="s">
        <v>73</v>
      </c>
      <c r="G63" s="190">
        <f>+ROUND(0.8*$E$55,2)</f>
        <v>0.24</v>
      </c>
      <c r="H63" s="190"/>
      <c r="I63" s="191">
        <v>0.316</v>
      </c>
      <c r="J63" s="191"/>
      <c r="K63" s="193"/>
      <c r="L63" s="193"/>
      <c r="M63" s="209"/>
      <c r="N63" s="193"/>
      <c r="O63" s="193"/>
      <c r="P63" s="193"/>
      <c r="R63" s="46"/>
    </row>
    <row r="64" spans="1:18" s="3" customFormat="1" x14ac:dyDescent="0.25">
      <c r="A64" s="11"/>
      <c r="B64" s="193"/>
      <c r="C64" s="193"/>
      <c r="D64" s="194"/>
      <c r="E64" s="194"/>
      <c r="F64" s="45" t="s">
        <v>78</v>
      </c>
      <c r="G64" s="190">
        <f>+ROUND(0.9*$E$55,2)</f>
        <v>0.28000000000000003</v>
      </c>
      <c r="H64" s="190"/>
      <c r="I64" s="191">
        <v>0.23300000000000001</v>
      </c>
      <c r="J64" s="191"/>
      <c r="K64" s="193"/>
      <c r="L64" s="193"/>
      <c r="M64" s="209"/>
      <c r="N64" s="193"/>
      <c r="O64" s="193"/>
      <c r="P64" s="193"/>
      <c r="R64" s="46"/>
    </row>
    <row r="65" spans="1:16" s="3" customFormat="1" ht="12.75" x14ac:dyDescent="0.2">
      <c r="A65" s="11"/>
      <c r="B65" s="195" t="s">
        <v>30</v>
      </c>
      <c r="C65" s="196"/>
      <c r="D65" s="196"/>
      <c r="E65" s="196"/>
      <c r="F65" s="196"/>
      <c r="G65" s="196"/>
      <c r="H65" s="196"/>
      <c r="I65" s="196"/>
      <c r="J65" s="196"/>
      <c r="K65" s="47">
        <f>ROUND(+M65/L65,3)</f>
        <v>0.29099999999999998</v>
      </c>
      <c r="L65" s="15">
        <f>SUM(L16:L64)</f>
        <v>0.55500000000000005</v>
      </c>
      <c r="M65" s="14">
        <f>SUM(M16:M64)</f>
        <v>0.16160000000000002</v>
      </c>
      <c r="N65" s="12">
        <f>ROUND(SUM(N16:N64),0)</f>
        <v>100</v>
      </c>
      <c r="O65" s="199" t="s">
        <v>31</v>
      </c>
      <c r="P65" s="201"/>
    </row>
    <row r="66" spans="1:16" s="3" customFormat="1" ht="15" customHeight="1" thickBot="1" x14ac:dyDescent="0.25">
      <c r="A66" s="11"/>
      <c r="B66" s="197"/>
      <c r="C66" s="198"/>
      <c r="D66" s="198"/>
      <c r="E66" s="198"/>
      <c r="F66" s="198"/>
      <c r="G66" s="198"/>
      <c r="H66" s="198"/>
      <c r="I66" s="198"/>
      <c r="J66" s="198"/>
      <c r="K66" s="13" t="s">
        <v>32</v>
      </c>
      <c r="L66" s="13" t="s">
        <v>48</v>
      </c>
      <c r="M66" s="13" t="s">
        <v>49</v>
      </c>
      <c r="N66" s="13" t="s">
        <v>33</v>
      </c>
      <c r="O66" s="200"/>
      <c r="P66" s="202"/>
    </row>
    <row r="67" spans="1:16" ht="69.599999999999994" customHeight="1" thickBot="1" x14ac:dyDescent="0.3">
      <c r="A67" s="48"/>
      <c r="B67" s="203" t="s">
        <v>27</v>
      </c>
      <c r="C67" s="204"/>
      <c r="D67" s="204"/>
      <c r="E67" s="204"/>
      <c r="F67" s="204"/>
      <c r="G67" s="204"/>
      <c r="H67" s="204"/>
      <c r="I67" s="204"/>
      <c r="J67" s="204"/>
      <c r="K67" s="204"/>
      <c r="L67" s="204"/>
      <c r="M67" s="204"/>
      <c r="N67" s="204"/>
      <c r="O67" s="204"/>
      <c r="P67" s="205"/>
    </row>
    <row r="68" spans="1:16" ht="15" customHeight="1" thickBot="1" x14ac:dyDescent="0.3">
      <c r="A68" s="5"/>
      <c r="B68" s="206" t="s">
        <v>79</v>
      </c>
      <c r="C68" s="207"/>
      <c r="D68" s="207"/>
      <c r="E68" s="207"/>
      <c r="F68" s="207"/>
      <c r="G68" s="207" t="s">
        <v>80</v>
      </c>
      <c r="H68" s="207"/>
      <c r="I68" s="207"/>
      <c r="J68" s="207"/>
      <c r="K68" s="207"/>
      <c r="L68" s="207"/>
      <c r="M68" s="207" t="s">
        <v>81</v>
      </c>
      <c r="N68" s="207"/>
      <c r="O68" s="207"/>
      <c r="P68" s="208"/>
    </row>
    <row r="69" spans="1:16" ht="15" customHeight="1" thickBot="1" x14ac:dyDescent="0.3">
      <c r="A69" s="5"/>
      <c r="B69" s="210"/>
      <c r="C69" s="211"/>
      <c r="D69" s="211"/>
      <c r="E69" s="211"/>
      <c r="F69" s="211"/>
      <c r="G69" s="211"/>
      <c r="H69" s="211"/>
      <c r="I69" s="212"/>
      <c r="J69" s="216" t="s">
        <v>51</v>
      </c>
      <c r="K69" s="217"/>
      <c r="L69" s="217"/>
      <c r="M69" s="217"/>
      <c r="N69" s="217"/>
      <c r="O69" s="217"/>
      <c r="P69" s="218"/>
    </row>
    <row r="70" spans="1:16" ht="18.600000000000001" customHeight="1" thickBot="1" x14ac:dyDescent="0.3">
      <c r="A70" s="6"/>
      <c r="B70" s="210"/>
      <c r="C70" s="211"/>
      <c r="D70" s="211"/>
      <c r="E70" s="211"/>
      <c r="F70" s="211"/>
      <c r="G70" s="211"/>
      <c r="H70" s="211"/>
      <c r="I70" s="212"/>
      <c r="J70" s="49" t="s">
        <v>82</v>
      </c>
      <c r="K70" s="219" t="s">
        <v>94</v>
      </c>
      <c r="L70" s="219"/>
      <c r="M70" s="219"/>
      <c r="N70" s="219"/>
      <c r="O70" s="219"/>
      <c r="P70" s="220"/>
    </row>
    <row r="71" spans="1:16" ht="97.15" customHeight="1" thickBot="1" x14ac:dyDescent="0.3">
      <c r="A71" s="10"/>
      <c r="B71" s="210"/>
      <c r="C71" s="211"/>
      <c r="D71" s="211"/>
      <c r="E71" s="211"/>
      <c r="F71" s="211"/>
      <c r="G71" s="211"/>
      <c r="H71" s="211"/>
      <c r="I71" s="212"/>
      <c r="J71" s="221" t="s">
        <v>95</v>
      </c>
      <c r="K71" s="222"/>
      <c r="L71" s="222"/>
      <c r="M71" s="222"/>
      <c r="N71" s="222"/>
      <c r="O71" s="222"/>
      <c r="P71" s="223"/>
    </row>
    <row r="72" spans="1:16" ht="15" customHeight="1" thickBot="1" x14ac:dyDescent="0.3">
      <c r="A72" s="5"/>
      <c r="B72" s="210"/>
      <c r="C72" s="211"/>
      <c r="D72" s="211"/>
      <c r="E72" s="211"/>
      <c r="F72" s="211"/>
      <c r="G72" s="211"/>
      <c r="H72" s="211"/>
      <c r="I72" s="212"/>
      <c r="J72" s="224" t="s">
        <v>34</v>
      </c>
      <c r="K72" s="225"/>
      <c r="L72" s="225"/>
      <c r="M72" s="225"/>
      <c r="N72" s="226"/>
      <c r="O72" s="227">
        <v>5.55</v>
      </c>
      <c r="P72" s="228"/>
    </row>
    <row r="73" spans="1:16" ht="15.75" thickBot="1" x14ac:dyDescent="0.3">
      <c r="A73" s="5"/>
      <c r="B73" s="210"/>
      <c r="C73" s="211"/>
      <c r="D73" s="211"/>
      <c r="E73" s="211"/>
      <c r="F73" s="211"/>
      <c r="G73" s="211"/>
      <c r="H73" s="211"/>
      <c r="I73" s="212"/>
      <c r="J73" s="229" t="s">
        <v>50</v>
      </c>
      <c r="K73" s="230"/>
      <c r="L73" s="230"/>
      <c r="M73" s="230"/>
      <c r="N73" s="231"/>
      <c r="O73" s="227">
        <v>0.40579999999999999</v>
      </c>
      <c r="P73" s="228"/>
    </row>
    <row r="74" spans="1:16" ht="14.45" customHeight="1" thickBot="1" x14ac:dyDescent="0.3">
      <c r="A74" s="5"/>
      <c r="B74" s="213"/>
      <c r="C74" s="214"/>
      <c r="D74" s="214"/>
      <c r="E74" s="214"/>
      <c r="F74" s="214"/>
      <c r="G74" s="214"/>
      <c r="H74" s="214"/>
      <c r="I74" s="215"/>
      <c r="J74" s="232" t="s">
        <v>86</v>
      </c>
      <c r="K74" s="233"/>
      <c r="L74" s="233"/>
      <c r="M74" s="233"/>
      <c r="N74" s="233"/>
      <c r="O74" s="233"/>
      <c r="P74" s="234"/>
    </row>
    <row r="75" spans="1:16" ht="14.45" customHeight="1" thickBot="1" x14ac:dyDescent="0.3">
      <c r="A75" s="7"/>
      <c r="B75" s="240"/>
      <c r="C75" s="240"/>
      <c r="D75" s="240"/>
      <c r="E75" s="240"/>
      <c r="F75" s="240"/>
      <c r="G75" s="240"/>
      <c r="H75" s="240"/>
      <c r="I75" s="240"/>
      <c r="J75" s="240"/>
      <c r="K75" s="240"/>
      <c r="L75" s="240"/>
      <c r="M75" s="240"/>
      <c r="N75" s="240"/>
      <c r="O75" s="240"/>
      <c r="P75" s="241"/>
    </row>
    <row r="76" spans="1:16" ht="15.75" thickBot="1" x14ac:dyDescent="0.3">
      <c r="A76" s="242" t="s">
        <v>35</v>
      </c>
      <c r="B76" s="243"/>
      <c r="C76" s="243"/>
      <c r="D76" s="243"/>
      <c r="E76" s="243"/>
      <c r="F76" s="243"/>
      <c r="G76" s="243"/>
      <c r="H76" s="243"/>
      <c r="I76" s="243"/>
      <c r="J76" s="243"/>
      <c r="K76" s="243"/>
      <c r="L76" s="243"/>
      <c r="M76" s="243"/>
      <c r="N76" s="243"/>
      <c r="O76" s="243"/>
      <c r="P76" s="244"/>
    </row>
    <row r="77" spans="1:16" ht="141.6" customHeight="1" thickBot="1" x14ac:dyDescent="0.3">
      <c r="A77" s="4"/>
      <c r="B77" s="245"/>
      <c r="C77" s="246"/>
      <c r="D77" s="246"/>
      <c r="E77" s="246"/>
      <c r="F77" s="247"/>
      <c r="G77" s="245"/>
      <c r="H77" s="246"/>
      <c r="I77" s="246"/>
      <c r="J77" s="246"/>
      <c r="K77" s="246"/>
      <c r="L77" s="247"/>
      <c r="M77" s="245"/>
      <c r="N77" s="246"/>
      <c r="O77" s="246"/>
      <c r="P77" s="247"/>
    </row>
    <row r="78" spans="1:16" s="9" customFormat="1" ht="13.9" customHeight="1" thickBot="1" x14ac:dyDescent="0.3">
      <c r="A78" s="8" t="s">
        <v>87</v>
      </c>
      <c r="B78" s="248" t="s">
        <v>88</v>
      </c>
      <c r="C78" s="235"/>
      <c r="D78" s="235"/>
      <c r="E78" s="235"/>
      <c r="F78" s="236"/>
      <c r="G78" s="248" t="s">
        <v>89</v>
      </c>
      <c r="H78" s="235"/>
      <c r="I78" s="235"/>
      <c r="J78" s="235"/>
      <c r="K78" s="235"/>
      <c r="L78" s="236"/>
      <c r="M78" s="248" t="s">
        <v>96</v>
      </c>
      <c r="N78" s="235"/>
      <c r="O78" s="235"/>
      <c r="P78" s="236"/>
    </row>
    <row r="79" spans="1:16" s="9" customFormat="1" ht="52.15" customHeight="1" thickBot="1" x14ac:dyDescent="0.3">
      <c r="A79" s="8"/>
      <c r="B79" s="235"/>
      <c r="C79" s="235"/>
      <c r="D79" s="235"/>
      <c r="E79" s="235"/>
      <c r="F79" s="235"/>
      <c r="G79" s="235"/>
      <c r="H79" s="235"/>
      <c r="I79" s="235"/>
      <c r="J79" s="235"/>
      <c r="K79" s="235"/>
      <c r="L79" s="235"/>
      <c r="M79" s="235"/>
      <c r="N79" s="235"/>
      <c r="O79" s="235"/>
      <c r="P79" s="236"/>
    </row>
    <row r="80" spans="1:16" s="3" customFormat="1" ht="15.75" customHeight="1" thickBot="1" x14ac:dyDescent="0.25">
      <c r="A80" s="237" t="s">
        <v>36</v>
      </c>
      <c r="B80" s="238"/>
      <c r="C80" s="238"/>
      <c r="D80" s="238" t="s">
        <v>93</v>
      </c>
      <c r="E80" s="238"/>
      <c r="F80" s="238"/>
      <c r="G80" s="238"/>
      <c r="H80" s="238"/>
      <c r="I80" s="238"/>
      <c r="J80" s="238" t="s">
        <v>37</v>
      </c>
      <c r="K80" s="238"/>
      <c r="L80" s="238"/>
      <c r="M80" s="238"/>
      <c r="N80" s="238"/>
      <c r="O80" s="238"/>
      <c r="P80" s="239"/>
    </row>
  </sheetData>
  <mergeCells count="316">
    <mergeCell ref="B79:P79"/>
    <mergeCell ref="A80:C80"/>
    <mergeCell ref="D80:I80"/>
    <mergeCell ref="J80:K80"/>
    <mergeCell ref="L80:P80"/>
    <mergeCell ref="B75:P75"/>
    <mergeCell ref="A76:P76"/>
    <mergeCell ref="B77:F77"/>
    <mergeCell ref="G77:L77"/>
    <mergeCell ref="M77:P77"/>
    <mergeCell ref="B78:F78"/>
    <mergeCell ref="G78:L78"/>
    <mergeCell ref="M78:P78"/>
    <mergeCell ref="B69:I74"/>
    <mergeCell ref="J69:P69"/>
    <mergeCell ref="K70:P70"/>
    <mergeCell ref="J71:P71"/>
    <mergeCell ref="J72:N72"/>
    <mergeCell ref="O72:P72"/>
    <mergeCell ref="J73:N73"/>
    <mergeCell ref="O73:P73"/>
    <mergeCell ref="J74:P74"/>
    <mergeCell ref="B65:J66"/>
    <mergeCell ref="O65:O66"/>
    <mergeCell ref="P65:P66"/>
    <mergeCell ref="B67:P67"/>
    <mergeCell ref="B68:F68"/>
    <mergeCell ref="G68:L68"/>
    <mergeCell ref="M68:P68"/>
    <mergeCell ref="G62:H62"/>
    <mergeCell ref="I62:J62"/>
    <mergeCell ref="G63:H63"/>
    <mergeCell ref="I63:J63"/>
    <mergeCell ref="G64:H64"/>
    <mergeCell ref="I64:J64"/>
    <mergeCell ref="K55:K64"/>
    <mergeCell ref="L55:L64"/>
    <mergeCell ref="M55:M64"/>
    <mergeCell ref="N55:N64"/>
    <mergeCell ref="O55:O64"/>
    <mergeCell ref="P55:P64"/>
    <mergeCell ref="B55:B64"/>
    <mergeCell ref="G58:H58"/>
    <mergeCell ref="I58:J58"/>
    <mergeCell ref="G59:H59"/>
    <mergeCell ref="I59:J59"/>
    <mergeCell ref="C60:C64"/>
    <mergeCell ref="D60:D64"/>
    <mergeCell ref="G60:H60"/>
    <mergeCell ref="I60:J60"/>
    <mergeCell ref="G61:H61"/>
    <mergeCell ref="I61:J61"/>
    <mergeCell ref="C55:C59"/>
    <mergeCell ref="D55:D59"/>
    <mergeCell ref="E55:E64"/>
    <mergeCell ref="G55:H55"/>
    <mergeCell ref="I55:J55"/>
    <mergeCell ref="G56:H56"/>
    <mergeCell ref="I56:J56"/>
    <mergeCell ref="G57:H57"/>
    <mergeCell ref="I57:J57"/>
    <mergeCell ref="K52:K54"/>
    <mergeCell ref="L52:L54"/>
    <mergeCell ref="M52:M54"/>
    <mergeCell ref="N52:N54"/>
    <mergeCell ref="O52:O54"/>
    <mergeCell ref="P52:P54"/>
    <mergeCell ref="B52:B54"/>
    <mergeCell ref="C52:C53"/>
    <mergeCell ref="D52:D53"/>
    <mergeCell ref="E52:E54"/>
    <mergeCell ref="G52:H52"/>
    <mergeCell ref="I52:J52"/>
    <mergeCell ref="G53:H53"/>
    <mergeCell ref="I53:J53"/>
    <mergeCell ref="G54:H54"/>
    <mergeCell ref="I54:J54"/>
    <mergeCell ref="K49:K51"/>
    <mergeCell ref="L49:L51"/>
    <mergeCell ref="M49:M51"/>
    <mergeCell ref="N49:N51"/>
    <mergeCell ref="O49:O51"/>
    <mergeCell ref="P49:P51"/>
    <mergeCell ref="B49:B51"/>
    <mergeCell ref="C49:C50"/>
    <mergeCell ref="D49:D50"/>
    <mergeCell ref="E49:E51"/>
    <mergeCell ref="G49:H49"/>
    <mergeCell ref="I49:J49"/>
    <mergeCell ref="G50:H50"/>
    <mergeCell ref="I50:J50"/>
    <mergeCell ref="G51:H51"/>
    <mergeCell ref="I51:J51"/>
    <mergeCell ref="K46:K48"/>
    <mergeCell ref="L46:L48"/>
    <mergeCell ref="M46:M48"/>
    <mergeCell ref="N46:N48"/>
    <mergeCell ref="O46:O48"/>
    <mergeCell ref="P46:P48"/>
    <mergeCell ref="B46:B48"/>
    <mergeCell ref="C46:C47"/>
    <mergeCell ref="D46:D47"/>
    <mergeCell ref="E46:E48"/>
    <mergeCell ref="G46:H46"/>
    <mergeCell ref="I46:J46"/>
    <mergeCell ref="G47:H47"/>
    <mergeCell ref="I47:J47"/>
    <mergeCell ref="G48:H48"/>
    <mergeCell ref="I48:J48"/>
    <mergeCell ref="K43:K45"/>
    <mergeCell ref="L43:L45"/>
    <mergeCell ref="M43:M45"/>
    <mergeCell ref="N43:N45"/>
    <mergeCell ref="O43:O45"/>
    <mergeCell ref="P43:P45"/>
    <mergeCell ref="B43:B45"/>
    <mergeCell ref="C43:C44"/>
    <mergeCell ref="D43:D44"/>
    <mergeCell ref="E43:E45"/>
    <mergeCell ref="G43:H43"/>
    <mergeCell ref="I43:J43"/>
    <mergeCell ref="G44:H44"/>
    <mergeCell ref="I44:J44"/>
    <mergeCell ref="G45:H45"/>
    <mergeCell ref="I45:J45"/>
    <mergeCell ref="K40:K42"/>
    <mergeCell ref="L40:L42"/>
    <mergeCell ref="M40:M42"/>
    <mergeCell ref="N40:N42"/>
    <mergeCell ref="O40:O42"/>
    <mergeCell ref="P40:P42"/>
    <mergeCell ref="B40:B42"/>
    <mergeCell ref="C40:C41"/>
    <mergeCell ref="D40:D41"/>
    <mergeCell ref="E40:E42"/>
    <mergeCell ref="G40:H40"/>
    <mergeCell ref="I40:J40"/>
    <mergeCell ref="G41:H41"/>
    <mergeCell ref="I41:J41"/>
    <mergeCell ref="G42:H42"/>
    <mergeCell ref="I42:J42"/>
    <mergeCell ref="K37:K39"/>
    <mergeCell ref="L37:L39"/>
    <mergeCell ref="M37:M39"/>
    <mergeCell ref="N37:N39"/>
    <mergeCell ref="O37:O39"/>
    <mergeCell ref="P37:P39"/>
    <mergeCell ref="B37:B39"/>
    <mergeCell ref="C37:C38"/>
    <mergeCell ref="D37:D38"/>
    <mergeCell ref="E37:E39"/>
    <mergeCell ref="G37:H37"/>
    <mergeCell ref="I37:J37"/>
    <mergeCell ref="G38:H38"/>
    <mergeCell ref="I38:J38"/>
    <mergeCell ref="G39:H39"/>
    <mergeCell ref="I39:J39"/>
    <mergeCell ref="K34:K36"/>
    <mergeCell ref="L34:L36"/>
    <mergeCell ref="M34:M36"/>
    <mergeCell ref="N34:N36"/>
    <mergeCell ref="O34:O36"/>
    <mergeCell ref="P34:P36"/>
    <mergeCell ref="B34:B36"/>
    <mergeCell ref="C34:C35"/>
    <mergeCell ref="D34:D35"/>
    <mergeCell ref="E34:E36"/>
    <mergeCell ref="G34:H34"/>
    <mergeCell ref="I34:J34"/>
    <mergeCell ref="G35:H35"/>
    <mergeCell ref="I35:J35"/>
    <mergeCell ref="G36:H36"/>
    <mergeCell ref="I36:J36"/>
    <mergeCell ref="K31:K33"/>
    <mergeCell ref="L31:L33"/>
    <mergeCell ref="M31:M33"/>
    <mergeCell ref="N31:N33"/>
    <mergeCell ref="O31:O33"/>
    <mergeCell ref="P31:P33"/>
    <mergeCell ref="B31:B33"/>
    <mergeCell ref="C31:C32"/>
    <mergeCell ref="D31:D32"/>
    <mergeCell ref="E31:E33"/>
    <mergeCell ref="G31:H31"/>
    <mergeCell ref="I31:J31"/>
    <mergeCell ref="G32:H32"/>
    <mergeCell ref="I32:J32"/>
    <mergeCell ref="G33:H33"/>
    <mergeCell ref="I33:J33"/>
    <mergeCell ref="K28:K30"/>
    <mergeCell ref="L28:L30"/>
    <mergeCell ref="M28:M30"/>
    <mergeCell ref="N28:N30"/>
    <mergeCell ref="O28:O30"/>
    <mergeCell ref="P28:P30"/>
    <mergeCell ref="B28:B30"/>
    <mergeCell ref="C28:C29"/>
    <mergeCell ref="D28:D29"/>
    <mergeCell ref="E28:E30"/>
    <mergeCell ref="G28:H28"/>
    <mergeCell ref="I28:J28"/>
    <mergeCell ref="G29:H29"/>
    <mergeCell ref="I29:J29"/>
    <mergeCell ref="G30:H30"/>
    <mergeCell ref="I30:J30"/>
    <mergeCell ref="K25:K27"/>
    <mergeCell ref="L25:L27"/>
    <mergeCell ref="M25:M27"/>
    <mergeCell ref="N25:N27"/>
    <mergeCell ref="O25:O27"/>
    <mergeCell ref="P25:P27"/>
    <mergeCell ref="B25:B27"/>
    <mergeCell ref="C25:C26"/>
    <mergeCell ref="D25:D26"/>
    <mergeCell ref="E25:E27"/>
    <mergeCell ref="G25:H25"/>
    <mergeCell ref="I25:J25"/>
    <mergeCell ref="G26:H26"/>
    <mergeCell ref="I26:J26"/>
    <mergeCell ref="G27:H27"/>
    <mergeCell ref="I27:J27"/>
    <mergeCell ref="K22:K24"/>
    <mergeCell ref="L22:L24"/>
    <mergeCell ref="M22:M24"/>
    <mergeCell ref="N22:N24"/>
    <mergeCell ref="O22:O24"/>
    <mergeCell ref="P22:P24"/>
    <mergeCell ref="B22:B24"/>
    <mergeCell ref="C22:C23"/>
    <mergeCell ref="D22:D23"/>
    <mergeCell ref="E22:E24"/>
    <mergeCell ref="G22:H22"/>
    <mergeCell ref="I22:J22"/>
    <mergeCell ref="G23:H23"/>
    <mergeCell ref="I23:J23"/>
    <mergeCell ref="G24:H24"/>
    <mergeCell ref="I24:J24"/>
    <mergeCell ref="K19:K21"/>
    <mergeCell ref="L19:L21"/>
    <mergeCell ref="M19:M21"/>
    <mergeCell ref="N19:N21"/>
    <mergeCell ref="O19:O21"/>
    <mergeCell ref="P19:P21"/>
    <mergeCell ref="B19:B21"/>
    <mergeCell ref="C19:C20"/>
    <mergeCell ref="D19:D20"/>
    <mergeCell ref="E19:E21"/>
    <mergeCell ref="G19:H19"/>
    <mergeCell ref="I19:J19"/>
    <mergeCell ref="G20:H20"/>
    <mergeCell ref="I20:J20"/>
    <mergeCell ref="G21:H21"/>
    <mergeCell ref="I21:J21"/>
    <mergeCell ref="M16:M18"/>
    <mergeCell ref="N16:N18"/>
    <mergeCell ref="O16:O18"/>
    <mergeCell ref="P16:P18"/>
    <mergeCell ref="B16:B18"/>
    <mergeCell ref="C16:C17"/>
    <mergeCell ref="D16:D17"/>
    <mergeCell ref="E16:E18"/>
    <mergeCell ref="G16:H16"/>
    <mergeCell ref="I16:J16"/>
    <mergeCell ref="G17:H17"/>
    <mergeCell ref="I17:J17"/>
    <mergeCell ref="G18:H18"/>
    <mergeCell ref="I18:J18"/>
    <mergeCell ref="B14:B15"/>
    <mergeCell ref="C14:C15"/>
    <mergeCell ref="D14:D15"/>
    <mergeCell ref="E14:E15"/>
    <mergeCell ref="F14:H15"/>
    <mergeCell ref="I14:J14"/>
    <mergeCell ref="I15:J15"/>
    <mergeCell ref="K16:K18"/>
    <mergeCell ref="L16:L18"/>
    <mergeCell ref="B11:B13"/>
    <mergeCell ref="C11:E11"/>
    <mergeCell ref="G11:K11"/>
    <mergeCell ref="L11:L13"/>
    <mergeCell ref="M11:P11"/>
    <mergeCell ref="C12:E12"/>
    <mergeCell ref="G12:K13"/>
    <mergeCell ref="M12:P12"/>
    <mergeCell ref="C13:F13"/>
    <mergeCell ref="M13:P13"/>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O2:P3"/>
    <mergeCell ref="B4:P4"/>
    <mergeCell ref="C5:D5"/>
    <mergeCell ref="E5:F5"/>
    <mergeCell ref="H5:I5"/>
    <mergeCell ref="J5:P5"/>
    <mergeCell ref="B2:D3"/>
    <mergeCell ref="E2:N3"/>
    <mergeCell ref="B6:C6"/>
    <mergeCell ref="D6:J6"/>
    <mergeCell ref="K6:L6"/>
    <mergeCell ref="M6:N6"/>
    <mergeCell ref="O6:P6"/>
  </mergeCells>
  <printOptions horizontalCentered="1"/>
  <pageMargins left="0.35433070866141736" right="0.23622047244094491" top="0.74803149606299213" bottom="0.74803149606299213" header="0.19685039370078741" footer="0.31496062992125984"/>
  <pageSetup scale="76"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86"/>
  <sheetViews>
    <sheetView view="pageBreakPreview" topLeftCell="B1" zoomScaleSheetLayoutView="100" zoomScalePageLayoutView="110" workbookViewId="0">
      <selection activeCell="J5" sqref="J5:P5"/>
    </sheetView>
  </sheetViews>
  <sheetFormatPr baseColWidth="10" defaultColWidth="11.42578125" defaultRowHeight="15" x14ac:dyDescent="0.25"/>
  <cols>
    <col min="1" max="1" width="0.140625" customWidth="1"/>
    <col min="2" max="2" width="6.7109375" customWidth="1"/>
    <col min="3" max="3" width="7.42578125" customWidth="1"/>
    <col min="4" max="4" width="11" bestFit="1" customWidth="1"/>
    <col min="5" max="5" width="6.8554687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1.7109375" customWidth="1"/>
  </cols>
  <sheetData>
    <row r="1" spans="1:16" ht="4.9000000000000004" customHeight="1" thickBot="1" x14ac:dyDescent="0.3"/>
    <row r="2" spans="1:16" s="2" customFormat="1" ht="30" customHeight="1" x14ac:dyDescent="0.25">
      <c r="A2" s="16"/>
      <c r="B2" s="77"/>
      <c r="C2" s="78"/>
      <c r="D2" s="79"/>
      <c r="E2" s="83" t="s">
        <v>54</v>
      </c>
      <c r="F2" s="84"/>
      <c r="G2" s="84"/>
      <c r="H2" s="84"/>
      <c r="I2" s="84"/>
      <c r="J2" s="84"/>
      <c r="K2" s="84"/>
      <c r="L2" s="84"/>
      <c r="M2" s="84"/>
      <c r="N2" s="84"/>
      <c r="O2" s="67"/>
      <c r="P2" s="68"/>
    </row>
    <row r="3" spans="1:16" s="2" customFormat="1" ht="20.45" customHeight="1" thickBot="1" x14ac:dyDescent="0.3">
      <c r="A3" s="16"/>
      <c r="B3" s="80"/>
      <c r="C3" s="81"/>
      <c r="D3" s="82"/>
      <c r="E3" s="85"/>
      <c r="F3" s="86"/>
      <c r="G3" s="86"/>
      <c r="H3" s="86"/>
      <c r="I3" s="86"/>
      <c r="J3" s="86"/>
      <c r="K3" s="86"/>
      <c r="L3" s="86"/>
      <c r="M3" s="86"/>
      <c r="N3" s="86"/>
      <c r="O3" s="69"/>
      <c r="P3" s="70"/>
    </row>
    <row r="4" spans="1:16" s="2" customFormat="1" ht="4.9000000000000004" customHeight="1" thickBot="1" x14ac:dyDescent="0.3">
      <c r="A4" s="16"/>
      <c r="B4" s="71"/>
      <c r="C4" s="71"/>
      <c r="D4" s="71"/>
      <c r="E4" s="71"/>
      <c r="F4" s="71"/>
      <c r="G4" s="71"/>
      <c r="H4" s="71"/>
      <c r="I4" s="71"/>
      <c r="J4" s="71"/>
      <c r="K4" s="71"/>
      <c r="L4" s="71"/>
      <c r="M4" s="71"/>
      <c r="N4" s="71"/>
      <c r="O4" s="71"/>
      <c r="P4" s="71"/>
    </row>
    <row r="5" spans="1:16" s="18" customFormat="1" ht="24.75" customHeight="1" thickBot="1" x14ac:dyDescent="0.25">
      <c r="A5" s="17"/>
      <c r="B5" s="56" t="s">
        <v>0</v>
      </c>
      <c r="C5" s="72">
        <v>42944</v>
      </c>
      <c r="D5" s="73"/>
      <c r="E5" s="87" t="s">
        <v>55</v>
      </c>
      <c r="F5" s="75"/>
      <c r="G5" s="293">
        <v>5</v>
      </c>
      <c r="H5" s="74" t="s">
        <v>2</v>
      </c>
      <c r="I5" s="75"/>
      <c r="J5" s="290" t="s">
        <v>100</v>
      </c>
      <c r="K5" s="291"/>
      <c r="L5" s="291"/>
      <c r="M5" s="291"/>
      <c r="N5" s="291"/>
      <c r="O5" s="291"/>
      <c r="P5" s="292"/>
    </row>
    <row r="6" spans="1:16" s="20" customFormat="1" ht="11.25" customHeight="1" thickBot="1" x14ac:dyDescent="0.3">
      <c r="A6" s="19"/>
      <c r="B6" s="87" t="s">
        <v>3</v>
      </c>
      <c r="C6" s="75"/>
      <c r="D6" s="88" t="s">
        <v>56</v>
      </c>
      <c r="E6" s="88"/>
      <c r="F6" s="88"/>
      <c r="G6" s="88"/>
      <c r="H6" s="88"/>
      <c r="I6" s="88"/>
      <c r="J6" s="89"/>
      <c r="K6" s="90" t="s">
        <v>4</v>
      </c>
      <c r="L6" s="74"/>
      <c r="M6" s="73" t="s">
        <v>57</v>
      </c>
      <c r="N6" s="91"/>
      <c r="O6" s="73" t="s">
        <v>58</v>
      </c>
      <c r="P6" s="76"/>
    </row>
    <row r="7" spans="1:16" s="20" customFormat="1" ht="14.1" customHeight="1" x14ac:dyDescent="0.25">
      <c r="A7" s="19"/>
      <c r="B7" s="92" t="s">
        <v>59</v>
      </c>
      <c r="C7" s="93"/>
      <c r="D7" s="93"/>
      <c r="E7" s="94"/>
      <c r="F7" s="95" t="s">
        <v>11</v>
      </c>
      <c r="G7" s="96"/>
      <c r="H7" s="97"/>
      <c r="I7" s="21">
        <v>0.37777777777777777</v>
      </c>
      <c r="J7" s="98" t="s">
        <v>60</v>
      </c>
      <c r="K7" s="99"/>
      <c r="L7" s="22">
        <v>1.18</v>
      </c>
      <c r="M7" s="92" t="s">
        <v>13</v>
      </c>
      <c r="N7" s="93"/>
      <c r="O7" s="93"/>
      <c r="P7" s="23">
        <v>3.2</v>
      </c>
    </row>
    <row r="8" spans="1:16" s="20" customFormat="1" ht="14.1" customHeight="1" thickBot="1" x14ac:dyDescent="0.3">
      <c r="A8" s="19"/>
      <c r="B8" s="100" t="s">
        <v>6</v>
      </c>
      <c r="C8" s="101"/>
      <c r="D8" s="101"/>
      <c r="E8" s="102"/>
      <c r="F8" s="24" t="s">
        <v>14</v>
      </c>
      <c r="G8" s="25"/>
      <c r="H8" s="26"/>
      <c r="I8" s="27">
        <v>0.45208333333333334</v>
      </c>
      <c r="J8" s="103" t="s">
        <v>61</v>
      </c>
      <c r="K8" s="104"/>
      <c r="L8" s="22">
        <v>1.18</v>
      </c>
      <c r="M8" s="105" t="s">
        <v>16</v>
      </c>
      <c r="N8" s="106"/>
      <c r="O8" s="106"/>
      <c r="P8" s="28">
        <v>0.2</v>
      </c>
    </row>
    <row r="9" spans="1:16" s="20" customFormat="1" ht="14.1" customHeight="1" x14ac:dyDescent="0.25">
      <c r="A9" s="29"/>
      <c r="B9" s="107" t="s">
        <v>7</v>
      </c>
      <c r="C9" s="108"/>
      <c r="D9" s="111" t="s">
        <v>8</v>
      </c>
      <c r="E9" s="93" t="s">
        <v>9</v>
      </c>
      <c r="F9" s="93"/>
      <c r="G9" s="93"/>
      <c r="H9" s="30"/>
      <c r="I9" s="113" t="s">
        <v>62</v>
      </c>
      <c r="J9" s="114"/>
      <c r="K9" s="117">
        <v>0.6</v>
      </c>
      <c r="L9" s="119" t="s">
        <v>12</v>
      </c>
      <c r="M9" s="120"/>
      <c r="N9" s="120"/>
      <c r="O9" s="121">
        <v>8</v>
      </c>
      <c r="P9" s="122"/>
    </row>
    <row r="10" spans="1:16" s="20" customFormat="1" ht="14.1" customHeight="1" thickBot="1" x14ac:dyDescent="0.3">
      <c r="A10" s="29"/>
      <c r="B10" s="109"/>
      <c r="C10" s="110"/>
      <c r="D10" s="112"/>
      <c r="E10" s="106" t="s">
        <v>10</v>
      </c>
      <c r="F10" s="106"/>
      <c r="G10" s="106"/>
      <c r="H10" s="31" t="s">
        <v>5</v>
      </c>
      <c r="I10" s="115"/>
      <c r="J10" s="116"/>
      <c r="K10" s="118"/>
      <c r="L10" s="123" t="s">
        <v>15</v>
      </c>
      <c r="M10" s="124"/>
      <c r="N10" s="124"/>
      <c r="O10" s="125">
        <v>0.39027777777777778</v>
      </c>
      <c r="P10" s="126"/>
    </row>
    <row r="11" spans="1:16" s="33" customFormat="1" ht="25.15" customHeight="1" x14ac:dyDescent="0.2">
      <c r="A11" s="11"/>
      <c r="B11" s="127" t="s">
        <v>17</v>
      </c>
      <c r="C11" s="130" t="s">
        <v>63</v>
      </c>
      <c r="D11" s="130"/>
      <c r="E11" s="130"/>
      <c r="F11" s="32"/>
      <c r="G11" s="131" t="s">
        <v>64</v>
      </c>
      <c r="H11" s="131"/>
      <c r="I11" s="131"/>
      <c r="J11" s="131"/>
      <c r="K11" s="131"/>
      <c r="L11" s="132"/>
      <c r="M11" s="131" t="s">
        <v>65</v>
      </c>
      <c r="N11" s="131"/>
      <c r="O11" s="131"/>
      <c r="P11" s="135"/>
    </row>
    <row r="12" spans="1:16" s="33" customFormat="1" ht="17.45" customHeight="1" x14ac:dyDescent="0.2">
      <c r="A12" s="11"/>
      <c r="B12" s="128"/>
      <c r="C12" s="136" t="s">
        <v>66</v>
      </c>
      <c r="D12" s="136"/>
      <c r="E12" s="136"/>
      <c r="F12" s="34"/>
      <c r="G12" s="137" t="s">
        <v>67</v>
      </c>
      <c r="H12" s="137"/>
      <c r="I12" s="137"/>
      <c r="J12" s="137"/>
      <c r="K12" s="137"/>
      <c r="L12" s="133"/>
      <c r="M12" s="137" t="s">
        <v>68</v>
      </c>
      <c r="N12" s="137"/>
      <c r="O12" s="137"/>
      <c r="P12" s="139"/>
    </row>
    <row r="13" spans="1:16" s="33" customFormat="1" ht="25.15" customHeight="1" thickBot="1" x14ac:dyDescent="0.25">
      <c r="A13" s="11"/>
      <c r="B13" s="129"/>
      <c r="C13" s="140"/>
      <c r="D13" s="141"/>
      <c r="E13" s="141"/>
      <c r="F13" s="141"/>
      <c r="G13" s="138" t="s">
        <v>69</v>
      </c>
      <c r="H13" s="138"/>
      <c r="I13" s="138"/>
      <c r="J13" s="138"/>
      <c r="K13" s="138"/>
      <c r="L13" s="134"/>
      <c r="M13" s="138" t="s">
        <v>70</v>
      </c>
      <c r="N13" s="138"/>
      <c r="O13" s="138"/>
      <c r="P13" s="142"/>
    </row>
    <row r="14" spans="1:16" ht="16.5" customHeight="1" x14ac:dyDescent="0.25">
      <c r="A14" s="5"/>
      <c r="B14" s="143" t="s">
        <v>18</v>
      </c>
      <c r="C14" s="145" t="s">
        <v>19</v>
      </c>
      <c r="D14" s="145" t="s">
        <v>40</v>
      </c>
      <c r="E14" s="147" t="s">
        <v>20</v>
      </c>
      <c r="F14" s="149" t="s">
        <v>41</v>
      </c>
      <c r="G14" s="150"/>
      <c r="H14" s="151"/>
      <c r="I14" s="155" t="s">
        <v>42</v>
      </c>
      <c r="J14" s="156"/>
      <c r="K14" s="35"/>
      <c r="L14" s="36" t="s">
        <v>43</v>
      </c>
      <c r="M14" s="36" t="s">
        <v>44</v>
      </c>
      <c r="N14" s="36" t="s">
        <v>44</v>
      </c>
      <c r="O14" s="36" t="s">
        <v>45</v>
      </c>
      <c r="P14" s="37" t="s">
        <v>21</v>
      </c>
    </row>
    <row r="15" spans="1:16" ht="14.1" customHeight="1" thickBot="1" x14ac:dyDescent="0.3">
      <c r="A15" s="5"/>
      <c r="B15" s="144"/>
      <c r="C15" s="146"/>
      <c r="D15" s="146"/>
      <c r="E15" s="148"/>
      <c r="F15" s="152"/>
      <c r="G15" s="153"/>
      <c r="H15" s="154"/>
      <c r="I15" s="157" t="s">
        <v>22</v>
      </c>
      <c r="J15" s="158"/>
      <c r="K15" s="38" t="s">
        <v>23</v>
      </c>
      <c r="L15" s="38" t="s">
        <v>46</v>
      </c>
      <c r="M15" s="38" t="s">
        <v>47</v>
      </c>
      <c r="N15" s="38" t="s">
        <v>24</v>
      </c>
      <c r="O15" s="38" t="s">
        <v>25</v>
      </c>
      <c r="P15" s="39" t="s">
        <v>26</v>
      </c>
    </row>
    <row r="16" spans="1:16" s="3" customFormat="1" ht="14.1" customHeight="1" x14ac:dyDescent="0.2">
      <c r="A16" s="11"/>
      <c r="B16" s="174">
        <v>1</v>
      </c>
      <c r="C16" s="177">
        <f>+K9</f>
        <v>0.6</v>
      </c>
      <c r="D16" s="159">
        <v>0</v>
      </c>
      <c r="E16" s="159">
        <v>5.3999999999999999E-2</v>
      </c>
      <c r="F16" s="40" t="s">
        <v>71</v>
      </c>
      <c r="G16" s="168" t="str">
        <f>IF(E16&lt;0.12,"NA",IF(E16&gt;=0.12,0.2*E16))</f>
        <v>NA</v>
      </c>
      <c r="H16" s="168"/>
      <c r="I16" s="168"/>
      <c r="J16" s="168"/>
      <c r="K16" s="159">
        <f>ROUND(+IF(E16&lt;0.12,(I17),(IF(E16&gt;=0.12,((I16+2*I17+I18)/4)))),3)</f>
        <v>0.02</v>
      </c>
      <c r="L16" s="159">
        <f>ROUND(+(D16+D18)/2*(C18-C16),3)</f>
        <v>6.0000000000000001E-3</v>
      </c>
      <c r="M16" s="162">
        <f>ROUND(+K16*L16,4)</f>
        <v>1E-4</v>
      </c>
      <c r="N16" s="165">
        <f>ROUND(+M16/$M$71*100,1)</f>
        <v>0.1</v>
      </c>
      <c r="O16" s="168"/>
      <c r="P16" s="171"/>
    </row>
    <row r="17" spans="1:17" s="3" customFormat="1" ht="14.1" customHeight="1" x14ac:dyDescent="0.2">
      <c r="A17" s="11"/>
      <c r="B17" s="175"/>
      <c r="C17" s="178"/>
      <c r="D17" s="160"/>
      <c r="E17" s="160"/>
      <c r="F17" s="41" t="s">
        <v>72</v>
      </c>
      <c r="G17" s="178">
        <f>IF(E16&lt;0.12,0.6*E16,IF(E16&gt;=0.12,0.6*E16))</f>
        <v>3.2399999999999998E-2</v>
      </c>
      <c r="H17" s="178"/>
      <c r="I17" s="160">
        <v>0.02</v>
      </c>
      <c r="J17" s="160"/>
      <c r="K17" s="160"/>
      <c r="L17" s="160"/>
      <c r="M17" s="163"/>
      <c r="N17" s="166"/>
      <c r="O17" s="169"/>
      <c r="P17" s="172"/>
    </row>
    <row r="18" spans="1:17" s="3" customFormat="1" ht="13.9" customHeight="1" thickBot="1" x14ac:dyDescent="0.25">
      <c r="A18" s="11"/>
      <c r="B18" s="176"/>
      <c r="C18" s="42">
        <f>+C16+P8</f>
        <v>0.8</v>
      </c>
      <c r="D18" s="43">
        <v>5.8999999999999997E-2</v>
      </c>
      <c r="E18" s="161"/>
      <c r="F18" s="44" t="s">
        <v>73</v>
      </c>
      <c r="G18" s="179" t="str">
        <f>IF(E16&lt;0.12,"NA",IF(E16&gt;=0.12,0.8*E16))</f>
        <v>NA</v>
      </c>
      <c r="H18" s="179"/>
      <c r="I18" s="170"/>
      <c r="J18" s="170"/>
      <c r="K18" s="161"/>
      <c r="L18" s="161"/>
      <c r="M18" s="164"/>
      <c r="N18" s="167"/>
      <c r="O18" s="170"/>
      <c r="P18" s="173"/>
    </row>
    <row r="19" spans="1:17" s="3" customFormat="1" ht="14.1" customHeight="1" x14ac:dyDescent="0.2">
      <c r="A19" s="11"/>
      <c r="B19" s="174">
        <v>2</v>
      </c>
      <c r="C19" s="177">
        <f>+C18</f>
        <v>0.8</v>
      </c>
      <c r="D19" s="159">
        <f>+D18</f>
        <v>5.8999999999999997E-2</v>
      </c>
      <c r="E19" s="159">
        <v>0.123</v>
      </c>
      <c r="F19" s="40" t="s">
        <v>71</v>
      </c>
      <c r="G19" s="168">
        <f t="shared" ref="G19" si="0">IF(E19&lt;0.12,"NA",IF(E19&gt;=0.12,0.2*E19))</f>
        <v>2.46E-2</v>
      </c>
      <c r="H19" s="168"/>
      <c r="I19" s="168">
        <v>0.27300000000000002</v>
      </c>
      <c r="J19" s="168"/>
      <c r="K19" s="159">
        <f t="shared" ref="K19" si="1">ROUND(+IF(E19&lt;0.12,(I20),(IF(E19&gt;=0.12,((I19+2*I20+I21)/4)))),3)</f>
        <v>0.252</v>
      </c>
      <c r="L19" s="159">
        <f>ROUND(+(D19+D21)/2*(C21-C19),3)</f>
        <v>1.7999999999999999E-2</v>
      </c>
      <c r="M19" s="162">
        <f>ROUND(+K19*L19,4)</f>
        <v>4.4999999999999997E-3</v>
      </c>
      <c r="N19" s="165">
        <f>ROUND(+M19/$M$71*100,1)</f>
        <v>4.5999999999999996</v>
      </c>
      <c r="O19" s="168"/>
      <c r="P19" s="171"/>
      <c r="Q19" s="3" t="s">
        <v>97</v>
      </c>
    </row>
    <row r="20" spans="1:17" s="3" customFormat="1" ht="14.1" customHeight="1" x14ac:dyDescent="0.2">
      <c r="A20" s="11"/>
      <c r="B20" s="175"/>
      <c r="C20" s="178"/>
      <c r="D20" s="160"/>
      <c r="E20" s="160"/>
      <c r="F20" s="41" t="s">
        <v>72</v>
      </c>
      <c r="G20" s="178">
        <f t="shared" ref="G20" si="2">IF(E19&lt;0.12,0.6*E19,IF(E19&gt;=0.12,0.6*E19))</f>
        <v>7.3799999999999991E-2</v>
      </c>
      <c r="H20" s="178"/>
      <c r="I20" s="169">
        <v>0.248</v>
      </c>
      <c r="J20" s="169"/>
      <c r="K20" s="160"/>
      <c r="L20" s="160"/>
      <c r="M20" s="163"/>
      <c r="N20" s="166"/>
      <c r="O20" s="169"/>
      <c r="P20" s="172"/>
    </row>
    <row r="21" spans="1:17" s="3" customFormat="1" ht="13.9" customHeight="1" thickBot="1" x14ac:dyDescent="0.25">
      <c r="A21" s="11"/>
      <c r="B21" s="176"/>
      <c r="C21" s="42">
        <f>+C19+$P$8</f>
        <v>1</v>
      </c>
      <c r="D21" s="43">
        <v>0.11700000000000001</v>
      </c>
      <c r="E21" s="161"/>
      <c r="F21" s="44" t="s">
        <v>73</v>
      </c>
      <c r="G21" s="179">
        <f t="shared" ref="G21" si="3">IF(E19&lt;0.12,"NA",IF(E19&gt;=0.12,0.8*E19))</f>
        <v>9.8400000000000001E-2</v>
      </c>
      <c r="H21" s="179"/>
      <c r="I21" s="170">
        <v>0.23699999999999999</v>
      </c>
      <c r="J21" s="170"/>
      <c r="K21" s="161"/>
      <c r="L21" s="161"/>
      <c r="M21" s="164"/>
      <c r="N21" s="167"/>
      <c r="O21" s="170"/>
      <c r="P21" s="173"/>
    </row>
    <row r="22" spans="1:17" s="54" customFormat="1" ht="14.1" customHeight="1" x14ac:dyDescent="0.2">
      <c r="A22" s="53"/>
      <c r="B22" s="274">
        <v>3</v>
      </c>
      <c r="C22" s="177">
        <f>+C21</f>
        <v>1</v>
      </c>
      <c r="D22" s="159">
        <f>+D21</f>
        <v>0.11700000000000001</v>
      </c>
      <c r="E22" s="159">
        <v>0.124</v>
      </c>
      <c r="F22" s="40" t="s">
        <v>71</v>
      </c>
      <c r="G22" s="168">
        <f t="shared" ref="G22" si="4">IF(E22&lt;0.12,"NA",IF(E22&gt;=0.12,0.2*E22))</f>
        <v>2.4800000000000003E-2</v>
      </c>
      <c r="H22" s="168"/>
      <c r="I22" s="159">
        <v>0.21</v>
      </c>
      <c r="J22" s="159"/>
      <c r="K22" s="159">
        <f t="shared" ref="K22" si="5">ROUND(+IF(E22&lt;0.12,(I23),(IF(E22&gt;=0.12,((I22+2*I23+I24)/4)))),3)</f>
        <v>0.187</v>
      </c>
      <c r="L22" s="159">
        <f t="shared" ref="L22" si="6">ROUND(+(D22+D24)/2*(C24-C22),3)</f>
        <v>2.4E-2</v>
      </c>
      <c r="M22" s="162">
        <f>ROUND(+K22*L22,4)</f>
        <v>4.4999999999999997E-3</v>
      </c>
      <c r="N22" s="165">
        <f>ROUND(+M22/$M$71*100,1)</f>
        <v>4.5999999999999996</v>
      </c>
      <c r="O22" s="168"/>
      <c r="P22" s="171"/>
    </row>
    <row r="23" spans="1:17" s="54" customFormat="1" ht="14.1" customHeight="1" x14ac:dyDescent="0.2">
      <c r="A23" s="53"/>
      <c r="B23" s="275"/>
      <c r="C23" s="178"/>
      <c r="D23" s="160"/>
      <c r="E23" s="160"/>
      <c r="F23" s="41" t="s">
        <v>72</v>
      </c>
      <c r="G23" s="178">
        <f t="shared" ref="G23" si="7">IF(E22&lt;0.12,0.6*E22,IF(E22&gt;=0.12,0.6*E22))</f>
        <v>7.4399999999999994E-2</v>
      </c>
      <c r="H23" s="178"/>
      <c r="I23" s="160">
        <v>0.18</v>
      </c>
      <c r="J23" s="160"/>
      <c r="K23" s="160"/>
      <c r="L23" s="160"/>
      <c r="M23" s="163"/>
      <c r="N23" s="166"/>
      <c r="O23" s="169"/>
      <c r="P23" s="172"/>
    </row>
    <row r="24" spans="1:17" s="54" customFormat="1" ht="13.9" customHeight="1" thickBot="1" x14ac:dyDescent="0.25">
      <c r="A24" s="53"/>
      <c r="B24" s="276"/>
      <c r="C24" s="42">
        <f>+C22+$P$8</f>
        <v>1.2</v>
      </c>
      <c r="D24" s="43">
        <v>0.122</v>
      </c>
      <c r="E24" s="161"/>
      <c r="F24" s="44" t="s">
        <v>73</v>
      </c>
      <c r="G24" s="179">
        <f t="shared" ref="G24" si="8">IF(E22&lt;0.12,"NA",IF(E22&gt;=0.12,0.8*E22))</f>
        <v>9.920000000000001E-2</v>
      </c>
      <c r="H24" s="179"/>
      <c r="I24" s="170">
        <v>0.17599999999999999</v>
      </c>
      <c r="J24" s="170"/>
      <c r="K24" s="161"/>
      <c r="L24" s="161"/>
      <c r="M24" s="164"/>
      <c r="N24" s="167"/>
      <c r="O24" s="170"/>
      <c r="P24" s="173"/>
    </row>
    <row r="25" spans="1:17" s="3" customFormat="1" ht="14.1" customHeight="1" x14ac:dyDescent="0.2">
      <c r="A25" s="11"/>
      <c r="B25" s="174">
        <v>4</v>
      </c>
      <c r="C25" s="177">
        <f>+C24</f>
        <v>1.2</v>
      </c>
      <c r="D25" s="159">
        <f>+D24</f>
        <v>0.122</v>
      </c>
      <c r="E25" s="159">
        <v>0.14099999999999999</v>
      </c>
      <c r="F25" s="40" t="s">
        <v>71</v>
      </c>
      <c r="G25" s="168">
        <f t="shared" ref="G25" si="9">IF(E25&lt;0.12,"NA",IF(E25&gt;=0.12,0.2*E25))</f>
        <v>2.8199999999999999E-2</v>
      </c>
      <c r="H25" s="168"/>
      <c r="I25" s="168">
        <v>0.307</v>
      </c>
      <c r="J25" s="168"/>
      <c r="K25" s="159">
        <f t="shared" ref="K25" si="10">ROUND(+IF(E25&lt;0.12,(I26),(IF(E25&gt;=0.12,((I25+2*I26+I27)/4)))),3)</f>
        <v>0.29599999999999999</v>
      </c>
      <c r="L25" s="159">
        <f t="shared" ref="L25" si="11">ROUND(+(D25+D27)/2*(C27-C25),3)</f>
        <v>2.5999999999999999E-2</v>
      </c>
      <c r="M25" s="162">
        <f>ROUND(+K25*L25,4)</f>
        <v>7.7000000000000002E-3</v>
      </c>
      <c r="N25" s="165">
        <f>ROUND(+M25/$M$71*100,1)</f>
        <v>7.9</v>
      </c>
      <c r="O25" s="168"/>
      <c r="P25" s="171"/>
    </row>
    <row r="26" spans="1:17" s="3" customFormat="1" ht="14.1" customHeight="1" x14ac:dyDescent="0.2">
      <c r="A26" s="11"/>
      <c r="B26" s="175"/>
      <c r="C26" s="178"/>
      <c r="D26" s="160"/>
      <c r="E26" s="160"/>
      <c r="F26" s="41" t="s">
        <v>72</v>
      </c>
      <c r="G26" s="178">
        <f t="shared" ref="G26" si="12">IF(E25&lt;0.12,0.6*E25,IF(E25&gt;=0.12,0.6*E25))</f>
        <v>8.4599999999999995E-2</v>
      </c>
      <c r="H26" s="178"/>
      <c r="I26" s="169">
        <v>0.30499999999999999</v>
      </c>
      <c r="J26" s="169"/>
      <c r="K26" s="160"/>
      <c r="L26" s="160"/>
      <c r="M26" s="163"/>
      <c r="N26" s="166"/>
      <c r="O26" s="169"/>
      <c r="P26" s="172"/>
    </row>
    <row r="27" spans="1:17" s="3" customFormat="1" ht="13.9" customHeight="1" thickBot="1" x14ac:dyDescent="0.25">
      <c r="A27" s="11"/>
      <c r="B27" s="176"/>
      <c r="C27" s="42">
        <f>+C25+$P$8</f>
        <v>1.4</v>
      </c>
      <c r="D27" s="43">
        <v>0.14099999999999999</v>
      </c>
      <c r="E27" s="161"/>
      <c r="F27" s="44" t="s">
        <v>73</v>
      </c>
      <c r="G27" s="179">
        <f t="shared" ref="G27" si="13">IF(E25&lt;0.12,"NA",IF(E25&gt;=0.12,0.8*E25))</f>
        <v>0.1128</v>
      </c>
      <c r="H27" s="179"/>
      <c r="I27" s="170">
        <v>0.26700000000000002</v>
      </c>
      <c r="J27" s="170"/>
      <c r="K27" s="161"/>
      <c r="L27" s="161"/>
      <c r="M27" s="164"/>
      <c r="N27" s="167"/>
      <c r="O27" s="170"/>
      <c r="P27" s="173"/>
    </row>
    <row r="28" spans="1:17" s="3" customFormat="1" ht="14.1" customHeight="1" x14ac:dyDescent="0.2">
      <c r="A28" s="11"/>
      <c r="B28" s="174">
        <v>5</v>
      </c>
      <c r="C28" s="177">
        <f>+C27</f>
        <v>1.4</v>
      </c>
      <c r="D28" s="159">
        <f t="shared" ref="D28" si="14">+D27</f>
        <v>0.14099999999999999</v>
      </c>
      <c r="E28" s="159">
        <v>0.18099999999999999</v>
      </c>
      <c r="F28" s="40" t="s">
        <v>71</v>
      </c>
      <c r="G28" s="168">
        <f t="shared" ref="G28" si="15">IF(E28&lt;0.12,"NA",IF(E28&gt;=0.12,0.2*E28))</f>
        <v>3.6200000000000003E-2</v>
      </c>
      <c r="H28" s="168"/>
      <c r="I28" s="168">
        <v>0.21099999999999999</v>
      </c>
      <c r="J28" s="168"/>
      <c r="K28" s="159">
        <f t="shared" ref="K28" si="16">ROUND(+IF(E28&lt;0.12,(I29),(IF(E28&gt;=0.12,((I28+2*I29+I30)/4)))),3)</f>
        <v>0.186</v>
      </c>
      <c r="L28" s="159">
        <f t="shared" ref="L28" si="17">ROUND(+(D28+D30)/2*(C30-C28),3)</f>
        <v>3.3000000000000002E-2</v>
      </c>
      <c r="M28" s="162">
        <f>ROUND(+K28*L28,4)</f>
        <v>6.1000000000000004E-3</v>
      </c>
      <c r="N28" s="165">
        <f>ROUND(+M28/$M$71*100,1)</f>
        <v>6.3</v>
      </c>
      <c r="O28" s="168"/>
      <c r="P28" s="171"/>
    </row>
    <row r="29" spans="1:17" s="3" customFormat="1" ht="14.1" customHeight="1" x14ac:dyDescent="0.2">
      <c r="A29" s="11"/>
      <c r="B29" s="175"/>
      <c r="C29" s="178"/>
      <c r="D29" s="160"/>
      <c r="E29" s="160"/>
      <c r="F29" s="41" t="s">
        <v>72</v>
      </c>
      <c r="G29" s="178">
        <f t="shared" ref="G29" si="18">IF(E28&lt;0.12,0.6*E28,IF(E28&gt;=0.12,0.6*E28))</f>
        <v>0.10859999999999999</v>
      </c>
      <c r="H29" s="178"/>
      <c r="I29" s="169">
        <v>0.18</v>
      </c>
      <c r="J29" s="169"/>
      <c r="K29" s="160"/>
      <c r="L29" s="160"/>
      <c r="M29" s="163"/>
      <c r="N29" s="166"/>
      <c r="O29" s="169"/>
      <c r="P29" s="172"/>
    </row>
    <row r="30" spans="1:17" s="3" customFormat="1" ht="13.9" customHeight="1" thickBot="1" x14ac:dyDescent="0.25">
      <c r="A30" s="11"/>
      <c r="B30" s="176"/>
      <c r="C30" s="42">
        <f>+C28+$P$8</f>
        <v>1.5999999999999999</v>
      </c>
      <c r="D30" s="43">
        <v>0.186</v>
      </c>
      <c r="E30" s="161"/>
      <c r="F30" s="44" t="s">
        <v>73</v>
      </c>
      <c r="G30" s="179">
        <f t="shared" ref="G30" si="19">IF(E28&lt;0.12,"NA",IF(E28&gt;=0.12,0.8*E28))</f>
        <v>0.14480000000000001</v>
      </c>
      <c r="H30" s="179"/>
      <c r="I30" s="170">
        <v>0.17100000000000001</v>
      </c>
      <c r="J30" s="170"/>
      <c r="K30" s="161"/>
      <c r="L30" s="161"/>
      <c r="M30" s="164"/>
      <c r="N30" s="167"/>
      <c r="O30" s="170"/>
      <c r="P30" s="173"/>
    </row>
    <row r="31" spans="1:17" s="3" customFormat="1" ht="14.1" customHeight="1" x14ac:dyDescent="0.2">
      <c r="A31" s="11"/>
      <c r="B31" s="174">
        <v>6</v>
      </c>
      <c r="C31" s="177">
        <f>+C30</f>
        <v>1.5999999999999999</v>
      </c>
      <c r="D31" s="159">
        <f t="shared" ref="D31" si="20">+D30</f>
        <v>0.186</v>
      </c>
      <c r="E31" s="159">
        <v>0.186</v>
      </c>
      <c r="F31" s="40" t="s">
        <v>71</v>
      </c>
      <c r="G31" s="168">
        <f t="shared" ref="G31" si="21">IF(E31&lt;0.12,"NA",IF(E31&gt;=0.12,0.2*E31))</f>
        <v>3.7200000000000004E-2</v>
      </c>
      <c r="H31" s="168"/>
      <c r="I31" s="159">
        <v>0.26</v>
      </c>
      <c r="J31" s="159"/>
      <c r="K31" s="159">
        <f t="shared" ref="K31" si="22">ROUND(+IF(E31&lt;0.12,(I32),(IF(E31&gt;=0.12,((I31+2*I32+I33)/4)))),3)</f>
        <v>0.23300000000000001</v>
      </c>
      <c r="L31" s="159">
        <f t="shared" ref="L31" si="23">ROUND(+(D31+D33)/2*(C33-C31),3)</f>
        <v>3.9E-2</v>
      </c>
      <c r="M31" s="162">
        <f>ROUND(+K31*L31,4)</f>
        <v>9.1000000000000004E-3</v>
      </c>
      <c r="N31" s="165">
        <f>ROUND(+M31/$M$71*100,1)</f>
        <v>9.4</v>
      </c>
      <c r="O31" s="168"/>
      <c r="P31" s="171"/>
    </row>
    <row r="32" spans="1:17" s="3" customFormat="1" ht="14.1" customHeight="1" x14ac:dyDescent="0.2">
      <c r="A32" s="11"/>
      <c r="B32" s="175"/>
      <c r="C32" s="178"/>
      <c r="D32" s="160"/>
      <c r="E32" s="160"/>
      <c r="F32" s="41" t="s">
        <v>72</v>
      </c>
      <c r="G32" s="178">
        <f t="shared" ref="G32" si="24">IF(E31&lt;0.12,0.6*E31,IF(E31&gt;=0.12,0.6*E31))</f>
        <v>0.11159999999999999</v>
      </c>
      <c r="H32" s="178"/>
      <c r="I32" s="169">
        <v>0.23400000000000001</v>
      </c>
      <c r="J32" s="169"/>
      <c r="K32" s="160"/>
      <c r="L32" s="160"/>
      <c r="M32" s="163"/>
      <c r="N32" s="166"/>
      <c r="O32" s="169"/>
      <c r="P32" s="172"/>
    </row>
    <row r="33" spans="1:16" s="3" customFormat="1" ht="13.9" customHeight="1" thickBot="1" x14ac:dyDescent="0.25">
      <c r="A33" s="11"/>
      <c r="B33" s="176"/>
      <c r="C33" s="42">
        <f>+C31+$P$8</f>
        <v>1.7999999999999998</v>
      </c>
      <c r="D33" s="43">
        <v>0.20399999999999999</v>
      </c>
      <c r="E33" s="161"/>
      <c r="F33" s="44" t="s">
        <v>73</v>
      </c>
      <c r="G33" s="179">
        <f t="shared" ref="G33" si="25">IF(E31&lt;0.12,"NA",IF(E31&gt;=0.12,0.8*E31))</f>
        <v>0.14880000000000002</v>
      </c>
      <c r="H33" s="179"/>
      <c r="I33" s="170">
        <v>0.20300000000000001</v>
      </c>
      <c r="J33" s="170"/>
      <c r="K33" s="161"/>
      <c r="L33" s="161"/>
      <c r="M33" s="164"/>
      <c r="N33" s="167"/>
      <c r="O33" s="170"/>
      <c r="P33" s="173"/>
    </row>
    <row r="34" spans="1:16" s="3" customFormat="1" ht="14.1" customHeight="1" x14ac:dyDescent="0.2">
      <c r="A34" s="11"/>
      <c r="B34" s="174">
        <v>7</v>
      </c>
      <c r="C34" s="177">
        <f>+C33</f>
        <v>1.7999999999999998</v>
      </c>
      <c r="D34" s="159">
        <f t="shared" ref="D34" si="26">+D33</f>
        <v>0.20399999999999999</v>
      </c>
      <c r="E34" s="180">
        <v>0.219</v>
      </c>
      <c r="F34" s="40" t="s">
        <v>71</v>
      </c>
      <c r="G34" s="168">
        <f t="shared" ref="G34" si="27">IF(E34&lt;0.12,"NA",IF(E34&gt;=0.12,0.2*E34))</f>
        <v>4.3800000000000006E-2</v>
      </c>
      <c r="H34" s="168"/>
      <c r="I34" s="184">
        <v>0.21099999999999999</v>
      </c>
      <c r="J34" s="185"/>
      <c r="K34" s="159">
        <f t="shared" ref="K34" si="28">ROUND(+IF(E34&lt;0.12,(I35),(IF(E34&gt;=0.12,((I34+2*I35+I36)/4)))),3)</f>
        <v>0.17699999999999999</v>
      </c>
      <c r="L34" s="159">
        <f t="shared" ref="L34" si="29">ROUND(+(D34+D36)/2*(C36-C34),3)</f>
        <v>4.4999999999999998E-2</v>
      </c>
      <c r="M34" s="162">
        <f t="shared" ref="M34" si="30">ROUND(+K34*L34,4)</f>
        <v>8.0000000000000002E-3</v>
      </c>
      <c r="N34" s="165">
        <f>ROUND(+M34/$M$71*100,1)</f>
        <v>8.1999999999999993</v>
      </c>
      <c r="O34" s="168"/>
      <c r="P34" s="171"/>
    </row>
    <row r="35" spans="1:16" s="3" customFormat="1" ht="14.1" customHeight="1" x14ac:dyDescent="0.2">
      <c r="A35" s="11"/>
      <c r="B35" s="175"/>
      <c r="C35" s="178"/>
      <c r="D35" s="160"/>
      <c r="E35" s="182"/>
      <c r="F35" s="41" t="s">
        <v>72</v>
      </c>
      <c r="G35" s="178">
        <f t="shared" ref="G35" si="31">IF(E34&lt;0.12,0.6*E34,IF(E34&gt;=0.12,0.6*E34))</f>
        <v>0.13139999999999999</v>
      </c>
      <c r="H35" s="178"/>
      <c r="I35" s="186">
        <v>0.16900000000000001</v>
      </c>
      <c r="J35" s="187"/>
      <c r="K35" s="160"/>
      <c r="L35" s="160"/>
      <c r="M35" s="163"/>
      <c r="N35" s="166"/>
      <c r="O35" s="169"/>
      <c r="P35" s="172"/>
    </row>
    <row r="36" spans="1:16" s="3" customFormat="1" ht="13.9" customHeight="1" thickBot="1" x14ac:dyDescent="0.25">
      <c r="A36" s="11"/>
      <c r="B36" s="176"/>
      <c r="C36" s="42">
        <f>+C34+$P$8</f>
        <v>1.9999999999999998</v>
      </c>
      <c r="D36" s="43">
        <v>0.245</v>
      </c>
      <c r="E36" s="183"/>
      <c r="F36" s="44" t="s">
        <v>73</v>
      </c>
      <c r="G36" s="179">
        <f t="shared" ref="G36" si="32">IF(E34&lt;0.12,"NA",IF(E34&gt;=0.12,0.8*E34))</f>
        <v>0.17520000000000002</v>
      </c>
      <c r="H36" s="179"/>
      <c r="I36" s="188">
        <v>0.159</v>
      </c>
      <c r="J36" s="189"/>
      <c r="K36" s="161"/>
      <c r="L36" s="161"/>
      <c r="M36" s="164"/>
      <c r="N36" s="167"/>
      <c r="O36" s="170"/>
      <c r="P36" s="173"/>
    </row>
    <row r="37" spans="1:16" s="3" customFormat="1" ht="14.1" customHeight="1" x14ac:dyDescent="0.2">
      <c r="A37" s="11"/>
      <c r="B37" s="174">
        <v>8</v>
      </c>
      <c r="C37" s="177">
        <f>+C36</f>
        <v>1.9999999999999998</v>
      </c>
      <c r="D37" s="159">
        <f t="shared" ref="D37" si="33">+D36</f>
        <v>0.245</v>
      </c>
      <c r="E37" s="159">
        <v>0.27100000000000002</v>
      </c>
      <c r="F37" s="40" t="s">
        <v>71</v>
      </c>
      <c r="G37" s="168">
        <f t="shared" ref="G37" si="34">IF(E37&lt;0.12,"NA",IF(E37&gt;=0.12,0.2*E37))</f>
        <v>5.4200000000000005E-2</v>
      </c>
      <c r="H37" s="168"/>
      <c r="I37" s="168">
        <v>0.317</v>
      </c>
      <c r="J37" s="168"/>
      <c r="K37" s="159">
        <f t="shared" ref="K37" si="35">ROUND(+IF(E37&lt;0.12,(I38),(IF(E37&gt;=0.12,((I37+2*I38+I39)/4)))),3)</f>
        <v>0.27100000000000002</v>
      </c>
      <c r="L37" s="159">
        <f t="shared" ref="L37" si="36">ROUND(+(D37+D39)/2*(C39-C37),3)</f>
        <v>5.1999999999999998E-2</v>
      </c>
      <c r="M37" s="162">
        <f>ROUND(+K37*L37,4)</f>
        <v>1.41E-2</v>
      </c>
      <c r="N37" s="165">
        <f>ROUND(+M37/$M$71*100,1)</f>
        <v>14.5</v>
      </c>
      <c r="O37" s="168"/>
      <c r="P37" s="171"/>
    </row>
    <row r="38" spans="1:16" s="3" customFormat="1" ht="14.1" customHeight="1" x14ac:dyDescent="0.2">
      <c r="A38" s="11"/>
      <c r="B38" s="175"/>
      <c r="C38" s="178"/>
      <c r="D38" s="160"/>
      <c r="E38" s="160"/>
      <c r="F38" s="41" t="s">
        <v>72</v>
      </c>
      <c r="G38" s="178">
        <f t="shared" ref="G38" si="37">IF(E37&lt;0.12,0.6*E37,IF(E37&gt;=0.12,0.6*E37))</f>
        <v>0.16259999999999999</v>
      </c>
      <c r="H38" s="178"/>
      <c r="I38" s="169">
        <v>0.25600000000000001</v>
      </c>
      <c r="J38" s="169"/>
      <c r="K38" s="160"/>
      <c r="L38" s="160"/>
      <c r="M38" s="163"/>
      <c r="N38" s="166"/>
      <c r="O38" s="169"/>
      <c r="P38" s="172"/>
    </row>
    <row r="39" spans="1:16" s="3" customFormat="1" ht="13.9" customHeight="1" thickBot="1" x14ac:dyDescent="0.25">
      <c r="A39" s="11"/>
      <c r="B39" s="176"/>
      <c r="C39" s="42">
        <f>+C37+$P$8</f>
        <v>2.1999999999999997</v>
      </c>
      <c r="D39" s="43">
        <v>0.27200000000000002</v>
      </c>
      <c r="E39" s="161"/>
      <c r="F39" s="44" t="s">
        <v>73</v>
      </c>
      <c r="G39" s="179">
        <f t="shared" ref="G39" si="38">IF(E37&lt;0.12,"NA",IF(E37&gt;=0.12,0.8*E37))</f>
        <v>0.21680000000000002</v>
      </c>
      <c r="H39" s="179"/>
      <c r="I39" s="170">
        <v>0.253</v>
      </c>
      <c r="J39" s="170"/>
      <c r="K39" s="161"/>
      <c r="L39" s="161"/>
      <c r="M39" s="164"/>
      <c r="N39" s="167"/>
      <c r="O39" s="170"/>
      <c r="P39" s="173"/>
    </row>
    <row r="40" spans="1:16" s="3" customFormat="1" ht="14.1" customHeight="1" x14ac:dyDescent="0.2">
      <c r="A40" s="11"/>
      <c r="B40" s="174">
        <v>9</v>
      </c>
      <c r="C40" s="177">
        <f t="shared" ref="C40:D40" si="39">+C39</f>
        <v>2.1999999999999997</v>
      </c>
      <c r="D40" s="159">
        <f t="shared" si="39"/>
        <v>0.27200000000000002</v>
      </c>
      <c r="E40" s="159">
        <v>0.27800000000000002</v>
      </c>
      <c r="F40" s="40" t="s">
        <v>71</v>
      </c>
      <c r="G40" s="168">
        <f t="shared" ref="G40" si="40">IF(E40&lt;0.12,"NA",IF(E40&gt;=0.12,0.2*E40))</f>
        <v>5.5600000000000011E-2</v>
      </c>
      <c r="H40" s="168"/>
      <c r="I40" s="168"/>
      <c r="J40" s="168"/>
      <c r="K40" s="159"/>
      <c r="L40" s="159"/>
      <c r="M40" s="162"/>
      <c r="N40" s="165"/>
      <c r="O40" s="168"/>
      <c r="P40" s="171"/>
    </row>
    <row r="41" spans="1:16" s="3" customFormat="1" ht="14.1" customHeight="1" x14ac:dyDescent="0.2">
      <c r="A41" s="11"/>
      <c r="B41" s="175"/>
      <c r="C41" s="178"/>
      <c r="D41" s="160"/>
      <c r="E41" s="160"/>
      <c r="F41" s="41" t="s">
        <v>72</v>
      </c>
      <c r="G41" s="178">
        <f t="shared" ref="G41" si="41">IF(E40&lt;0.12,0.6*E40,IF(E40&gt;=0.12,0.6*E40))</f>
        <v>0.1668</v>
      </c>
      <c r="H41" s="178"/>
      <c r="I41" s="160"/>
      <c r="J41" s="160"/>
      <c r="K41" s="160"/>
      <c r="L41" s="160"/>
      <c r="M41" s="163"/>
      <c r="N41" s="166"/>
      <c r="O41" s="169"/>
      <c r="P41" s="172"/>
    </row>
    <row r="42" spans="1:16" s="3" customFormat="1" ht="13.9" customHeight="1" thickBot="1" x14ac:dyDescent="0.25">
      <c r="A42" s="11"/>
      <c r="B42" s="176"/>
      <c r="C42" s="42">
        <f>+C40+$P$8</f>
        <v>2.4</v>
      </c>
      <c r="D42" s="43">
        <v>0.245</v>
      </c>
      <c r="E42" s="161"/>
      <c r="F42" s="44" t="s">
        <v>73</v>
      </c>
      <c r="G42" s="179">
        <f t="shared" ref="G42" si="42">IF(E40&lt;0.12,"NA",IF(E40&gt;=0.12,0.8*E40))</f>
        <v>0.22240000000000004</v>
      </c>
      <c r="H42" s="179"/>
      <c r="I42" s="170"/>
      <c r="J42" s="170"/>
      <c r="K42" s="161"/>
      <c r="L42" s="161"/>
      <c r="M42" s="164"/>
      <c r="N42" s="167"/>
      <c r="O42" s="170"/>
      <c r="P42" s="173"/>
    </row>
    <row r="43" spans="1:16" s="3" customFormat="1" ht="14.1" customHeight="1" x14ac:dyDescent="0.2">
      <c r="A43" s="11"/>
      <c r="B43" s="174">
        <v>10</v>
      </c>
      <c r="C43" s="177">
        <f t="shared" ref="C43:D43" si="43">+C42</f>
        <v>2.4</v>
      </c>
      <c r="D43" s="159">
        <f t="shared" si="43"/>
        <v>0.245</v>
      </c>
      <c r="E43" s="159">
        <v>0.17100000000000001</v>
      </c>
      <c r="F43" s="40" t="s">
        <v>71</v>
      </c>
      <c r="G43" s="168">
        <f t="shared" ref="G43" si="44">IF(E43&lt;0.12,"NA",IF(E43&gt;=0.12,0.2*E43))</f>
        <v>3.4200000000000001E-2</v>
      </c>
      <c r="H43" s="168"/>
      <c r="I43" s="277">
        <v>0.35899999999999999</v>
      </c>
      <c r="J43" s="277"/>
      <c r="K43" s="159">
        <f t="shared" ref="K43" si="45">ROUND(+IF(E43&lt;0.12,(I44),(IF(E43&gt;=0.12,((I43+2*I44+I45)/4)))),3)</f>
        <v>0.33900000000000002</v>
      </c>
      <c r="L43" s="159">
        <f t="shared" ref="L43" si="46">ROUND(+(D43+D45)/2*(C45-C43),3)</f>
        <v>4.2000000000000003E-2</v>
      </c>
      <c r="M43" s="162">
        <f>ROUND(+K43*L43,4)</f>
        <v>1.4200000000000001E-2</v>
      </c>
      <c r="N43" s="165">
        <f>ROUND(+M43/$M$71*100,1)</f>
        <v>14.6</v>
      </c>
      <c r="O43" s="168"/>
      <c r="P43" s="171"/>
    </row>
    <row r="44" spans="1:16" s="3" customFormat="1" ht="14.1" customHeight="1" x14ac:dyDescent="0.2">
      <c r="A44" s="11"/>
      <c r="B44" s="175"/>
      <c r="C44" s="178"/>
      <c r="D44" s="160"/>
      <c r="E44" s="160"/>
      <c r="F44" s="41" t="s">
        <v>72</v>
      </c>
      <c r="G44" s="178">
        <f t="shared" ref="G44" si="47">IF(E43&lt;0.12,0.6*E43,IF(E43&gt;=0.12,0.6*E43))</f>
        <v>0.10260000000000001</v>
      </c>
      <c r="H44" s="178"/>
      <c r="I44" s="254">
        <v>0.34499999999999997</v>
      </c>
      <c r="J44" s="254"/>
      <c r="K44" s="160"/>
      <c r="L44" s="160"/>
      <c r="M44" s="163"/>
      <c r="N44" s="166"/>
      <c r="O44" s="169"/>
      <c r="P44" s="172"/>
    </row>
    <row r="45" spans="1:16" s="3" customFormat="1" ht="13.9" customHeight="1" thickBot="1" x14ac:dyDescent="0.25">
      <c r="A45" s="11"/>
      <c r="B45" s="176"/>
      <c r="C45" s="42">
        <f>+C43+$P$8</f>
        <v>2.6</v>
      </c>
      <c r="D45" s="43">
        <v>0.17100000000000001</v>
      </c>
      <c r="E45" s="161"/>
      <c r="F45" s="44" t="s">
        <v>73</v>
      </c>
      <c r="G45" s="179">
        <f t="shared" ref="G45" si="48">IF(E43&lt;0.12,"NA",IF(E43&gt;=0.12,0.8*E43))</f>
        <v>0.1368</v>
      </c>
      <c r="H45" s="179"/>
      <c r="I45" s="256">
        <v>0.308</v>
      </c>
      <c r="J45" s="256"/>
      <c r="K45" s="161"/>
      <c r="L45" s="161"/>
      <c r="M45" s="164"/>
      <c r="N45" s="167"/>
      <c r="O45" s="170"/>
      <c r="P45" s="173"/>
    </row>
    <row r="46" spans="1:16" s="54" customFormat="1" ht="14.1" customHeight="1" x14ac:dyDescent="0.2">
      <c r="A46" s="53"/>
      <c r="B46" s="274">
        <v>11</v>
      </c>
      <c r="C46" s="177">
        <f t="shared" ref="C46:D46" si="49">+C45</f>
        <v>2.6</v>
      </c>
      <c r="D46" s="159">
        <f t="shared" si="49"/>
        <v>0.17100000000000001</v>
      </c>
      <c r="E46" s="159">
        <v>0.17</v>
      </c>
      <c r="F46" s="40" t="s">
        <v>71</v>
      </c>
      <c r="G46" s="168">
        <f t="shared" ref="G46" si="50">IF(E46&lt;0.12,"NA",IF(E46&gt;=0.12,0.2*E46))</f>
        <v>3.4000000000000002E-2</v>
      </c>
      <c r="H46" s="168"/>
      <c r="I46" s="253">
        <v>0.35199999999999998</v>
      </c>
      <c r="J46" s="253"/>
      <c r="K46" s="159">
        <f t="shared" ref="K46" si="51">ROUND(+IF(E46&lt;0.12,(I47),(IF(E46&gt;=0.12,((I46+2*I47+I48)/4)))),3)</f>
        <v>0.28299999999999997</v>
      </c>
      <c r="L46" s="159">
        <f t="shared" ref="L46" si="52">ROUND(+(D46+D48)/2*(C48-C46),3)</f>
        <v>3.1E-2</v>
      </c>
      <c r="M46" s="162">
        <f>ROUND(+K46*L46,4)</f>
        <v>8.8000000000000005E-3</v>
      </c>
      <c r="N46" s="165">
        <f>ROUND(+M46/$M$71*100,1)</f>
        <v>9.1</v>
      </c>
      <c r="O46" s="168"/>
      <c r="P46" s="171"/>
    </row>
    <row r="47" spans="1:16" s="54" customFormat="1" ht="14.1" customHeight="1" x14ac:dyDescent="0.2">
      <c r="A47" s="53"/>
      <c r="B47" s="275"/>
      <c r="C47" s="178"/>
      <c r="D47" s="160"/>
      <c r="E47" s="160"/>
      <c r="F47" s="41" t="s">
        <v>72</v>
      </c>
      <c r="G47" s="178">
        <f t="shared" ref="G47" si="53">IF(E46&lt;0.12,0.6*E46,IF(E46&gt;=0.12,0.6*E46))</f>
        <v>0.10200000000000001</v>
      </c>
      <c r="H47" s="178"/>
      <c r="I47" s="279">
        <v>0.27</v>
      </c>
      <c r="J47" s="279"/>
      <c r="K47" s="160"/>
      <c r="L47" s="160"/>
      <c r="M47" s="163"/>
      <c r="N47" s="166"/>
      <c r="O47" s="169"/>
      <c r="P47" s="172"/>
    </row>
    <row r="48" spans="1:16" s="54" customFormat="1" ht="13.9" customHeight="1" thickBot="1" x14ac:dyDescent="0.25">
      <c r="A48" s="53"/>
      <c r="B48" s="276"/>
      <c r="C48" s="42">
        <f>+C46+$P$8</f>
        <v>2.8000000000000003</v>
      </c>
      <c r="D48" s="43">
        <v>0.14000000000000001</v>
      </c>
      <c r="E48" s="252"/>
      <c r="F48" s="50" t="s">
        <v>73</v>
      </c>
      <c r="G48" s="179">
        <f t="shared" ref="G48" si="54">IF(E46&lt;0.12,"NA",IF(E46&gt;=0.12,0.8*E46))</f>
        <v>0.13600000000000001</v>
      </c>
      <c r="H48" s="179"/>
      <c r="I48" s="256">
        <v>0.23799999999999999</v>
      </c>
      <c r="J48" s="256"/>
      <c r="K48" s="161"/>
      <c r="L48" s="161"/>
      <c r="M48" s="164"/>
      <c r="N48" s="167"/>
      <c r="O48" s="249"/>
      <c r="P48" s="250"/>
    </row>
    <row r="49" spans="1:18" s="3" customFormat="1" ht="14.1" customHeight="1" x14ac:dyDescent="0.2">
      <c r="A49" s="11"/>
      <c r="B49" s="174">
        <v>12</v>
      </c>
      <c r="C49" s="177">
        <f>+C48</f>
        <v>2.8000000000000003</v>
      </c>
      <c r="D49" s="159">
        <f t="shared" ref="D49" si="55">+D48</f>
        <v>0.14000000000000001</v>
      </c>
      <c r="E49" s="159">
        <v>0.14399999999999999</v>
      </c>
      <c r="F49" s="40" t="s">
        <v>71</v>
      </c>
      <c r="G49" s="168">
        <f t="shared" ref="G49" si="56">IF(E49&lt;0.12,"NA",IF(E49&gt;=0.12,0.2*E49))</f>
        <v>2.8799999999999999E-2</v>
      </c>
      <c r="H49" s="168"/>
      <c r="I49" s="253">
        <v>0.17199999999999999</v>
      </c>
      <c r="J49" s="253"/>
      <c r="K49" s="159">
        <f t="shared" ref="K49" si="57">ROUND(+IF(E49&lt;0.12,(I50),(IF(E49&gt;=0.12,((I49+2*I50+I51)/4)))),3)</f>
        <v>0.13400000000000001</v>
      </c>
      <c r="L49" s="159">
        <f t="shared" ref="L49" si="58">ROUND(+(D49+D51)/2*(C51-C49),3)</f>
        <v>2.5999999999999999E-2</v>
      </c>
      <c r="M49" s="162">
        <f>ROUND(+K49*L49,4)</f>
        <v>3.5000000000000001E-3</v>
      </c>
      <c r="N49" s="165">
        <f>ROUND(+M49/$M$71*100,1)</f>
        <v>3.6</v>
      </c>
      <c r="O49" s="168"/>
      <c r="P49" s="171"/>
    </row>
    <row r="50" spans="1:18" s="3" customFormat="1" ht="14.1" customHeight="1" x14ac:dyDescent="0.2">
      <c r="A50" s="11"/>
      <c r="B50" s="175"/>
      <c r="C50" s="178"/>
      <c r="D50" s="160"/>
      <c r="E50" s="160"/>
      <c r="F50" s="41" t="s">
        <v>72</v>
      </c>
      <c r="G50" s="178">
        <f t="shared" ref="G50" si="59">IF(E49&lt;0.12,0.6*E49,IF(E49&gt;=0.12,0.6*E49))</f>
        <v>8.6399999999999991E-2</v>
      </c>
      <c r="H50" s="178"/>
      <c r="I50" s="254">
        <v>0.125</v>
      </c>
      <c r="J50" s="254"/>
      <c r="K50" s="160"/>
      <c r="L50" s="160"/>
      <c r="M50" s="163"/>
      <c r="N50" s="166"/>
      <c r="O50" s="169"/>
      <c r="P50" s="172"/>
    </row>
    <row r="51" spans="1:18" s="3" customFormat="1" ht="13.9" customHeight="1" thickBot="1" x14ac:dyDescent="0.25">
      <c r="A51" s="11"/>
      <c r="B51" s="176"/>
      <c r="C51" s="42">
        <f>+C49+$P$8</f>
        <v>3.0000000000000004</v>
      </c>
      <c r="D51" s="43">
        <v>0.124</v>
      </c>
      <c r="E51" s="252"/>
      <c r="F51" s="50" t="s">
        <v>73</v>
      </c>
      <c r="G51" s="179">
        <f t="shared" ref="G51" si="60">IF(E49&lt;0.12,"NA",IF(E49&gt;=0.12,0.8*E49))</f>
        <v>0.1152</v>
      </c>
      <c r="H51" s="179"/>
      <c r="I51" s="255">
        <v>0.115</v>
      </c>
      <c r="J51" s="255"/>
      <c r="K51" s="161"/>
      <c r="L51" s="161"/>
      <c r="M51" s="164"/>
      <c r="N51" s="167"/>
      <c r="O51" s="249"/>
      <c r="P51" s="250"/>
    </row>
    <row r="52" spans="1:18" s="3" customFormat="1" ht="14.1" customHeight="1" x14ac:dyDescent="0.2">
      <c r="A52" s="11"/>
      <c r="B52" s="174">
        <v>13</v>
      </c>
      <c r="C52" s="177">
        <f>+C51</f>
        <v>3.0000000000000004</v>
      </c>
      <c r="D52" s="159">
        <f>+D51</f>
        <v>0.124</v>
      </c>
      <c r="E52" s="159">
        <v>0.112</v>
      </c>
      <c r="F52" s="40" t="s">
        <v>71</v>
      </c>
      <c r="G52" s="168" t="str">
        <f t="shared" ref="G52" si="61">IF(E52&lt;0.12,"NA",IF(E52&gt;=0.12,0.2*E52))</f>
        <v>NA</v>
      </c>
      <c r="H52" s="168"/>
      <c r="I52" s="168"/>
      <c r="J52" s="168"/>
      <c r="K52" s="159">
        <f t="shared" ref="K52" si="62">ROUND(+IF(E52&lt;0.12,(I53),(IF(E52&gt;=0.12,((I52+2*I53+I54)/4)))),3)</f>
        <v>1.2999999999999999E-2</v>
      </c>
      <c r="L52" s="159">
        <f t="shared" ref="L52" si="63">ROUND(+(D52+D54)/2*(C54-C52),3)</f>
        <v>0.02</v>
      </c>
      <c r="M52" s="162">
        <f>ROUND(+K52*L52,4)</f>
        <v>2.9999999999999997E-4</v>
      </c>
      <c r="N52" s="165">
        <f t="shared" ref="N52" si="64">ROUND(+M52/$M$71*100,1)</f>
        <v>0.3</v>
      </c>
      <c r="O52" s="168"/>
      <c r="P52" s="171"/>
    </row>
    <row r="53" spans="1:18" s="3" customFormat="1" ht="14.1" customHeight="1" x14ac:dyDescent="0.2">
      <c r="A53" s="11"/>
      <c r="B53" s="175"/>
      <c r="C53" s="178"/>
      <c r="D53" s="160"/>
      <c r="E53" s="160"/>
      <c r="F53" s="41" t="s">
        <v>72</v>
      </c>
      <c r="G53" s="178">
        <f t="shared" ref="G53" si="65">IF(E52&lt;0.12,0.6*E52,IF(E52&gt;=0.12,0.6*E52))</f>
        <v>6.7199999999999996E-2</v>
      </c>
      <c r="H53" s="178"/>
      <c r="I53" s="160">
        <v>1.2999999999999999E-2</v>
      </c>
      <c r="J53" s="160"/>
      <c r="K53" s="160"/>
      <c r="L53" s="160"/>
      <c r="M53" s="163"/>
      <c r="N53" s="166"/>
      <c r="O53" s="169"/>
      <c r="P53" s="172"/>
    </row>
    <row r="54" spans="1:18" s="3" customFormat="1" ht="13.9" customHeight="1" thickBot="1" x14ac:dyDescent="0.25">
      <c r="A54" s="11"/>
      <c r="B54" s="176"/>
      <c r="C54" s="42">
        <f>+C52+$P$8</f>
        <v>3.2000000000000006</v>
      </c>
      <c r="D54" s="43">
        <v>7.8E-2</v>
      </c>
      <c r="E54" s="161"/>
      <c r="F54" s="44" t="s">
        <v>73</v>
      </c>
      <c r="G54" s="179" t="str">
        <f t="shared" ref="G54" si="66">IF(E52&lt;0.12,"NA",IF(E52&gt;=0.12,0.8*E52))</f>
        <v>NA</v>
      </c>
      <c r="H54" s="179"/>
      <c r="I54" s="170"/>
      <c r="J54" s="170"/>
      <c r="K54" s="161"/>
      <c r="L54" s="161"/>
      <c r="M54" s="164"/>
      <c r="N54" s="167"/>
      <c r="O54" s="170"/>
      <c r="P54" s="173"/>
    </row>
    <row r="55" spans="1:18" s="3" customFormat="1" ht="14.1" customHeight="1" x14ac:dyDescent="0.2">
      <c r="A55" s="11"/>
      <c r="B55" s="174">
        <v>14</v>
      </c>
      <c r="C55" s="177">
        <f>+C54</f>
        <v>3.2000000000000006</v>
      </c>
      <c r="D55" s="159">
        <f t="shared" ref="D55" si="67">+D54</f>
        <v>7.8E-2</v>
      </c>
      <c r="E55" s="159">
        <v>4.7E-2</v>
      </c>
      <c r="F55" s="40" t="s">
        <v>71</v>
      </c>
      <c r="G55" s="168" t="str">
        <f t="shared" ref="G55" si="68">IF(E55&lt;0.12,"NA",IF(E55&gt;=0.12,0.2*E55))</f>
        <v>NA</v>
      </c>
      <c r="H55" s="168"/>
      <c r="I55" s="253"/>
      <c r="J55" s="253"/>
      <c r="K55" s="159">
        <f t="shared" ref="K55" si="69">ROUND(+IF(E55&lt;0.12,(I56),(IF(E55&gt;=0.12,((I55+2*I56+I57)/4)))),3)</f>
        <v>2.9000000000000001E-2</v>
      </c>
      <c r="L55" s="159">
        <f t="shared" ref="L55" si="70">ROUND(+(D55+D57)/2*(C57-C55),3)</f>
        <v>1.0999999999999999E-2</v>
      </c>
      <c r="M55" s="162">
        <f>ROUND(+K55*L55,4)</f>
        <v>2.9999999999999997E-4</v>
      </c>
      <c r="N55" s="165">
        <f t="shared" ref="N55" si="71">ROUND(+M55/$M$71*100,1)</f>
        <v>0.3</v>
      </c>
      <c r="O55" s="168"/>
      <c r="P55" s="171"/>
    </row>
    <row r="56" spans="1:18" s="3" customFormat="1" ht="14.1" customHeight="1" x14ac:dyDescent="0.2">
      <c r="A56" s="11"/>
      <c r="B56" s="175"/>
      <c r="C56" s="178"/>
      <c r="D56" s="160"/>
      <c r="E56" s="160"/>
      <c r="F56" s="41" t="s">
        <v>72</v>
      </c>
      <c r="G56" s="178">
        <f t="shared" ref="G56" si="72">IF(E55&lt;0.12,0.6*E55,IF(E55&gt;=0.12,0.6*E55))</f>
        <v>2.8199999999999999E-2</v>
      </c>
      <c r="H56" s="178"/>
      <c r="I56" s="254">
        <v>2.9000000000000001E-2</v>
      </c>
      <c r="J56" s="254"/>
      <c r="K56" s="160"/>
      <c r="L56" s="160"/>
      <c r="M56" s="163"/>
      <c r="N56" s="166"/>
      <c r="O56" s="169"/>
      <c r="P56" s="172"/>
    </row>
    <row r="57" spans="1:18" s="3" customFormat="1" ht="13.9" customHeight="1" thickBot="1" x14ac:dyDescent="0.25">
      <c r="A57" s="11"/>
      <c r="B57" s="176"/>
      <c r="C57" s="42">
        <f>+C55+$P$8</f>
        <v>3.4000000000000008</v>
      </c>
      <c r="D57" s="43">
        <v>3.5000000000000003E-2</v>
      </c>
      <c r="E57" s="161"/>
      <c r="F57" s="44" t="s">
        <v>73</v>
      </c>
      <c r="G57" s="179" t="str">
        <f t="shared" ref="G57" si="73">IF(E55&lt;0.12,"NA",IF(E55&gt;=0.12,0.8*E55))</f>
        <v>NA</v>
      </c>
      <c r="H57" s="179"/>
      <c r="I57" s="256"/>
      <c r="J57" s="256"/>
      <c r="K57" s="161"/>
      <c r="L57" s="161"/>
      <c r="M57" s="164"/>
      <c r="N57" s="167"/>
      <c r="O57" s="170"/>
      <c r="P57" s="173"/>
    </row>
    <row r="58" spans="1:18" s="3" customFormat="1" ht="14.1" customHeight="1" x14ac:dyDescent="0.2">
      <c r="A58" s="11"/>
      <c r="B58" s="174">
        <v>15</v>
      </c>
      <c r="C58" s="177">
        <f>+C57</f>
        <v>3.4000000000000008</v>
      </c>
      <c r="D58" s="159">
        <f t="shared" ref="D58" si="74">+D57</f>
        <v>3.5000000000000003E-2</v>
      </c>
      <c r="E58" s="159">
        <v>2.5000000000000001E-2</v>
      </c>
      <c r="F58" s="40" t="s">
        <v>71</v>
      </c>
      <c r="G58" s="168" t="str">
        <f t="shared" ref="G58" si="75">IF(E58&lt;0.12,"NA",IF(E58&gt;=0.12,0.2*E58))</f>
        <v>NA</v>
      </c>
      <c r="H58" s="168"/>
      <c r="I58" s="253"/>
      <c r="J58" s="253"/>
      <c r="K58" s="159">
        <f t="shared" ref="K58" si="76">ROUND(+IF(E58&lt;0.12,(I59),(IF(E58&gt;=0.12,((I58+2*I59+I60)/4)))),3)</f>
        <v>4.0000000000000001E-3</v>
      </c>
      <c r="L58" s="159">
        <f>ROUND(+(D58+D60)/2*(C60-C58),3)</f>
        <v>7.0000000000000001E-3</v>
      </c>
      <c r="M58" s="162">
        <f>ROUND(+K58*L58,4)</f>
        <v>0</v>
      </c>
      <c r="N58" s="165">
        <f t="shared" ref="N58" si="77">ROUND(+M58/$M$71*100,1)</f>
        <v>0</v>
      </c>
      <c r="O58" s="168"/>
      <c r="P58" s="171"/>
    </row>
    <row r="59" spans="1:18" s="3" customFormat="1" ht="14.1" customHeight="1" x14ac:dyDescent="0.2">
      <c r="A59" s="11"/>
      <c r="B59" s="175"/>
      <c r="C59" s="178"/>
      <c r="D59" s="160"/>
      <c r="E59" s="160"/>
      <c r="F59" s="41" t="s">
        <v>72</v>
      </c>
      <c r="G59" s="178">
        <f t="shared" ref="G59" si="78">IF(E58&lt;0.12,0.6*E58,IF(E58&gt;=0.12,0.6*E58))</f>
        <v>1.4999999999999999E-2</v>
      </c>
      <c r="H59" s="178"/>
      <c r="I59" s="254">
        <v>4.0000000000000001E-3</v>
      </c>
      <c r="J59" s="254"/>
      <c r="K59" s="160"/>
      <c r="L59" s="160"/>
      <c r="M59" s="163"/>
      <c r="N59" s="166"/>
      <c r="O59" s="169"/>
      <c r="P59" s="172"/>
    </row>
    <row r="60" spans="1:18" s="3" customFormat="1" ht="13.9" customHeight="1" thickBot="1" x14ac:dyDescent="0.25">
      <c r="A60" s="11"/>
      <c r="B60" s="176"/>
      <c r="C60" s="42">
        <f>+C58+0.4</f>
        <v>3.8000000000000007</v>
      </c>
      <c r="D60" s="43">
        <v>0</v>
      </c>
      <c r="E60" s="161"/>
      <c r="F60" s="44" t="s">
        <v>73</v>
      </c>
      <c r="G60" s="179" t="str">
        <f t="shared" ref="G60" si="79">IF(E58&lt;0.12,"NA",IF(E58&gt;=0.12,0.8*E58))</f>
        <v>NA</v>
      </c>
      <c r="H60" s="179"/>
      <c r="I60" s="256"/>
      <c r="J60" s="256"/>
      <c r="K60" s="161"/>
      <c r="L60" s="161"/>
      <c r="M60" s="164"/>
      <c r="N60" s="167"/>
      <c r="O60" s="170"/>
      <c r="P60" s="173"/>
    </row>
    <row r="61" spans="1:18" s="3" customFormat="1" ht="14.1" customHeight="1" x14ac:dyDescent="0.25">
      <c r="A61" s="11"/>
      <c r="B61" s="193">
        <f>+B40</f>
        <v>9</v>
      </c>
      <c r="C61" s="192">
        <f>+C40</f>
        <v>2.1999999999999997</v>
      </c>
      <c r="D61" s="194">
        <f>+D40</f>
        <v>0.27200000000000002</v>
      </c>
      <c r="E61" s="194">
        <f>+E40</f>
        <v>0.27800000000000002</v>
      </c>
      <c r="F61" s="45" t="s">
        <v>29</v>
      </c>
      <c r="G61" s="190"/>
      <c r="H61" s="190"/>
      <c r="I61" s="191">
        <v>0.314</v>
      </c>
      <c r="J61" s="191"/>
      <c r="K61" s="194">
        <f>AVERAGE(I61:J70)</f>
        <v>0.30320000000000003</v>
      </c>
      <c r="L61" s="193">
        <f>ROUND(+(D61+D66)/2*(C66-C61),3)</f>
        <v>5.1999999999999998E-2</v>
      </c>
      <c r="M61" s="209">
        <f>ROUND(+K61*L61,4)</f>
        <v>1.5800000000000002E-2</v>
      </c>
      <c r="N61" s="193">
        <f>ROUND(+M61/$M$71*100,1)</f>
        <v>16.3</v>
      </c>
      <c r="O61" s="193"/>
      <c r="P61" s="193"/>
    </row>
    <row r="62" spans="1:18" s="3" customFormat="1" ht="14.1" customHeight="1" x14ac:dyDescent="0.25">
      <c r="A62" s="11"/>
      <c r="B62" s="193"/>
      <c r="C62" s="193"/>
      <c r="D62" s="194"/>
      <c r="E62" s="194"/>
      <c r="F62" s="45" t="s">
        <v>74</v>
      </c>
      <c r="G62" s="190">
        <f>+ROUND(0.1*$E$61,2)</f>
        <v>0.03</v>
      </c>
      <c r="H62" s="190"/>
      <c r="I62" s="191">
        <v>0.30399999999999999</v>
      </c>
      <c r="J62" s="191"/>
      <c r="K62" s="193"/>
      <c r="L62" s="193"/>
      <c r="M62" s="209"/>
      <c r="N62" s="193"/>
      <c r="O62" s="193"/>
      <c r="P62" s="193"/>
      <c r="R62" s="46"/>
    </row>
    <row r="63" spans="1:18" s="3" customFormat="1" ht="14.1" customHeight="1" x14ac:dyDescent="0.25">
      <c r="A63" s="11"/>
      <c r="B63" s="193"/>
      <c r="C63" s="193"/>
      <c r="D63" s="194"/>
      <c r="E63" s="194"/>
      <c r="F63" s="45" t="s">
        <v>71</v>
      </c>
      <c r="G63" s="190">
        <f>+ROUND(0.2*$E$61,2)</f>
        <v>0.06</v>
      </c>
      <c r="H63" s="190"/>
      <c r="I63" s="191">
        <v>0.34699999999999998</v>
      </c>
      <c r="J63" s="191"/>
      <c r="K63" s="193"/>
      <c r="L63" s="193"/>
      <c r="M63" s="209"/>
      <c r="N63" s="193"/>
      <c r="O63" s="193"/>
      <c r="P63" s="193"/>
      <c r="R63" s="46"/>
    </row>
    <row r="64" spans="1:18" s="3" customFormat="1" ht="14.1" customHeight="1" x14ac:dyDescent="0.25">
      <c r="A64" s="11"/>
      <c r="B64" s="193"/>
      <c r="C64" s="193"/>
      <c r="D64" s="194"/>
      <c r="E64" s="194"/>
      <c r="F64" s="45" t="s">
        <v>75</v>
      </c>
      <c r="G64" s="190">
        <f>+ROUND(0.3*$E$61,2)</f>
        <v>0.08</v>
      </c>
      <c r="H64" s="190"/>
      <c r="I64" s="191">
        <v>0.27200000000000002</v>
      </c>
      <c r="J64" s="191"/>
      <c r="K64" s="193"/>
      <c r="L64" s="193"/>
      <c r="M64" s="209"/>
      <c r="N64" s="193"/>
      <c r="O64" s="193"/>
      <c r="P64" s="193"/>
      <c r="R64" s="46"/>
    </row>
    <row r="65" spans="1:18" s="3" customFormat="1" ht="14.1" customHeight="1" x14ac:dyDescent="0.25">
      <c r="A65" s="11"/>
      <c r="B65" s="193"/>
      <c r="C65" s="193"/>
      <c r="D65" s="194"/>
      <c r="E65" s="194"/>
      <c r="F65" s="45" t="s">
        <v>76</v>
      </c>
      <c r="G65" s="190">
        <f>+ROUND(0.4*$E$61,2)</f>
        <v>0.11</v>
      </c>
      <c r="H65" s="190"/>
      <c r="I65" s="191">
        <v>0.29899999999999999</v>
      </c>
      <c r="J65" s="191"/>
      <c r="K65" s="193"/>
      <c r="L65" s="193"/>
      <c r="M65" s="209"/>
      <c r="N65" s="193"/>
      <c r="O65" s="193"/>
      <c r="P65" s="193"/>
      <c r="R65" s="46"/>
    </row>
    <row r="66" spans="1:18" s="3" customFormat="1" ht="14.1" customHeight="1" x14ac:dyDescent="0.25">
      <c r="A66" s="11"/>
      <c r="B66" s="193"/>
      <c r="C66" s="192">
        <f>+C42</f>
        <v>2.4</v>
      </c>
      <c r="D66" s="194">
        <f>+D42</f>
        <v>0.245</v>
      </c>
      <c r="E66" s="194"/>
      <c r="F66" s="45" t="s">
        <v>28</v>
      </c>
      <c r="G66" s="190">
        <f>+ROUND(0.5*$E$61,2)</f>
        <v>0.14000000000000001</v>
      </c>
      <c r="H66" s="190"/>
      <c r="I66" s="191">
        <v>0.313</v>
      </c>
      <c r="J66" s="191"/>
      <c r="K66" s="193"/>
      <c r="L66" s="193"/>
      <c r="M66" s="209"/>
      <c r="N66" s="193"/>
      <c r="O66" s="193"/>
      <c r="P66" s="193"/>
      <c r="R66" s="46"/>
    </row>
    <row r="67" spans="1:18" s="3" customFormat="1" ht="14.1" customHeight="1" x14ac:dyDescent="0.25">
      <c r="A67" s="11"/>
      <c r="B67" s="193"/>
      <c r="C67" s="193"/>
      <c r="D67" s="194"/>
      <c r="E67" s="194"/>
      <c r="F67" s="45" t="s">
        <v>72</v>
      </c>
      <c r="G67" s="190">
        <f>+ROUND(0.6*$E$61,2)</f>
        <v>0.17</v>
      </c>
      <c r="H67" s="190"/>
      <c r="I67" s="191">
        <v>0.32</v>
      </c>
      <c r="J67" s="191"/>
      <c r="K67" s="193"/>
      <c r="L67" s="193"/>
      <c r="M67" s="209"/>
      <c r="N67" s="193"/>
      <c r="O67" s="193"/>
      <c r="P67" s="193"/>
      <c r="R67" s="46"/>
    </row>
    <row r="68" spans="1:18" s="3" customFormat="1" ht="14.1" customHeight="1" x14ac:dyDescent="0.25">
      <c r="A68" s="11"/>
      <c r="B68" s="193"/>
      <c r="C68" s="193"/>
      <c r="D68" s="194"/>
      <c r="E68" s="194"/>
      <c r="F68" s="45" t="s">
        <v>77</v>
      </c>
      <c r="G68" s="190">
        <f>+ROUND(0.7*$E$61,2)</f>
        <v>0.19</v>
      </c>
      <c r="H68" s="190"/>
      <c r="I68" s="191">
        <v>0.28799999999999998</v>
      </c>
      <c r="J68" s="191"/>
      <c r="K68" s="193"/>
      <c r="L68" s="193"/>
      <c r="M68" s="209"/>
      <c r="N68" s="193"/>
      <c r="O68" s="193"/>
      <c r="P68" s="193"/>
      <c r="R68" s="46"/>
    </row>
    <row r="69" spans="1:18" s="3" customFormat="1" ht="14.1" customHeight="1" x14ac:dyDescent="0.25">
      <c r="A69" s="11"/>
      <c r="B69" s="193"/>
      <c r="C69" s="193"/>
      <c r="D69" s="194"/>
      <c r="E69" s="194"/>
      <c r="F69" s="45" t="s">
        <v>73</v>
      </c>
      <c r="G69" s="190">
        <f>+ROUND(0.8*$E$61,2)</f>
        <v>0.22</v>
      </c>
      <c r="H69" s="190"/>
      <c r="I69" s="191">
        <v>0.32500000000000001</v>
      </c>
      <c r="J69" s="191"/>
      <c r="K69" s="193"/>
      <c r="L69" s="193"/>
      <c r="M69" s="209"/>
      <c r="N69" s="193"/>
      <c r="O69" s="193"/>
      <c r="P69" s="193"/>
      <c r="R69" s="46"/>
    </row>
    <row r="70" spans="1:18" s="3" customFormat="1" x14ac:dyDescent="0.25">
      <c r="A70" s="11"/>
      <c r="B70" s="193"/>
      <c r="C70" s="193"/>
      <c r="D70" s="194"/>
      <c r="E70" s="194"/>
      <c r="F70" s="45" t="s">
        <v>78</v>
      </c>
      <c r="G70" s="190">
        <f>+ROUND(0.9*$E$61,2)</f>
        <v>0.25</v>
      </c>
      <c r="H70" s="190"/>
      <c r="I70" s="191">
        <v>0.25</v>
      </c>
      <c r="J70" s="191"/>
      <c r="K70" s="193"/>
      <c r="L70" s="193"/>
      <c r="M70" s="209"/>
      <c r="N70" s="193"/>
      <c r="O70" s="193"/>
      <c r="P70" s="193"/>
      <c r="R70" s="46"/>
    </row>
    <row r="71" spans="1:18" s="3" customFormat="1" ht="12.75" x14ac:dyDescent="0.2">
      <c r="A71" s="11"/>
      <c r="B71" s="195" t="s">
        <v>30</v>
      </c>
      <c r="C71" s="196"/>
      <c r="D71" s="196"/>
      <c r="E71" s="196"/>
      <c r="F71" s="196"/>
      <c r="G71" s="196"/>
      <c r="H71" s="196"/>
      <c r="I71" s="196"/>
      <c r="J71" s="196"/>
      <c r="K71" s="47">
        <f>ROUND(+M71/L71,3)</f>
        <v>0.22500000000000001</v>
      </c>
      <c r="L71" s="15">
        <f>SUM(L16:L70)</f>
        <v>0.432</v>
      </c>
      <c r="M71" s="14">
        <f>SUM(M16:M70)</f>
        <v>9.7000000000000003E-2</v>
      </c>
      <c r="N71" s="12">
        <f>ROUND(SUM(N16:N70),0)</f>
        <v>100</v>
      </c>
      <c r="O71" s="199" t="s">
        <v>31</v>
      </c>
      <c r="P71" s="201"/>
    </row>
    <row r="72" spans="1:18" s="3" customFormat="1" ht="15" customHeight="1" thickBot="1" x14ac:dyDescent="0.25">
      <c r="A72" s="11"/>
      <c r="B72" s="197"/>
      <c r="C72" s="198"/>
      <c r="D72" s="198"/>
      <c r="E72" s="198"/>
      <c r="F72" s="198"/>
      <c r="G72" s="198"/>
      <c r="H72" s="198"/>
      <c r="I72" s="198"/>
      <c r="J72" s="198"/>
      <c r="K72" s="13" t="s">
        <v>32</v>
      </c>
      <c r="L72" s="13" t="s">
        <v>48</v>
      </c>
      <c r="M72" s="13" t="s">
        <v>49</v>
      </c>
      <c r="N72" s="13" t="s">
        <v>33</v>
      </c>
      <c r="O72" s="200"/>
      <c r="P72" s="202"/>
    </row>
    <row r="73" spans="1:18" ht="69.599999999999994" customHeight="1" thickBot="1" x14ac:dyDescent="0.3">
      <c r="A73" s="48"/>
      <c r="B73" s="203" t="s">
        <v>27</v>
      </c>
      <c r="C73" s="204"/>
      <c r="D73" s="204"/>
      <c r="E73" s="204"/>
      <c r="F73" s="204"/>
      <c r="G73" s="204"/>
      <c r="H73" s="204"/>
      <c r="I73" s="204"/>
      <c r="J73" s="204"/>
      <c r="K73" s="204"/>
      <c r="L73" s="204"/>
      <c r="M73" s="204"/>
      <c r="N73" s="204"/>
      <c r="O73" s="204"/>
      <c r="P73" s="205"/>
    </row>
    <row r="74" spans="1:18" ht="15" customHeight="1" thickBot="1" x14ac:dyDescent="0.3">
      <c r="A74" s="5"/>
      <c r="B74" s="206" t="s">
        <v>79</v>
      </c>
      <c r="C74" s="207"/>
      <c r="D74" s="207"/>
      <c r="E74" s="207"/>
      <c r="F74" s="207"/>
      <c r="G74" s="207" t="s">
        <v>80</v>
      </c>
      <c r="H74" s="207"/>
      <c r="I74" s="207"/>
      <c r="J74" s="207"/>
      <c r="K74" s="207"/>
      <c r="L74" s="207"/>
      <c r="M74" s="207" t="s">
        <v>81</v>
      </c>
      <c r="N74" s="207"/>
      <c r="O74" s="207"/>
      <c r="P74" s="208"/>
    </row>
    <row r="75" spans="1:18" ht="15" customHeight="1" thickBot="1" x14ac:dyDescent="0.3">
      <c r="A75" s="5"/>
      <c r="B75" s="210"/>
      <c r="C75" s="211"/>
      <c r="D75" s="211"/>
      <c r="E75" s="211"/>
      <c r="F75" s="211"/>
      <c r="G75" s="211"/>
      <c r="H75" s="211"/>
      <c r="I75" s="212"/>
      <c r="J75" s="216" t="s">
        <v>51</v>
      </c>
      <c r="K75" s="217"/>
      <c r="L75" s="217"/>
      <c r="M75" s="217"/>
      <c r="N75" s="217"/>
      <c r="O75" s="217"/>
      <c r="P75" s="218"/>
    </row>
    <row r="76" spans="1:18" ht="18.600000000000001" customHeight="1" thickBot="1" x14ac:dyDescent="0.3">
      <c r="A76" s="6"/>
      <c r="B76" s="210"/>
      <c r="C76" s="211"/>
      <c r="D76" s="211"/>
      <c r="E76" s="211"/>
      <c r="F76" s="211"/>
      <c r="G76" s="211"/>
      <c r="H76" s="211"/>
      <c r="I76" s="212"/>
      <c r="J76" s="49" t="s">
        <v>82</v>
      </c>
      <c r="K76" s="219" t="s">
        <v>52</v>
      </c>
      <c r="L76" s="219"/>
      <c r="M76" s="219"/>
      <c r="N76" s="219"/>
      <c r="O76" s="219"/>
      <c r="P76" s="220"/>
    </row>
    <row r="77" spans="1:18" ht="97.15" customHeight="1" thickBot="1" x14ac:dyDescent="0.3">
      <c r="A77" s="10"/>
      <c r="B77" s="210"/>
      <c r="C77" s="211"/>
      <c r="D77" s="211"/>
      <c r="E77" s="211"/>
      <c r="F77" s="211"/>
      <c r="G77" s="211"/>
      <c r="H77" s="211"/>
      <c r="I77" s="212"/>
      <c r="J77" s="221" t="s">
        <v>95</v>
      </c>
      <c r="K77" s="222"/>
      <c r="L77" s="222"/>
      <c r="M77" s="222"/>
      <c r="N77" s="222"/>
      <c r="O77" s="222"/>
      <c r="P77" s="223"/>
    </row>
    <row r="78" spans="1:18" ht="15" customHeight="1" thickBot="1" x14ac:dyDescent="0.3">
      <c r="A78" s="5"/>
      <c r="B78" s="210"/>
      <c r="C78" s="211"/>
      <c r="D78" s="211"/>
      <c r="E78" s="211"/>
      <c r="F78" s="211"/>
      <c r="G78" s="211"/>
      <c r="H78" s="211"/>
      <c r="I78" s="212"/>
      <c r="J78" s="224" t="s">
        <v>34</v>
      </c>
      <c r="K78" s="225"/>
      <c r="L78" s="225"/>
      <c r="M78" s="225"/>
      <c r="N78" s="226"/>
      <c r="O78" s="227">
        <v>5.57</v>
      </c>
      <c r="P78" s="228"/>
    </row>
    <row r="79" spans="1:18" ht="15.75" thickBot="1" x14ac:dyDescent="0.3">
      <c r="A79" s="5"/>
      <c r="B79" s="210"/>
      <c r="C79" s="211"/>
      <c r="D79" s="211"/>
      <c r="E79" s="211"/>
      <c r="F79" s="211"/>
      <c r="G79" s="211"/>
      <c r="H79" s="211"/>
      <c r="I79" s="212"/>
      <c r="J79" s="229" t="s">
        <v>50</v>
      </c>
      <c r="K79" s="230"/>
      <c r="L79" s="230"/>
      <c r="M79" s="230"/>
      <c r="N79" s="231"/>
      <c r="O79" s="227">
        <v>0.39140000000000003</v>
      </c>
      <c r="P79" s="228"/>
    </row>
    <row r="80" spans="1:18" ht="14.45" customHeight="1" thickBot="1" x14ac:dyDescent="0.3">
      <c r="A80" s="5"/>
      <c r="B80" s="213"/>
      <c r="C80" s="214"/>
      <c r="D80" s="214"/>
      <c r="E80" s="214"/>
      <c r="F80" s="214"/>
      <c r="G80" s="214"/>
      <c r="H80" s="214"/>
      <c r="I80" s="215"/>
      <c r="J80" s="232" t="s">
        <v>86</v>
      </c>
      <c r="K80" s="233"/>
      <c r="L80" s="233"/>
      <c r="M80" s="233"/>
      <c r="N80" s="233"/>
      <c r="O80" s="233"/>
      <c r="P80" s="234"/>
    </row>
    <row r="81" spans="1:16" ht="14.45" customHeight="1" thickBot="1" x14ac:dyDescent="0.3">
      <c r="A81" s="7"/>
      <c r="B81" s="240"/>
      <c r="C81" s="240"/>
      <c r="D81" s="240"/>
      <c r="E81" s="240"/>
      <c r="F81" s="240"/>
      <c r="G81" s="240"/>
      <c r="H81" s="240"/>
      <c r="I81" s="240"/>
      <c r="J81" s="240"/>
      <c r="K81" s="240"/>
      <c r="L81" s="240"/>
      <c r="M81" s="240"/>
      <c r="N81" s="240"/>
      <c r="O81" s="240"/>
      <c r="P81" s="241"/>
    </row>
    <row r="82" spans="1:16" ht="15.75" thickBot="1" x14ac:dyDescent="0.3">
      <c r="A82" s="242" t="s">
        <v>35</v>
      </c>
      <c r="B82" s="243"/>
      <c r="C82" s="243"/>
      <c r="D82" s="243"/>
      <c r="E82" s="243"/>
      <c r="F82" s="243"/>
      <c r="G82" s="243"/>
      <c r="H82" s="243"/>
      <c r="I82" s="243"/>
      <c r="J82" s="243"/>
      <c r="K82" s="243"/>
      <c r="L82" s="243"/>
      <c r="M82" s="243"/>
      <c r="N82" s="243"/>
      <c r="O82" s="243"/>
      <c r="P82" s="244"/>
    </row>
    <row r="83" spans="1:16" ht="141.6" customHeight="1" thickBot="1" x14ac:dyDescent="0.3">
      <c r="A83" s="4"/>
      <c r="B83" s="245"/>
      <c r="C83" s="246"/>
      <c r="D83" s="246"/>
      <c r="E83" s="246"/>
      <c r="F83" s="247"/>
      <c r="G83" s="245"/>
      <c r="H83" s="246"/>
      <c r="I83" s="246"/>
      <c r="J83" s="246"/>
      <c r="K83" s="246"/>
      <c r="L83" s="247"/>
      <c r="M83" s="245"/>
      <c r="N83" s="246"/>
      <c r="O83" s="246"/>
      <c r="P83" s="247"/>
    </row>
    <row r="84" spans="1:16" s="9" customFormat="1" ht="13.9" customHeight="1" thickBot="1" x14ac:dyDescent="0.3">
      <c r="A84" s="8" t="s">
        <v>87</v>
      </c>
      <c r="B84" s="248" t="s">
        <v>98</v>
      </c>
      <c r="C84" s="235"/>
      <c r="D84" s="235"/>
      <c r="E84" s="235"/>
      <c r="F84" s="236"/>
      <c r="G84" s="248" t="s">
        <v>89</v>
      </c>
      <c r="H84" s="235"/>
      <c r="I84" s="235"/>
      <c r="J84" s="235"/>
      <c r="K84" s="235"/>
      <c r="L84" s="236"/>
      <c r="M84" s="248" t="s">
        <v>90</v>
      </c>
      <c r="N84" s="235"/>
      <c r="O84" s="235"/>
      <c r="P84" s="236"/>
    </row>
    <row r="85" spans="1:16" s="9" customFormat="1" ht="52.15" customHeight="1" thickBot="1" x14ac:dyDescent="0.3">
      <c r="A85" s="8"/>
      <c r="B85" s="235"/>
      <c r="C85" s="235"/>
      <c r="D85" s="235"/>
      <c r="E85" s="235"/>
      <c r="F85" s="235"/>
      <c r="G85" s="235"/>
      <c r="H85" s="235"/>
      <c r="I85" s="235"/>
      <c r="J85" s="235"/>
      <c r="K85" s="235"/>
      <c r="L85" s="235"/>
      <c r="M85" s="235"/>
      <c r="N85" s="235"/>
      <c r="O85" s="235"/>
      <c r="P85" s="236"/>
    </row>
    <row r="86" spans="1:16" s="3" customFormat="1" ht="15.75" customHeight="1" thickBot="1" x14ac:dyDescent="0.25">
      <c r="A86" s="237" t="s">
        <v>36</v>
      </c>
      <c r="B86" s="238"/>
      <c r="C86" s="238"/>
      <c r="D86" s="238" t="s">
        <v>93</v>
      </c>
      <c r="E86" s="238"/>
      <c r="F86" s="238"/>
      <c r="G86" s="238"/>
      <c r="H86" s="238"/>
      <c r="I86" s="238"/>
      <c r="J86" s="238" t="s">
        <v>37</v>
      </c>
      <c r="K86" s="238"/>
      <c r="L86" s="238"/>
      <c r="M86" s="238"/>
      <c r="N86" s="238"/>
      <c r="O86" s="238"/>
      <c r="P86" s="239"/>
    </row>
  </sheetData>
  <mergeCells count="348">
    <mergeCell ref="B85:P85"/>
    <mergeCell ref="A86:C86"/>
    <mergeCell ref="D86:I86"/>
    <mergeCell ref="J86:K86"/>
    <mergeCell ref="L86:P86"/>
    <mergeCell ref="B81:P81"/>
    <mergeCell ref="A82:P82"/>
    <mergeCell ref="B83:F83"/>
    <mergeCell ref="G83:L83"/>
    <mergeCell ref="M83:P83"/>
    <mergeCell ref="B84:F84"/>
    <mergeCell ref="G84:L84"/>
    <mergeCell ref="M84:P84"/>
    <mergeCell ref="B75:I80"/>
    <mergeCell ref="J75:P75"/>
    <mergeCell ref="K76:P76"/>
    <mergeCell ref="J77:P77"/>
    <mergeCell ref="J78:N78"/>
    <mergeCell ref="O78:P78"/>
    <mergeCell ref="J79:N79"/>
    <mergeCell ref="O79:P79"/>
    <mergeCell ref="J80:P80"/>
    <mergeCell ref="B71:J72"/>
    <mergeCell ref="O71:O72"/>
    <mergeCell ref="P71:P72"/>
    <mergeCell ref="B73:P73"/>
    <mergeCell ref="B74:F74"/>
    <mergeCell ref="G74:L74"/>
    <mergeCell ref="M74:P74"/>
    <mergeCell ref="G68:H68"/>
    <mergeCell ref="I68:J68"/>
    <mergeCell ref="G69:H69"/>
    <mergeCell ref="I69:J69"/>
    <mergeCell ref="G70:H70"/>
    <mergeCell ref="I70:J70"/>
    <mergeCell ref="K61:K70"/>
    <mergeCell ref="L61:L70"/>
    <mergeCell ref="M61:M70"/>
    <mergeCell ref="N61:N70"/>
    <mergeCell ref="O61:O70"/>
    <mergeCell ref="P61:P70"/>
    <mergeCell ref="B61:B70"/>
    <mergeCell ref="G64:H64"/>
    <mergeCell ref="I64:J64"/>
    <mergeCell ref="G65:H65"/>
    <mergeCell ref="I65:J65"/>
    <mergeCell ref="C66:C70"/>
    <mergeCell ref="D66:D70"/>
    <mergeCell ref="G66:H66"/>
    <mergeCell ref="I66:J66"/>
    <mergeCell ref="G67:H67"/>
    <mergeCell ref="I67:J67"/>
    <mergeCell ref="C61:C65"/>
    <mergeCell ref="D61:D65"/>
    <mergeCell ref="E61:E70"/>
    <mergeCell ref="G61:H61"/>
    <mergeCell ref="I61:J61"/>
    <mergeCell ref="G62:H62"/>
    <mergeCell ref="I62:J62"/>
    <mergeCell ref="G63:H63"/>
    <mergeCell ref="I63:J63"/>
    <mergeCell ref="K58:K60"/>
    <mergeCell ref="L58:L60"/>
    <mergeCell ref="M58:M60"/>
    <mergeCell ref="N58:N60"/>
    <mergeCell ref="O58:O60"/>
    <mergeCell ref="P58:P60"/>
    <mergeCell ref="B58:B60"/>
    <mergeCell ref="C58:C59"/>
    <mergeCell ref="D58:D59"/>
    <mergeCell ref="E58:E60"/>
    <mergeCell ref="G58:H58"/>
    <mergeCell ref="I58:J58"/>
    <mergeCell ref="G59:H59"/>
    <mergeCell ref="I59:J59"/>
    <mergeCell ref="G60:H60"/>
    <mergeCell ref="I60:J60"/>
    <mergeCell ref="K55:K57"/>
    <mergeCell ref="L55:L57"/>
    <mergeCell ref="M55:M57"/>
    <mergeCell ref="N55:N57"/>
    <mergeCell ref="O55:O57"/>
    <mergeCell ref="P55:P57"/>
    <mergeCell ref="B55:B57"/>
    <mergeCell ref="C55:C56"/>
    <mergeCell ref="D55:D56"/>
    <mergeCell ref="E55:E57"/>
    <mergeCell ref="G55:H55"/>
    <mergeCell ref="I55:J55"/>
    <mergeCell ref="G56:H56"/>
    <mergeCell ref="I56:J56"/>
    <mergeCell ref="G57:H57"/>
    <mergeCell ref="I57:J57"/>
    <mergeCell ref="K52:K54"/>
    <mergeCell ref="L52:L54"/>
    <mergeCell ref="M52:M54"/>
    <mergeCell ref="N52:N54"/>
    <mergeCell ref="O52:O54"/>
    <mergeCell ref="P52:P54"/>
    <mergeCell ref="B52:B54"/>
    <mergeCell ref="C52:C53"/>
    <mergeCell ref="D52:D53"/>
    <mergeCell ref="E52:E54"/>
    <mergeCell ref="G52:H52"/>
    <mergeCell ref="I52:J52"/>
    <mergeCell ref="G53:H53"/>
    <mergeCell ref="I53:J53"/>
    <mergeCell ref="G54:H54"/>
    <mergeCell ref="I54:J54"/>
    <mergeCell ref="K49:K51"/>
    <mergeCell ref="L49:L51"/>
    <mergeCell ref="M49:M51"/>
    <mergeCell ref="N49:N51"/>
    <mergeCell ref="O49:O51"/>
    <mergeCell ref="P49:P51"/>
    <mergeCell ref="B49:B51"/>
    <mergeCell ref="C49:C50"/>
    <mergeCell ref="D49:D50"/>
    <mergeCell ref="E49:E51"/>
    <mergeCell ref="G49:H49"/>
    <mergeCell ref="I49:J49"/>
    <mergeCell ref="G50:H50"/>
    <mergeCell ref="I50:J50"/>
    <mergeCell ref="G51:H51"/>
    <mergeCell ref="I51:J51"/>
    <mergeCell ref="K46:K48"/>
    <mergeCell ref="L46:L48"/>
    <mergeCell ref="M46:M48"/>
    <mergeCell ref="N46:N48"/>
    <mergeCell ref="O46:O48"/>
    <mergeCell ref="P46:P48"/>
    <mergeCell ref="B46:B48"/>
    <mergeCell ref="C46:C47"/>
    <mergeCell ref="D46:D47"/>
    <mergeCell ref="E46:E48"/>
    <mergeCell ref="G46:H46"/>
    <mergeCell ref="I46:J46"/>
    <mergeCell ref="G47:H47"/>
    <mergeCell ref="I47:J47"/>
    <mergeCell ref="G48:H48"/>
    <mergeCell ref="I48:J48"/>
    <mergeCell ref="K43:K45"/>
    <mergeCell ref="L43:L45"/>
    <mergeCell ref="M43:M45"/>
    <mergeCell ref="N43:N45"/>
    <mergeCell ref="O43:O45"/>
    <mergeCell ref="P43:P45"/>
    <mergeCell ref="B43:B45"/>
    <mergeCell ref="C43:C44"/>
    <mergeCell ref="D43:D44"/>
    <mergeCell ref="E43:E45"/>
    <mergeCell ref="G43:H43"/>
    <mergeCell ref="I43:J43"/>
    <mergeCell ref="G44:H44"/>
    <mergeCell ref="I44:J44"/>
    <mergeCell ref="G45:H45"/>
    <mergeCell ref="I45:J45"/>
    <mergeCell ref="K40:K42"/>
    <mergeCell ref="L40:L42"/>
    <mergeCell ref="M40:M42"/>
    <mergeCell ref="N40:N42"/>
    <mergeCell ref="O40:O42"/>
    <mergeCell ref="P40:P42"/>
    <mergeCell ref="B40:B42"/>
    <mergeCell ref="C40:C41"/>
    <mergeCell ref="D40:D41"/>
    <mergeCell ref="E40:E42"/>
    <mergeCell ref="G40:H40"/>
    <mergeCell ref="I40:J40"/>
    <mergeCell ref="G41:H41"/>
    <mergeCell ref="I41:J41"/>
    <mergeCell ref="G42:H42"/>
    <mergeCell ref="I42:J42"/>
    <mergeCell ref="K37:K39"/>
    <mergeCell ref="L37:L39"/>
    <mergeCell ref="M37:M39"/>
    <mergeCell ref="N37:N39"/>
    <mergeCell ref="O37:O39"/>
    <mergeCell ref="P37:P39"/>
    <mergeCell ref="B37:B39"/>
    <mergeCell ref="C37:C38"/>
    <mergeCell ref="D37:D38"/>
    <mergeCell ref="E37:E39"/>
    <mergeCell ref="G37:H37"/>
    <mergeCell ref="I37:J37"/>
    <mergeCell ref="G38:H38"/>
    <mergeCell ref="I38:J38"/>
    <mergeCell ref="G39:H39"/>
    <mergeCell ref="I39:J39"/>
    <mergeCell ref="K34:K36"/>
    <mergeCell ref="L34:L36"/>
    <mergeCell ref="M34:M36"/>
    <mergeCell ref="N34:N36"/>
    <mergeCell ref="O34:O36"/>
    <mergeCell ref="P34:P36"/>
    <mergeCell ref="B34:B36"/>
    <mergeCell ref="C34:C35"/>
    <mergeCell ref="D34:D35"/>
    <mergeCell ref="E34:E36"/>
    <mergeCell ref="G34:H34"/>
    <mergeCell ref="I34:J34"/>
    <mergeCell ref="G35:H35"/>
    <mergeCell ref="I35:J35"/>
    <mergeCell ref="G36:H36"/>
    <mergeCell ref="I36:J36"/>
    <mergeCell ref="K31:K33"/>
    <mergeCell ref="L31:L33"/>
    <mergeCell ref="M31:M33"/>
    <mergeCell ref="N31:N33"/>
    <mergeCell ref="O31:O33"/>
    <mergeCell ref="P31:P33"/>
    <mergeCell ref="B31:B33"/>
    <mergeCell ref="C31:C32"/>
    <mergeCell ref="D31:D32"/>
    <mergeCell ref="E31:E33"/>
    <mergeCell ref="G31:H31"/>
    <mergeCell ref="I31:J31"/>
    <mergeCell ref="G32:H32"/>
    <mergeCell ref="I32:J32"/>
    <mergeCell ref="G33:H33"/>
    <mergeCell ref="I33:J33"/>
    <mergeCell ref="K28:K30"/>
    <mergeCell ref="L28:L30"/>
    <mergeCell ref="M28:M30"/>
    <mergeCell ref="N28:N30"/>
    <mergeCell ref="O28:O30"/>
    <mergeCell ref="P28:P30"/>
    <mergeCell ref="B28:B30"/>
    <mergeCell ref="C28:C29"/>
    <mergeCell ref="D28:D29"/>
    <mergeCell ref="E28:E30"/>
    <mergeCell ref="G28:H28"/>
    <mergeCell ref="I28:J28"/>
    <mergeCell ref="G29:H29"/>
    <mergeCell ref="I29:J29"/>
    <mergeCell ref="G30:H30"/>
    <mergeCell ref="I30:J30"/>
    <mergeCell ref="K25:K27"/>
    <mergeCell ref="L25:L27"/>
    <mergeCell ref="M25:M27"/>
    <mergeCell ref="N25:N27"/>
    <mergeCell ref="O25:O27"/>
    <mergeCell ref="P25:P27"/>
    <mergeCell ref="B25:B27"/>
    <mergeCell ref="C25:C26"/>
    <mergeCell ref="D25:D26"/>
    <mergeCell ref="E25:E27"/>
    <mergeCell ref="G25:H25"/>
    <mergeCell ref="I25:J25"/>
    <mergeCell ref="G26:H26"/>
    <mergeCell ref="I26:J26"/>
    <mergeCell ref="G27:H27"/>
    <mergeCell ref="I27:J27"/>
    <mergeCell ref="K22:K24"/>
    <mergeCell ref="L22:L24"/>
    <mergeCell ref="M22:M24"/>
    <mergeCell ref="N22:N24"/>
    <mergeCell ref="O22:O24"/>
    <mergeCell ref="P22:P24"/>
    <mergeCell ref="B22:B24"/>
    <mergeCell ref="C22:C23"/>
    <mergeCell ref="D22:D23"/>
    <mergeCell ref="E22:E24"/>
    <mergeCell ref="G22:H22"/>
    <mergeCell ref="I22:J22"/>
    <mergeCell ref="G23:H23"/>
    <mergeCell ref="I23:J23"/>
    <mergeCell ref="G24:H24"/>
    <mergeCell ref="I24:J24"/>
    <mergeCell ref="K19:K21"/>
    <mergeCell ref="L19:L21"/>
    <mergeCell ref="M19:M21"/>
    <mergeCell ref="N19:N21"/>
    <mergeCell ref="O19:O21"/>
    <mergeCell ref="P19:P21"/>
    <mergeCell ref="B19:B21"/>
    <mergeCell ref="C19:C20"/>
    <mergeCell ref="D19:D20"/>
    <mergeCell ref="E19:E21"/>
    <mergeCell ref="G19:H19"/>
    <mergeCell ref="I19:J19"/>
    <mergeCell ref="G20:H20"/>
    <mergeCell ref="I20:J20"/>
    <mergeCell ref="G21:H21"/>
    <mergeCell ref="I21:J21"/>
    <mergeCell ref="M16:M18"/>
    <mergeCell ref="N16:N18"/>
    <mergeCell ref="O16:O18"/>
    <mergeCell ref="P16:P18"/>
    <mergeCell ref="B16:B18"/>
    <mergeCell ref="C16:C17"/>
    <mergeCell ref="D16:D17"/>
    <mergeCell ref="E16:E18"/>
    <mergeCell ref="G16:H16"/>
    <mergeCell ref="I16:J16"/>
    <mergeCell ref="G17:H17"/>
    <mergeCell ref="I17:J17"/>
    <mergeCell ref="G18:H18"/>
    <mergeCell ref="I18:J18"/>
    <mergeCell ref="B14:B15"/>
    <mergeCell ref="C14:C15"/>
    <mergeCell ref="D14:D15"/>
    <mergeCell ref="E14:E15"/>
    <mergeCell ref="F14:H15"/>
    <mergeCell ref="I14:J14"/>
    <mergeCell ref="I15:J15"/>
    <mergeCell ref="K16:K18"/>
    <mergeCell ref="L16:L18"/>
    <mergeCell ref="B11:B13"/>
    <mergeCell ref="C11:E11"/>
    <mergeCell ref="G11:K11"/>
    <mergeCell ref="L11:L13"/>
    <mergeCell ref="M11:P11"/>
    <mergeCell ref="C12:E12"/>
    <mergeCell ref="G12:K13"/>
    <mergeCell ref="M12:P12"/>
    <mergeCell ref="C13:F13"/>
    <mergeCell ref="M13:P13"/>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O2:P3"/>
    <mergeCell ref="B4:P4"/>
    <mergeCell ref="C5:D5"/>
    <mergeCell ref="E5:F5"/>
    <mergeCell ref="H5:I5"/>
    <mergeCell ref="J5:P5"/>
    <mergeCell ref="B2:D3"/>
    <mergeCell ref="E2:N3"/>
    <mergeCell ref="B6:C6"/>
    <mergeCell ref="D6:J6"/>
    <mergeCell ref="K6:L6"/>
    <mergeCell ref="M6:N6"/>
    <mergeCell ref="O6:P6"/>
  </mergeCells>
  <printOptions horizontalCentered="1"/>
  <pageMargins left="0.35433070866141736" right="0.23622047244094491" top="0.74803149606299213" bottom="0.74803149606299213" header="0.19685039370078741" footer="0.31496062992125984"/>
  <pageSetup scale="76" fitToHeight="0" orientation="portrait" r:id="rId1"/>
  <headerFooter>
    <oddHeader>&amp;C&amp;"-,Negrita Cursiva"&amp;12Protocolo integrado de aforo en ríos de montaña 
Universidad Nacional de Colombia-Sede Manizales</oddHeader>
  </headerFooter>
  <rowBreaks count="2" manualBreakCount="2">
    <brk id="60" min="1" max="15" man="1"/>
    <brk id="72" min="1" max="15" man="1"/>
  </rowBreaks>
  <drawing r:id="rId2"/>
  <pictur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86"/>
  <sheetViews>
    <sheetView tabSelected="1" view="pageBreakPreview" zoomScaleSheetLayoutView="100" zoomScalePageLayoutView="110" workbookViewId="0">
      <selection activeCell="A2" sqref="A2:XFD3"/>
    </sheetView>
  </sheetViews>
  <sheetFormatPr baseColWidth="10" defaultColWidth="11.42578125" defaultRowHeight="15" x14ac:dyDescent="0.25"/>
  <cols>
    <col min="1" max="1" width="0.140625" customWidth="1"/>
    <col min="2" max="2" width="6.7109375" customWidth="1"/>
    <col min="3" max="3" width="7.42578125" customWidth="1"/>
    <col min="4" max="4" width="11" bestFit="1" customWidth="1"/>
    <col min="5" max="5" width="6.85546875" customWidth="1"/>
    <col min="6" max="6" width="8.7109375" customWidth="1"/>
    <col min="7" max="7" width="6.7109375" customWidth="1"/>
    <col min="8" max="8" width="5.7109375" customWidth="1"/>
    <col min="9" max="9" width="6.85546875" customWidth="1"/>
    <col min="10" max="10" width="7.140625" customWidth="1"/>
    <col min="11" max="11" width="12" bestFit="1" customWidth="1"/>
    <col min="12" max="12" width="8" bestFit="1" customWidth="1"/>
    <col min="13" max="13" width="11" bestFit="1" customWidth="1"/>
    <col min="14" max="14" width="10.7109375" customWidth="1"/>
    <col min="15" max="16" width="11.7109375" customWidth="1"/>
  </cols>
  <sheetData>
    <row r="1" spans="1:16" ht="4.9000000000000004" customHeight="1" thickBot="1" x14ac:dyDescent="0.3"/>
    <row r="2" spans="1:16" s="2" customFormat="1" ht="30" customHeight="1" x14ac:dyDescent="0.25">
      <c r="A2" s="16"/>
      <c r="B2" s="77"/>
      <c r="C2" s="78"/>
      <c r="D2" s="79"/>
      <c r="E2" s="83" t="s">
        <v>54</v>
      </c>
      <c r="F2" s="84"/>
      <c r="G2" s="84"/>
      <c r="H2" s="84"/>
      <c r="I2" s="84"/>
      <c r="J2" s="84"/>
      <c r="K2" s="84"/>
      <c r="L2" s="84"/>
      <c r="M2" s="84"/>
      <c r="N2" s="84"/>
      <c r="O2" s="67"/>
      <c r="P2" s="68"/>
    </row>
    <row r="3" spans="1:16" s="2" customFormat="1" ht="20.45" customHeight="1" thickBot="1" x14ac:dyDescent="0.3">
      <c r="A3" s="16"/>
      <c r="B3" s="80"/>
      <c r="C3" s="81"/>
      <c r="D3" s="82"/>
      <c r="E3" s="85"/>
      <c r="F3" s="86"/>
      <c r="G3" s="86"/>
      <c r="H3" s="86"/>
      <c r="I3" s="86"/>
      <c r="J3" s="86"/>
      <c r="K3" s="86"/>
      <c r="L3" s="86"/>
      <c r="M3" s="86"/>
      <c r="N3" s="86"/>
      <c r="O3" s="69"/>
      <c r="P3" s="70"/>
    </row>
    <row r="4" spans="1:16" s="2" customFormat="1" ht="4.9000000000000004" customHeight="1" thickBot="1" x14ac:dyDescent="0.3">
      <c r="A4" s="16"/>
      <c r="B4" s="71"/>
      <c r="C4" s="71"/>
      <c r="D4" s="71"/>
      <c r="E4" s="71"/>
      <c r="F4" s="71"/>
      <c r="G4" s="71"/>
      <c r="H4" s="71"/>
      <c r="I4" s="71"/>
      <c r="J4" s="71"/>
      <c r="K4" s="71"/>
      <c r="L4" s="71"/>
      <c r="M4" s="71"/>
      <c r="N4" s="71"/>
      <c r="O4" s="71"/>
      <c r="P4" s="71"/>
    </row>
    <row r="5" spans="1:16" s="18" customFormat="1" ht="24.75" customHeight="1" thickBot="1" x14ac:dyDescent="0.25">
      <c r="A5" s="17"/>
      <c r="B5" s="56" t="s">
        <v>0</v>
      </c>
      <c r="C5" s="72">
        <v>42958</v>
      </c>
      <c r="D5" s="73"/>
      <c r="E5" s="87" t="s">
        <v>1</v>
      </c>
      <c r="F5" s="75"/>
      <c r="G5" s="293">
        <v>6</v>
      </c>
      <c r="H5" s="74" t="s">
        <v>2</v>
      </c>
      <c r="I5" s="75"/>
      <c r="J5" s="290" t="s">
        <v>100</v>
      </c>
      <c r="K5" s="291"/>
      <c r="L5" s="291"/>
      <c r="M5" s="291"/>
      <c r="N5" s="291"/>
      <c r="O5" s="291"/>
      <c r="P5" s="292"/>
    </row>
    <row r="6" spans="1:16" s="20" customFormat="1" ht="11.25" customHeight="1" thickBot="1" x14ac:dyDescent="0.3">
      <c r="A6" s="19"/>
      <c r="B6" s="87" t="s">
        <v>3</v>
      </c>
      <c r="C6" s="75"/>
      <c r="D6" s="88" t="s">
        <v>56</v>
      </c>
      <c r="E6" s="88"/>
      <c r="F6" s="88"/>
      <c r="G6" s="88"/>
      <c r="H6" s="88"/>
      <c r="I6" s="88"/>
      <c r="J6" s="89"/>
      <c r="K6" s="90" t="s">
        <v>4</v>
      </c>
      <c r="L6" s="74"/>
      <c r="M6" s="73" t="s">
        <v>57</v>
      </c>
      <c r="N6" s="91"/>
      <c r="O6" s="73" t="s">
        <v>58</v>
      </c>
      <c r="P6" s="76"/>
    </row>
    <row r="7" spans="1:16" s="20" customFormat="1" ht="14.1" customHeight="1" x14ac:dyDescent="0.25">
      <c r="A7" s="19"/>
      <c r="B7" s="92" t="s">
        <v>59</v>
      </c>
      <c r="C7" s="93"/>
      <c r="D7" s="93"/>
      <c r="E7" s="94"/>
      <c r="F7" s="95" t="s">
        <v>11</v>
      </c>
      <c r="G7" s="96"/>
      <c r="H7" s="97"/>
      <c r="I7" s="21">
        <v>0.44097222222222227</v>
      </c>
      <c r="J7" s="98" t="s">
        <v>60</v>
      </c>
      <c r="K7" s="99"/>
      <c r="L7" s="22">
        <v>1.22</v>
      </c>
      <c r="M7" s="92" t="s">
        <v>13</v>
      </c>
      <c r="N7" s="93"/>
      <c r="O7" s="93"/>
      <c r="P7" s="23">
        <v>3.1</v>
      </c>
    </row>
    <row r="8" spans="1:16" s="20" customFormat="1" ht="14.1" customHeight="1" thickBot="1" x14ac:dyDescent="0.3">
      <c r="A8" s="19"/>
      <c r="B8" s="100" t="s">
        <v>6</v>
      </c>
      <c r="C8" s="101"/>
      <c r="D8" s="101"/>
      <c r="E8" s="102"/>
      <c r="F8" s="24" t="s">
        <v>14</v>
      </c>
      <c r="G8" s="25"/>
      <c r="H8" s="26"/>
      <c r="I8" s="27">
        <v>0.47916666666666669</v>
      </c>
      <c r="J8" s="103" t="s">
        <v>61</v>
      </c>
      <c r="K8" s="104"/>
      <c r="L8" s="22">
        <v>1.24</v>
      </c>
      <c r="M8" s="105" t="s">
        <v>16</v>
      </c>
      <c r="N8" s="106"/>
      <c r="O8" s="106"/>
      <c r="P8" s="28">
        <v>0.2</v>
      </c>
    </row>
    <row r="9" spans="1:16" s="20" customFormat="1" ht="14.1" customHeight="1" x14ac:dyDescent="0.25">
      <c r="A9" s="29"/>
      <c r="B9" s="107" t="s">
        <v>7</v>
      </c>
      <c r="C9" s="108"/>
      <c r="D9" s="111" t="s">
        <v>8</v>
      </c>
      <c r="E9" s="93" t="s">
        <v>9</v>
      </c>
      <c r="F9" s="93"/>
      <c r="G9" s="93"/>
      <c r="H9" s="30"/>
      <c r="I9" s="113" t="s">
        <v>62</v>
      </c>
      <c r="J9" s="114"/>
      <c r="K9" s="117">
        <v>0.96</v>
      </c>
      <c r="L9" s="119" t="s">
        <v>12</v>
      </c>
      <c r="M9" s="120"/>
      <c r="N9" s="120"/>
      <c r="O9" s="121">
        <v>7</v>
      </c>
      <c r="P9" s="122"/>
    </row>
    <row r="10" spans="1:16" s="20" customFormat="1" ht="14.1" customHeight="1" thickBot="1" x14ac:dyDescent="0.3">
      <c r="A10" s="29"/>
      <c r="B10" s="109"/>
      <c r="C10" s="110"/>
      <c r="D10" s="112"/>
      <c r="E10" s="106" t="s">
        <v>10</v>
      </c>
      <c r="F10" s="106"/>
      <c r="G10" s="106"/>
      <c r="H10" s="31" t="s">
        <v>5</v>
      </c>
      <c r="I10" s="115"/>
      <c r="J10" s="116"/>
      <c r="K10" s="118"/>
      <c r="L10" s="123" t="s">
        <v>15</v>
      </c>
      <c r="M10" s="124"/>
      <c r="N10" s="124"/>
      <c r="O10" s="125">
        <v>0.4375</v>
      </c>
      <c r="P10" s="126"/>
    </row>
    <row r="11" spans="1:16" s="33" customFormat="1" ht="25.15" customHeight="1" x14ac:dyDescent="0.2">
      <c r="A11" s="11"/>
      <c r="B11" s="127" t="s">
        <v>17</v>
      </c>
      <c r="C11" s="130" t="s">
        <v>63</v>
      </c>
      <c r="D11" s="130"/>
      <c r="E11" s="130"/>
      <c r="F11" s="32"/>
      <c r="G11" s="131" t="s">
        <v>64</v>
      </c>
      <c r="H11" s="131"/>
      <c r="I11" s="131"/>
      <c r="J11" s="131"/>
      <c r="K11" s="131"/>
      <c r="L11" s="132"/>
      <c r="M11" s="131" t="s">
        <v>65</v>
      </c>
      <c r="N11" s="131"/>
      <c r="O11" s="131"/>
      <c r="P11" s="135"/>
    </row>
    <row r="12" spans="1:16" s="33" customFormat="1" ht="17.45" customHeight="1" x14ac:dyDescent="0.2">
      <c r="A12" s="11"/>
      <c r="B12" s="128"/>
      <c r="C12" s="136" t="s">
        <v>66</v>
      </c>
      <c r="D12" s="136"/>
      <c r="E12" s="136"/>
      <c r="F12" s="34"/>
      <c r="G12" s="137" t="s">
        <v>67</v>
      </c>
      <c r="H12" s="137"/>
      <c r="I12" s="137"/>
      <c r="J12" s="137"/>
      <c r="K12" s="137"/>
      <c r="L12" s="133"/>
      <c r="M12" s="137" t="s">
        <v>68</v>
      </c>
      <c r="N12" s="137"/>
      <c r="O12" s="137"/>
      <c r="P12" s="139"/>
    </row>
    <row r="13" spans="1:16" s="33" customFormat="1" ht="25.15" customHeight="1" thickBot="1" x14ac:dyDescent="0.25">
      <c r="A13" s="11"/>
      <c r="B13" s="129"/>
      <c r="C13" s="140"/>
      <c r="D13" s="141"/>
      <c r="E13" s="141"/>
      <c r="F13" s="141"/>
      <c r="G13" s="138" t="s">
        <v>69</v>
      </c>
      <c r="H13" s="138"/>
      <c r="I13" s="138"/>
      <c r="J13" s="138"/>
      <c r="K13" s="138"/>
      <c r="L13" s="134"/>
      <c r="M13" s="138" t="s">
        <v>70</v>
      </c>
      <c r="N13" s="138"/>
      <c r="O13" s="138"/>
      <c r="P13" s="142"/>
    </row>
    <row r="14" spans="1:16" ht="16.5" customHeight="1" x14ac:dyDescent="0.25">
      <c r="A14" s="5"/>
      <c r="B14" s="143" t="s">
        <v>18</v>
      </c>
      <c r="C14" s="145" t="s">
        <v>19</v>
      </c>
      <c r="D14" s="145" t="s">
        <v>40</v>
      </c>
      <c r="E14" s="147" t="s">
        <v>20</v>
      </c>
      <c r="F14" s="149" t="s">
        <v>41</v>
      </c>
      <c r="G14" s="150"/>
      <c r="H14" s="151"/>
      <c r="I14" s="155" t="s">
        <v>42</v>
      </c>
      <c r="J14" s="156"/>
      <c r="K14" s="35"/>
      <c r="L14" s="36" t="s">
        <v>43</v>
      </c>
      <c r="M14" s="36" t="s">
        <v>44</v>
      </c>
      <c r="N14" s="36" t="s">
        <v>44</v>
      </c>
      <c r="O14" s="36" t="s">
        <v>45</v>
      </c>
      <c r="P14" s="37" t="s">
        <v>21</v>
      </c>
    </row>
    <row r="15" spans="1:16" ht="14.1" customHeight="1" thickBot="1" x14ac:dyDescent="0.3">
      <c r="A15" s="5"/>
      <c r="B15" s="144"/>
      <c r="C15" s="146"/>
      <c r="D15" s="146"/>
      <c r="E15" s="148"/>
      <c r="F15" s="152"/>
      <c r="G15" s="153"/>
      <c r="H15" s="154"/>
      <c r="I15" s="157" t="s">
        <v>22</v>
      </c>
      <c r="J15" s="158"/>
      <c r="K15" s="38" t="s">
        <v>23</v>
      </c>
      <c r="L15" s="38" t="s">
        <v>46</v>
      </c>
      <c r="M15" s="38" t="s">
        <v>47</v>
      </c>
      <c r="N15" s="38" t="s">
        <v>24</v>
      </c>
      <c r="O15" s="38" t="s">
        <v>25</v>
      </c>
      <c r="P15" s="39" t="s">
        <v>26</v>
      </c>
    </row>
    <row r="16" spans="1:16" s="3" customFormat="1" ht="14.1" customHeight="1" x14ac:dyDescent="0.2">
      <c r="A16" s="11"/>
      <c r="B16" s="174">
        <v>1</v>
      </c>
      <c r="C16" s="177">
        <f>+K9</f>
        <v>0.96</v>
      </c>
      <c r="D16" s="159">
        <v>0</v>
      </c>
      <c r="E16" s="159">
        <v>4.9000000000000002E-2</v>
      </c>
      <c r="F16" s="40" t="s">
        <v>71</v>
      </c>
      <c r="G16" s="168" t="str">
        <f>IF(E16&lt;0.12,"NA",IF(E16&gt;=0.12,0.2*E16))</f>
        <v>NA</v>
      </c>
      <c r="H16" s="168"/>
      <c r="I16" s="168"/>
      <c r="J16" s="168"/>
      <c r="K16" s="159">
        <f>ROUND(+IF(E16&lt;0.12,(I17),(IF(E16&gt;=0.12,((I16+2*I17+I18)/4)))),3)</f>
        <v>5.8999999999999997E-2</v>
      </c>
      <c r="L16" s="159">
        <f>ROUND(+(D16+D18)/2*(C18-C16),3)</f>
        <v>7.0000000000000001E-3</v>
      </c>
      <c r="M16" s="162">
        <f>ROUND(+K16*L16,4)</f>
        <v>4.0000000000000002E-4</v>
      </c>
      <c r="N16" s="165">
        <f>ROUND(+M16/$M$71*100,1)</f>
        <v>0.6</v>
      </c>
      <c r="O16" s="168"/>
      <c r="P16" s="171"/>
    </row>
    <row r="17" spans="1:16" s="3" customFormat="1" ht="14.1" customHeight="1" x14ac:dyDescent="0.2">
      <c r="A17" s="11"/>
      <c r="B17" s="175"/>
      <c r="C17" s="178"/>
      <c r="D17" s="160"/>
      <c r="E17" s="160"/>
      <c r="F17" s="41" t="s">
        <v>72</v>
      </c>
      <c r="G17" s="160">
        <f>IF(E16&lt;0.12,0.6*E16,IF(E16&gt;=0.12,0.6*E16))</f>
        <v>2.9399999999999999E-2</v>
      </c>
      <c r="H17" s="160"/>
      <c r="I17" s="160">
        <v>5.8999999999999997E-2</v>
      </c>
      <c r="J17" s="160"/>
      <c r="K17" s="160"/>
      <c r="L17" s="160"/>
      <c r="M17" s="163"/>
      <c r="N17" s="166"/>
      <c r="O17" s="169"/>
      <c r="P17" s="172"/>
    </row>
    <row r="18" spans="1:16" s="3" customFormat="1" ht="13.9" customHeight="1" thickBot="1" x14ac:dyDescent="0.25">
      <c r="A18" s="11"/>
      <c r="B18" s="176"/>
      <c r="C18" s="42">
        <f>+C16+P8</f>
        <v>1.1599999999999999</v>
      </c>
      <c r="D18" s="43">
        <v>7.2999999999999995E-2</v>
      </c>
      <c r="E18" s="161"/>
      <c r="F18" s="44" t="s">
        <v>73</v>
      </c>
      <c r="G18" s="179" t="str">
        <f>IF(E16&lt;0.12,"NA",IF(E16&gt;=0.12,0.8*E16))</f>
        <v>NA</v>
      </c>
      <c r="H18" s="179"/>
      <c r="I18" s="170"/>
      <c r="J18" s="170"/>
      <c r="K18" s="161"/>
      <c r="L18" s="161"/>
      <c r="M18" s="164"/>
      <c r="N18" s="167"/>
      <c r="O18" s="170"/>
      <c r="P18" s="173"/>
    </row>
    <row r="19" spans="1:16" s="3" customFormat="1" ht="14.1" customHeight="1" x14ac:dyDescent="0.2">
      <c r="A19" s="11"/>
      <c r="B19" s="174">
        <v>2</v>
      </c>
      <c r="C19" s="177">
        <f>+C18</f>
        <v>1.1599999999999999</v>
      </c>
      <c r="D19" s="159">
        <f>+D18</f>
        <v>7.2999999999999995E-2</v>
      </c>
      <c r="E19" s="159">
        <v>9.4E-2</v>
      </c>
      <c r="F19" s="40" t="s">
        <v>71</v>
      </c>
      <c r="G19" s="168" t="str">
        <f t="shared" ref="G19" si="0">IF(E19&lt;0.12,"NA",IF(E19&gt;=0.12,0.2*E19))</f>
        <v>NA</v>
      </c>
      <c r="H19" s="168"/>
      <c r="I19" s="168"/>
      <c r="J19" s="168"/>
      <c r="K19" s="159">
        <f t="shared" ref="K19" si="1">ROUND(+IF(E19&lt;0.12,(I20),(IF(E19&gt;=0.12,((I19+2*I20+I21)/4)))),3)</f>
        <v>0.21099999999999999</v>
      </c>
      <c r="L19" s="159">
        <f>ROUND(+(D19+D21)/2*(C21-C19),3)</f>
        <v>1.6E-2</v>
      </c>
      <c r="M19" s="162">
        <f t="shared" ref="M19" si="2">ROUND(+K19*L19,4)</f>
        <v>3.3999999999999998E-3</v>
      </c>
      <c r="N19" s="165">
        <f>ROUND(+M19/$M$71*100,1)</f>
        <v>4.8</v>
      </c>
      <c r="O19" s="168"/>
      <c r="P19" s="171"/>
    </row>
    <row r="20" spans="1:16" s="3" customFormat="1" ht="14.1" customHeight="1" x14ac:dyDescent="0.2">
      <c r="A20" s="11"/>
      <c r="B20" s="175"/>
      <c r="C20" s="178"/>
      <c r="D20" s="160"/>
      <c r="E20" s="160"/>
      <c r="F20" s="41" t="s">
        <v>72</v>
      </c>
      <c r="G20" s="160">
        <f t="shared" ref="G20" si="3">IF(E19&lt;0.12,0.6*E19,IF(E19&gt;=0.12,0.6*E19))</f>
        <v>5.6399999999999999E-2</v>
      </c>
      <c r="H20" s="160"/>
      <c r="I20" s="169">
        <v>0.21099999999999999</v>
      </c>
      <c r="J20" s="169"/>
      <c r="K20" s="160"/>
      <c r="L20" s="160"/>
      <c r="M20" s="163"/>
      <c r="N20" s="166"/>
      <c r="O20" s="169"/>
      <c r="P20" s="172"/>
    </row>
    <row r="21" spans="1:16" s="3" customFormat="1" ht="13.9" customHeight="1" thickBot="1" x14ac:dyDescent="0.25">
      <c r="A21" s="11"/>
      <c r="B21" s="176"/>
      <c r="C21" s="42">
        <f>+C19+$P$8</f>
        <v>1.3599999999999999</v>
      </c>
      <c r="D21" s="43">
        <v>0.09</v>
      </c>
      <c r="E21" s="161"/>
      <c r="F21" s="44" t="s">
        <v>73</v>
      </c>
      <c r="G21" s="179" t="str">
        <f t="shared" ref="G21" si="4">IF(E19&lt;0.12,"NA",IF(E19&gt;=0.12,0.8*E19))</f>
        <v>NA</v>
      </c>
      <c r="H21" s="179"/>
      <c r="I21" s="170"/>
      <c r="J21" s="170"/>
      <c r="K21" s="161"/>
      <c r="L21" s="161"/>
      <c r="M21" s="164"/>
      <c r="N21" s="167"/>
      <c r="O21" s="170"/>
      <c r="P21" s="173"/>
    </row>
    <row r="22" spans="1:16" s="54" customFormat="1" ht="14.1" customHeight="1" x14ac:dyDescent="0.2">
      <c r="A22" s="53"/>
      <c r="B22" s="274">
        <v>3</v>
      </c>
      <c r="C22" s="177">
        <f>+C21</f>
        <v>1.3599999999999999</v>
      </c>
      <c r="D22" s="159">
        <f>+D21</f>
        <v>0.09</v>
      </c>
      <c r="E22" s="159">
        <v>0.10299999999999999</v>
      </c>
      <c r="F22" s="40" t="s">
        <v>71</v>
      </c>
      <c r="G22" s="168" t="str">
        <f t="shared" ref="G22" si="5">IF(E22&lt;0.12,"NA",IF(E22&gt;=0.12,0.2*E22))</f>
        <v>NA</v>
      </c>
      <c r="H22" s="168"/>
      <c r="I22" s="159"/>
      <c r="J22" s="159"/>
      <c r="K22" s="159">
        <f t="shared" ref="K22" si="6">ROUND(+IF(E22&lt;0.12,(I23),(IF(E22&gt;=0.12,((I22+2*I23+I24)/4)))),3)</f>
        <v>0.11700000000000001</v>
      </c>
      <c r="L22" s="159">
        <f>ROUND(+(D22+D24)/2*(C24-C22),3)</f>
        <v>1.9E-2</v>
      </c>
      <c r="M22" s="162">
        <f t="shared" ref="M22" si="7">ROUND(+K22*L22,4)</f>
        <v>2.2000000000000001E-3</v>
      </c>
      <c r="N22" s="165">
        <f>ROUND(+M22/$M$71*100,1)</f>
        <v>3.1</v>
      </c>
      <c r="O22" s="168"/>
      <c r="P22" s="171"/>
    </row>
    <row r="23" spans="1:16" s="54" customFormat="1" ht="14.1" customHeight="1" x14ac:dyDescent="0.2">
      <c r="A23" s="53"/>
      <c r="B23" s="275"/>
      <c r="C23" s="178"/>
      <c r="D23" s="160"/>
      <c r="E23" s="160"/>
      <c r="F23" s="41" t="s">
        <v>72</v>
      </c>
      <c r="G23" s="160">
        <f t="shared" ref="G23" si="8">IF(E22&lt;0.12,0.6*E22,IF(E22&gt;=0.12,0.6*E22))</f>
        <v>6.1799999999999994E-2</v>
      </c>
      <c r="H23" s="160"/>
      <c r="I23" s="160">
        <v>0.11700000000000001</v>
      </c>
      <c r="J23" s="160"/>
      <c r="K23" s="160"/>
      <c r="L23" s="160"/>
      <c r="M23" s="163"/>
      <c r="N23" s="166"/>
      <c r="O23" s="169"/>
      <c r="P23" s="172"/>
    </row>
    <row r="24" spans="1:16" s="54" customFormat="1" ht="13.9" customHeight="1" thickBot="1" x14ac:dyDescent="0.25">
      <c r="A24" s="53"/>
      <c r="B24" s="276"/>
      <c r="C24" s="42">
        <f>+C22+$P$8</f>
        <v>1.5599999999999998</v>
      </c>
      <c r="D24" s="43">
        <v>9.5000000000000001E-2</v>
      </c>
      <c r="E24" s="161"/>
      <c r="F24" s="44" t="s">
        <v>73</v>
      </c>
      <c r="G24" s="179" t="str">
        <f t="shared" ref="G24" si="9">IF(E22&lt;0.12,"NA",IF(E22&gt;=0.12,0.8*E22))</f>
        <v>NA</v>
      </c>
      <c r="H24" s="179"/>
      <c r="I24" s="170"/>
      <c r="J24" s="170"/>
      <c r="K24" s="161"/>
      <c r="L24" s="161"/>
      <c r="M24" s="164"/>
      <c r="N24" s="167"/>
      <c r="O24" s="170"/>
      <c r="P24" s="173"/>
    </row>
    <row r="25" spans="1:16" s="3" customFormat="1" ht="14.1" customHeight="1" x14ac:dyDescent="0.2">
      <c r="A25" s="11"/>
      <c r="B25" s="174">
        <v>4</v>
      </c>
      <c r="C25" s="177">
        <f>+C24</f>
        <v>1.5599999999999998</v>
      </c>
      <c r="D25" s="159">
        <f>+D24</f>
        <v>9.5000000000000001E-2</v>
      </c>
      <c r="E25" s="159">
        <v>0.11</v>
      </c>
      <c r="F25" s="40" t="s">
        <v>71</v>
      </c>
      <c r="G25" s="168" t="str">
        <f t="shared" ref="G25" si="10">IF(E25&lt;0.12,"NA",IF(E25&gt;=0.12,0.2*E25))</f>
        <v>NA</v>
      </c>
      <c r="H25" s="168"/>
      <c r="I25" s="168"/>
      <c r="J25" s="168"/>
      <c r="K25" s="159">
        <f t="shared" ref="K25" si="11">ROUND(+IF(E25&lt;0.12,(I26),(IF(E25&gt;=0.12,((I25+2*I26+I27)/4)))),3)</f>
        <v>0.24099999999999999</v>
      </c>
      <c r="L25" s="159">
        <f>ROUND(+(D25+D27)/2*(C27-C25),3)</f>
        <v>2.1000000000000001E-2</v>
      </c>
      <c r="M25" s="162">
        <f t="shared" ref="M25" si="12">ROUND(+K25*L25,4)</f>
        <v>5.1000000000000004E-3</v>
      </c>
      <c r="N25" s="165">
        <f>ROUND(+M25/$M$71*100,1)</f>
        <v>7.2</v>
      </c>
      <c r="O25" s="168"/>
      <c r="P25" s="171"/>
    </row>
    <row r="26" spans="1:16" s="3" customFormat="1" ht="14.1" customHeight="1" x14ac:dyDescent="0.2">
      <c r="A26" s="11"/>
      <c r="B26" s="175"/>
      <c r="C26" s="178"/>
      <c r="D26" s="160"/>
      <c r="E26" s="160"/>
      <c r="F26" s="41" t="s">
        <v>72</v>
      </c>
      <c r="G26" s="160">
        <f t="shared" ref="G26" si="13">IF(E25&lt;0.12,0.6*E25,IF(E25&gt;=0.12,0.6*E25))</f>
        <v>6.6000000000000003E-2</v>
      </c>
      <c r="H26" s="160"/>
      <c r="I26" s="169">
        <v>0.24099999999999999</v>
      </c>
      <c r="J26" s="169"/>
      <c r="K26" s="160"/>
      <c r="L26" s="160"/>
      <c r="M26" s="163"/>
      <c r="N26" s="166"/>
      <c r="O26" s="169"/>
      <c r="P26" s="172"/>
    </row>
    <row r="27" spans="1:16" s="3" customFormat="1" ht="13.9" customHeight="1" thickBot="1" x14ac:dyDescent="0.25">
      <c r="A27" s="11"/>
      <c r="B27" s="176"/>
      <c r="C27" s="42">
        <f>+C25+$P$8</f>
        <v>1.7599999999999998</v>
      </c>
      <c r="D27" s="43">
        <v>0.111</v>
      </c>
      <c r="E27" s="161"/>
      <c r="F27" s="44" t="s">
        <v>73</v>
      </c>
      <c r="G27" s="179" t="str">
        <f t="shared" ref="G27" si="14">IF(E25&lt;0.12,"NA",IF(E25&gt;=0.12,0.8*E25))</f>
        <v>NA</v>
      </c>
      <c r="H27" s="179"/>
      <c r="I27" s="170"/>
      <c r="J27" s="170"/>
      <c r="K27" s="161"/>
      <c r="L27" s="161"/>
      <c r="M27" s="164"/>
      <c r="N27" s="167"/>
      <c r="O27" s="170"/>
      <c r="P27" s="173"/>
    </row>
    <row r="28" spans="1:16" s="3" customFormat="1" ht="14.1" customHeight="1" x14ac:dyDescent="0.2">
      <c r="A28" s="11"/>
      <c r="B28" s="174">
        <v>5</v>
      </c>
      <c r="C28" s="177">
        <f>+C27</f>
        <v>1.7599999999999998</v>
      </c>
      <c r="D28" s="159">
        <f t="shared" ref="D28" si="15">+D27</f>
        <v>0.111</v>
      </c>
      <c r="E28" s="159">
        <v>0.19600000000000001</v>
      </c>
      <c r="F28" s="40" t="s">
        <v>71</v>
      </c>
      <c r="G28" s="159">
        <f t="shared" ref="G28" si="16">IF(E28&lt;0.12,"NA",IF(E28&gt;=0.12,0.2*E28))</f>
        <v>3.9200000000000006E-2</v>
      </c>
      <c r="H28" s="159"/>
      <c r="I28" s="159">
        <v>0.24</v>
      </c>
      <c r="J28" s="159"/>
      <c r="K28" s="159">
        <f t="shared" ref="K28" si="17">ROUND(+IF(E28&lt;0.12,(I29),(IF(E28&gt;=0.12,((I28+2*I29+I30)/4)))),3)</f>
        <v>0.19400000000000001</v>
      </c>
      <c r="L28" s="159">
        <f>ROUND(+(D28+D30)/2*(C30-C28),3)</f>
        <v>2.7E-2</v>
      </c>
      <c r="M28" s="162">
        <f t="shared" ref="M28" si="18">ROUND(+K28*L28,4)</f>
        <v>5.1999999999999998E-3</v>
      </c>
      <c r="N28" s="165">
        <f>ROUND(+M28/$M$71*100,1)</f>
        <v>7.3</v>
      </c>
      <c r="O28" s="168"/>
      <c r="P28" s="171"/>
    </row>
    <row r="29" spans="1:16" s="3" customFormat="1" ht="14.1" customHeight="1" x14ac:dyDescent="0.2">
      <c r="A29" s="11"/>
      <c r="B29" s="175"/>
      <c r="C29" s="178"/>
      <c r="D29" s="160"/>
      <c r="E29" s="160"/>
      <c r="F29" s="41" t="s">
        <v>72</v>
      </c>
      <c r="G29" s="160">
        <f t="shared" ref="G29" si="19">IF(E28&lt;0.12,0.6*E28,IF(E28&gt;=0.12,0.6*E28))</f>
        <v>0.1176</v>
      </c>
      <c r="H29" s="160"/>
      <c r="I29" s="160">
        <v>0.19600000000000001</v>
      </c>
      <c r="J29" s="160"/>
      <c r="K29" s="160"/>
      <c r="L29" s="160"/>
      <c r="M29" s="163"/>
      <c r="N29" s="166"/>
      <c r="O29" s="169"/>
      <c r="P29" s="172"/>
    </row>
    <row r="30" spans="1:16" s="3" customFormat="1" ht="13.9" customHeight="1" thickBot="1" x14ac:dyDescent="0.25">
      <c r="A30" s="11"/>
      <c r="B30" s="176"/>
      <c r="C30" s="42">
        <f>+C28+$P$8</f>
        <v>1.9599999999999997</v>
      </c>
      <c r="D30" s="43">
        <v>0.16200000000000001</v>
      </c>
      <c r="E30" s="161"/>
      <c r="F30" s="44" t="s">
        <v>73</v>
      </c>
      <c r="G30" s="161">
        <f t="shared" ref="G30" si="20">IF(E28&lt;0.12,"NA",IF(E28&gt;=0.12,0.8*E28))</f>
        <v>0.15680000000000002</v>
      </c>
      <c r="H30" s="161"/>
      <c r="I30" s="161">
        <v>0.14499999999999999</v>
      </c>
      <c r="J30" s="161"/>
      <c r="K30" s="161"/>
      <c r="L30" s="161"/>
      <c r="M30" s="164"/>
      <c r="N30" s="167"/>
      <c r="O30" s="170"/>
      <c r="P30" s="173"/>
    </row>
    <row r="31" spans="1:16" s="3" customFormat="1" ht="14.1" customHeight="1" x14ac:dyDescent="0.2">
      <c r="A31" s="11"/>
      <c r="B31" s="174">
        <v>6</v>
      </c>
      <c r="C31" s="177">
        <f>+C30</f>
        <v>1.9599999999999997</v>
      </c>
      <c r="D31" s="159">
        <f t="shared" ref="D31" si="21">+D30</f>
        <v>0.16200000000000001</v>
      </c>
      <c r="E31" s="159">
        <v>0.18</v>
      </c>
      <c r="F31" s="40" t="s">
        <v>71</v>
      </c>
      <c r="G31" s="159">
        <f t="shared" ref="G31" si="22">IF(E31&lt;0.12,"NA",IF(E31&gt;=0.12,0.2*E31))</f>
        <v>3.5999999999999997E-2</v>
      </c>
      <c r="H31" s="159"/>
      <c r="I31" s="159">
        <v>0.157</v>
      </c>
      <c r="J31" s="159"/>
      <c r="K31" s="159">
        <f t="shared" ref="K31" si="23">ROUND(+IF(E31&lt;0.12,(I32),(IF(E31&gt;=0.12,((I31+2*I32+I33)/4)))),3)</f>
        <v>0.13700000000000001</v>
      </c>
      <c r="L31" s="159">
        <f>ROUND(+(D31+D33)/2*(C33-C31),3)</f>
        <v>3.5000000000000003E-2</v>
      </c>
      <c r="M31" s="162">
        <f t="shared" ref="M31" si="24">ROUND(+K31*L31,4)</f>
        <v>4.7999999999999996E-3</v>
      </c>
      <c r="N31" s="165">
        <f>ROUND(+M31/$M$71*100,1)</f>
        <v>6.8</v>
      </c>
      <c r="O31" s="168"/>
      <c r="P31" s="171"/>
    </row>
    <row r="32" spans="1:16" s="3" customFormat="1" ht="14.1" customHeight="1" x14ac:dyDescent="0.2">
      <c r="A32" s="11"/>
      <c r="B32" s="175"/>
      <c r="C32" s="178"/>
      <c r="D32" s="160"/>
      <c r="E32" s="160"/>
      <c r="F32" s="41" t="s">
        <v>72</v>
      </c>
      <c r="G32" s="160">
        <f t="shared" ref="G32" si="25">IF(E31&lt;0.12,0.6*E31,IF(E31&gt;=0.12,0.6*E31))</f>
        <v>0.108</v>
      </c>
      <c r="H32" s="160"/>
      <c r="I32" s="160">
        <v>0.13300000000000001</v>
      </c>
      <c r="J32" s="160"/>
      <c r="K32" s="160"/>
      <c r="L32" s="160"/>
      <c r="M32" s="163"/>
      <c r="N32" s="166"/>
      <c r="O32" s="169"/>
      <c r="P32" s="172"/>
    </row>
    <row r="33" spans="1:16" s="3" customFormat="1" ht="13.9" customHeight="1" thickBot="1" x14ac:dyDescent="0.25">
      <c r="A33" s="11"/>
      <c r="B33" s="176"/>
      <c r="C33" s="42">
        <f>+C31+$P$8</f>
        <v>2.1599999999999997</v>
      </c>
      <c r="D33" s="43">
        <v>0.188</v>
      </c>
      <c r="E33" s="161"/>
      <c r="F33" s="44" t="s">
        <v>73</v>
      </c>
      <c r="G33" s="161">
        <f t="shared" ref="G33" si="26">IF(E31&lt;0.12,"NA",IF(E31&gt;=0.12,0.8*E31))</f>
        <v>0.14399999999999999</v>
      </c>
      <c r="H33" s="161"/>
      <c r="I33" s="161">
        <v>0.123</v>
      </c>
      <c r="J33" s="161"/>
      <c r="K33" s="161"/>
      <c r="L33" s="161"/>
      <c r="M33" s="164"/>
      <c r="N33" s="167"/>
      <c r="O33" s="170"/>
      <c r="P33" s="173"/>
    </row>
    <row r="34" spans="1:16" s="3" customFormat="1" ht="14.1" customHeight="1" x14ac:dyDescent="0.2">
      <c r="A34" s="11"/>
      <c r="B34" s="174">
        <v>7</v>
      </c>
      <c r="C34" s="177">
        <f>+C33</f>
        <v>2.1599999999999997</v>
      </c>
      <c r="D34" s="159">
        <f t="shared" ref="D34" si="27">+D33</f>
        <v>0.188</v>
      </c>
      <c r="E34" s="180">
        <v>0.21199999999999999</v>
      </c>
      <c r="F34" s="40" t="s">
        <v>71</v>
      </c>
      <c r="G34" s="159">
        <f t="shared" ref="G34" si="28">IF(E34&lt;0.12,"NA",IF(E34&gt;=0.12,0.2*E34))</f>
        <v>4.24E-2</v>
      </c>
      <c r="H34" s="159"/>
      <c r="I34" s="280">
        <v>0.19600000000000001</v>
      </c>
      <c r="J34" s="281"/>
      <c r="K34" s="159">
        <f t="shared" ref="K34" si="29">ROUND(+IF(E34&lt;0.12,(I35),(IF(E34&gt;=0.12,((I34+2*I35+I36)/4)))),3)</f>
        <v>0.158</v>
      </c>
      <c r="L34" s="159">
        <f>ROUND(+(D34+D36)/2*(C36-C34),3)</f>
        <v>4.1000000000000002E-2</v>
      </c>
      <c r="M34" s="162">
        <f t="shared" ref="M34" si="30">ROUND(+K34*L34,4)</f>
        <v>6.4999999999999997E-3</v>
      </c>
      <c r="N34" s="165">
        <f>ROUND(+M34/$M$71*100,1)</f>
        <v>9.1999999999999993</v>
      </c>
      <c r="O34" s="168"/>
      <c r="P34" s="171"/>
    </row>
    <row r="35" spans="1:16" s="3" customFormat="1" ht="14.1" customHeight="1" x14ac:dyDescent="0.2">
      <c r="A35" s="11"/>
      <c r="B35" s="175"/>
      <c r="C35" s="178"/>
      <c r="D35" s="160"/>
      <c r="E35" s="182"/>
      <c r="F35" s="41" t="s">
        <v>72</v>
      </c>
      <c r="G35" s="160">
        <f t="shared" ref="G35" si="31">IF(E34&lt;0.12,0.6*E34,IF(E34&gt;=0.12,0.6*E34))</f>
        <v>0.12719999999999998</v>
      </c>
      <c r="H35" s="160"/>
      <c r="I35" s="282">
        <v>0.14799999999999999</v>
      </c>
      <c r="J35" s="283"/>
      <c r="K35" s="160"/>
      <c r="L35" s="160"/>
      <c r="M35" s="163"/>
      <c r="N35" s="166"/>
      <c r="O35" s="169"/>
      <c r="P35" s="172"/>
    </row>
    <row r="36" spans="1:16" s="3" customFormat="1" ht="13.9" customHeight="1" thickBot="1" x14ac:dyDescent="0.25">
      <c r="A36" s="11"/>
      <c r="B36" s="176"/>
      <c r="C36" s="42">
        <f>+C34+$P$8</f>
        <v>2.36</v>
      </c>
      <c r="D36" s="43">
        <v>0.217</v>
      </c>
      <c r="E36" s="183"/>
      <c r="F36" s="44" t="s">
        <v>73</v>
      </c>
      <c r="G36" s="161">
        <f t="shared" ref="G36" si="32">IF(E34&lt;0.12,"NA",IF(E34&gt;=0.12,0.8*E34))</f>
        <v>0.1696</v>
      </c>
      <c r="H36" s="161"/>
      <c r="I36" s="284">
        <v>0.14000000000000001</v>
      </c>
      <c r="J36" s="285"/>
      <c r="K36" s="161"/>
      <c r="L36" s="161"/>
      <c r="M36" s="164"/>
      <c r="N36" s="167"/>
      <c r="O36" s="170"/>
      <c r="P36" s="173"/>
    </row>
    <row r="37" spans="1:16" s="3" customFormat="1" ht="14.1" customHeight="1" x14ac:dyDescent="0.2">
      <c r="A37" s="11"/>
      <c r="B37" s="174">
        <v>8</v>
      </c>
      <c r="C37" s="177">
        <f>+C36</f>
        <v>2.36</v>
      </c>
      <c r="D37" s="159">
        <f t="shared" ref="D37" si="33">+D36</f>
        <v>0.217</v>
      </c>
      <c r="E37" s="159">
        <v>0.23100000000000001</v>
      </c>
      <c r="F37" s="40" t="s">
        <v>71</v>
      </c>
      <c r="G37" s="159">
        <f t="shared" ref="G37" si="34">IF(E37&lt;0.12,"NA",IF(E37&gt;=0.12,0.2*E37))</f>
        <v>4.6200000000000005E-2</v>
      </c>
      <c r="H37" s="159"/>
      <c r="I37" s="159">
        <v>0.17799999999999999</v>
      </c>
      <c r="J37" s="159"/>
      <c r="K37" s="159">
        <f t="shared" ref="K37" si="35">ROUND(+IF(E37&lt;0.12,(I38),(IF(E37&gt;=0.12,((I37+2*I38+I39)/4)))),3)</f>
        <v>0.128</v>
      </c>
      <c r="L37" s="159">
        <f>ROUND(+(D37+D39)/2*(C39-C37),3)</f>
        <v>4.7E-2</v>
      </c>
      <c r="M37" s="162">
        <f t="shared" ref="M37" si="36">ROUND(+K37*L37,4)</f>
        <v>6.0000000000000001E-3</v>
      </c>
      <c r="N37" s="165">
        <f>ROUND(+M37/$M$71*100,1)</f>
        <v>8.5</v>
      </c>
      <c r="O37" s="168"/>
      <c r="P37" s="171"/>
    </row>
    <row r="38" spans="1:16" s="3" customFormat="1" ht="14.1" customHeight="1" x14ac:dyDescent="0.2">
      <c r="A38" s="11"/>
      <c r="B38" s="175"/>
      <c r="C38" s="178"/>
      <c r="D38" s="160"/>
      <c r="E38" s="160"/>
      <c r="F38" s="41" t="s">
        <v>72</v>
      </c>
      <c r="G38" s="160">
        <f t="shared" ref="G38" si="37">IF(E37&lt;0.12,0.6*E37,IF(E37&gt;=0.12,0.6*E37))</f>
        <v>0.1386</v>
      </c>
      <c r="H38" s="160"/>
      <c r="I38" s="160">
        <v>0.122</v>
      </c>
      <c r="J38" s="160"/>
      <c r="K38" s="160"/>
      <c r="L38" s="160"/>
      <c r="M38" s="163"/>
      <c r="N38" s="166"/>
      <c r="O38" s="169"/>
      <c r="P38" s="172"/>
    </row>
    <row r="39" spans="1:16" s="3" customFormat="1" ht="13.9" customHeight="1" thickBot="1" x14ac:dyDescent="0.25">
      <c r="A39" s="11"/>
      <c r="B39" s="176"/>
      <c r="C39" s="42">
        <f>+C37+$P$8</f>
        <v>2.56</v>
      </c>
      <c r="D39" s="43">
        <v>0.253</v>
      </c>
      <c r="E39" s="161"/>
      <c r="F39" s="44" t="s">
        <v>73</v>
      </c>
      <c r="G39" s="161">
        <f t="shared" ref="G39" si="38">IF(E37&lt;0.12,"NA",IF(E37&gt;=0.12,0.8*E37))</f>
        <v>0.18480000000000002</v>
      </c>
      <c r="H39" s="161"/>
      <c r="I39" s="161">
        <v>0.09</v>
      </c>
      <c r="J39" s="161"/>
      <c r="K39" s="161"/>
      <c r="L39" s="161"/>
      <c r="M39" s="164"/>
      <c r="N39" s="167"/>
      <c r="O39" s="170"/>
      <c r="P39" s="173"/>
    </row>
    <row r="40" spans="1:16" s="3" customFormat="1" ht="14.1" customHeight="1" x14ac:dyDescent="0.2">
      <c r="A40" s="11"/>
      <c r="B40" s="174">
        <v>9</v>
      </c>
      <c r="C40" s="177">
        <f t="shared" ref="C40:D40" si="39">+C39</f>
        <v>2.56</v>
      </c>
      <c r="D40" s="159">
        <f t="shared" si="39"/>
        <v>0.253</v>
      </c>
      <c r="E40" s="159">
        <v>0.24</v>
      </c>
      <c r="F40" s="40" t="s">
        <v>71</v>
      </c>
      <c r="G40" s="159">
        <f t="shared" ref="G40" si="40">IF(E40&lt;0.12,"NA",IF(E40&gt;=0.12,0.2*E40))</f>
        <v>4.8000000000000001E-2</v>
      </c>
      <c r="H40" s="159"/>
      <c r="I40" s="159">
        <v>0.222</v>
      </c>
      <c r="J40" s="159"/>
      <c r="K40" s="159">
        <f t="shared" ref="K40" si="41">ROUND(+IF(E40&lt;0.12,(I41),(IF(E40&gt;=0.12,((I40+2*I41+I42)/4)))),3)</f>
        <v>0.17399999999999999</v>
      </c>
      <c r="L40" s="159">
        <f>ROUND(+(D40+D42)/2*(C42-C40),3)</f>
        <v>5.1999999999999998E-2</v>
      </c>
      <c r="M40" s="162">
        <f t="shared" ref="M40" si="42">ROUND(+K40*L40,4)</f>
        <v>8.9999999999999993E-3</v>
      </c>
      <c r="N40" s="165">
        <f>ROUND(+M40/$M$71*100,1)</f>
        <v>12.7</v>
      </c>
      <c r="O40" s="168"/>
      <c r="P40" s="171"/>
    </row>
    <row r="41" spans="1:16" s="3" customFormat="1" ht="14.1" customHeight="1" x14ac:dyDescent="0.2">
      <c r="A41" s="11"/>
      <c r="B41" s="175"/>
      <c r="C41" s="178"/>
      <c r="D41" s="160"/>
      <c r="E41" s="160"/>
      <c r="F41" s="41" t="s">
        <v>72</v>
      </c>
      <c r="G41" s="160">
        <f t="shared" ref="G41" si="43">IF(E40&lt;0.12,0.6*E40,IF(E40&gt;=0.12,0.6*E40))</f>
        <v>0.14399999999999999</v>
      </c>
      <c r="H41" s="160"/>
      <c r="I41" s="160">
        <v>0.188</v>
      </c>
      <c r="J41" s="160"/>
      <c r="K41" s="160"/>
      <c r="L41" s="160"/>
      <c r="M41" s="163"/>
      <c r="N41" s="166"/>
      <c r="O41" s="169"/>
      <c r="P41" s="172"/>
    </row>
    <row r="42" spans="1:16" s="3" customFormat="1" ht="13.9" customHeight="1" thickBot="1" x14ac:dyDescent="0.25">
      <c r="A42" s="11"/>
      <c r="B42" s="176"/>
      <c r="C42" s="42">
        <f>+C40+$P$8</f>
        <v>2.7600000000000002</v>
      </c>
      <c r="D42" s="43">
        <v>0.26800000000000002</v>
      </c>
      <c r="E42" s="161"/>
      <c r="F42" s="44" t="s">
        <v>73</v>
      </c>
      <c r="G42" s="161">
        <f t="shared" ref="G42" si="44">IF(E40&lt;0.12,"NA",IF(E40&gt;=0.12,0.8*E40))</f>
        <v>0.192</v>
      </c>
      <c r="H42" s="161"/>
      <c r="I42" s="161">
        <v>9.9000000000000005E-2</v>
      </c>
      <c r="J42" s="161"/>
      <c r="K42" s="161"/>
      <c r="L42" s="161"/>
      <c r="M42" s="164"/>
      <c r="N42" s="167"/>
      <c r="O42" s="170"/>
      <c r="P42" s="173"/>
    </row>
    <row r="43" spans="1:16" s="3" customFormat="1" ht="14.1" customHeight="1" x14ac:dyDescent="0.2">
      <c r="A43" s="11"/>
      <c r="B43" s="174">
        <v>10</v>
      </c>
      <c r="C43" s="177">
        <f t="shared" ref="C43:D43" si="45">+C42</f>
        <v>2.7600000000000002</v>
      </c>
      <c r="D43" s="159">
        <f t="shared" si="45"/>
        <v>0.26800000000000002</v>
      </c>
      <c r="E43" s="159">
        <v>0.25800000000000001</v>
      </c>
      <c r="F43" s="40" t="s">
        <v>71</v>
      </c>
      <c r="G43" s="159">
        <f t="shared" ref="G43" si="46">IF(E43&lt;0.12,"NA",IF(E43&gt;=0.12,0.2*E43))</f>
        <v>5.1600000000000007E-2</v>
      </c>
      <c r="H43" s="159"/>
      <c r="I43" s="277"/>
      <c r="J43" s="277"/>
      <c r="K43" s="159"/>
      <c r="L43" s="159"/>
      <c r="M43" s="162"/>
      <c r="N43" s="165"/>
      <c r="O43" s="168"/>
      <c r="P43" s="171"/>
    </row>
    <row r="44" spans="1:16" s="3" customFormat="1" ht="14.1" customHeight="1" x14ac:dyDescent="0.2">
      <c r="A44" s="11"/>
      <c r="B44" s="175"/>
      <c r="C44" s="178"/>
      <c r="D44" s="160"/>
      <c r="E44" s="160"/>
      <c r="F44" s="41" t="s">
        <v>72</v>
      </c>
      <c r="G44" s="160">
        <f t="shared" ref="G44" si="47">IF(E43&lt;0.12,0.6*E43,IF(E43&gt;=0.12,0.6*E43))</f>
        <v>0.15479999999999999</v>
      </c>
      <c r="H44" s="160"/>
      <c r="I44" s="279"/>
      <c r="J44" s="279"/>
      <c r="K44" s="160"/>
      <c r="L44" s="160"/>
      <c r="M44" s="163"/>
      <c r="N44" s="166"/>
      <c r="O44" s="169"/>
      <c r="P44" s="172"/>
    </row>
    <row r="45" spans="1:16" s="3" customFormat="1" ht="13.9" customHeight="1" thickBot="1" x14ac:dyDescent="0.25">
      <c r="A45" s="11"/>
      <c r="B45" s="176"/>
      <c r="C45" s="42">
        <f>+C43+$P$8</f>
        <v>2.9600000000000004</v>
      </c>
      <c r="D45" s="43">
        <v>0.19400000000000001</v>
      </c>
      <c r="E45" s="161"/>
      <c r="F45" s="44" t="s">
        <v>73</v>
      </c>
      <c r="G45" s="161">
        <f t="shared" ref="G45" si="48">IF(E43&lt;0.12,"NA",IF(E43&gt;=0.12,0.8*E43))</f>
        <v>0.20640000000000003</v>
      </c>
      <c r="H45" s="161"/>
      <c r="I45" s="278"/>
      <c r="J45" s="278"/>
      <c r="K45" s="161"/>
      <c r="L45" s="161"/>
      <c r="M45" s="164"/>
      <c r="N45" s="167"/>
      <c r="O45" s="170"/>
      <c r="P45" s="173"/>
    </row>
    <row r="46" spans="1:16" s="54" customFormat="1" ht="14.1" customHeight="1" x14ac:dyDescent="0.2">
      <c r="A46" s="53"/>
      <c r="B46" s="274">
        <v>11</v>
      </c>
      <c r="C46" s="177">
        <f t="shared" ref="C46:D46" si="49">+C45</f>
        <v>2.9600000000000004</v>
      </c>
      <c r="D46" s="159">
        <f t="shared" si="49"/>
        <v>0.19400000000000001</v>
      </c>
      <c r="E46" s="159">
        <v>0.185</v>
      </c>
      <c r="F46" s="40" t="s">
        <v>71</v>
      </c>
      <c r="G46" s="159">
        <f t="shared" ref="G46" si="50">IF(E46&lt;0.12,"NA",IF(E46&gt;=0.12,0.2*E46))</f>
        <v>3.6999999999999998E-2</v>
      </c>
      <c r="H46" s="159"/>
      <c r="I46" s="277">
        <v>0.28000000000000003</v>
      </c>
      <c r="J46" s="277"/>
      <c r="K46" s="159">
        <f t="shared" ref="K46" si="51">ROUND(+IF(E46&lt;0.12,(I47),(IF(E46&gt;=0.12,((I46+2*I47+I48)/4)))),3)</f>
        <v>0.189</v>
      </c>
      <c r="L46" s="159">
        <f>ROUND(+(D46+D48)/2*(C48-C46),3)</f>
        <v>3.5999999999999997E-2</v>
      </c>
      <c r="M46" s="162">
        <f t="shared" ref="M46" si="52">ROUND(+K46*L46,4)</f>
        <v>6.7999999999999996E-3</v>
      </c>
      <c r="N46" s="165">
        <f>ROUND(+M46/$M$71*100,1)</f>
        <v>9.6</v>
      </c>
      <c r="O46" s="168"/>
      <c r="P46" s="171"/>
    </row>
    <row r="47" spans="1:16" s="54" customFormat="1" ht="14.1" customHeight="1" x14ac:dyDescent="0.2">
      <c r="A47" s="53"/>
      <c r="B47" s="275"/>
      <c r="C47" s="178"/>
      <c r="D47" s="160"/>
      <c r="E47" s="160"/>
      <c r="F47" s="41" t="s">
        <v>72</v>
      </c>
      <c r="G47" s="160">
        <f t="shared" ref="G47" si="53">IF(E46&lt;0.12,0.6*E46,IF(E46&gt;=0.12,0.6*E46))</f>
        <v>0.111</v>
      </c>
      <c r="H47" s="160"/>
      <c r="I47" s="279">
        <v>0.17299999999999999</v>
      </c>
      <c r="J47" s="279"/>
      <c r="K47" s="160"/>
      <c r="L47" s="160"/>
      <c r="M47" s="163"/>
      <c r="N47" s="166"/>
      <c r="O47" s="169"/>
      <c r="P47" s="172"/>
    </row>
    <row r="48" spans="1:16" s="54" customFormat="1" ht="13.9" customHeight="1" thickBot="1" x14ac:dyDescent="0.25">
      <c r="A48" s="53"/>
      <c r="B48" s="276"/>
      <c r="C48" s="42">
        <f>+C46+$P$8</f>
        <v>3.1600000000000006</v>
      </c>
      <c r="D48" s="43">
        <v>0.17</v>
      </c>
      <c r="E48" s="252"/>
      <c r="F48" s="50" t="s">
        <v>73</v>
      </c>
      <c r="G48" s="161">
        <f t="shared" ref="G48" si="54">IF(E46&lt;0.12,"NA",IF(E46&gt;=0.12,0.8*E46))</f>
        <v>0.14799999999999999</v>
      </c>
      <c r="H48" s="161"/>
      <c r="I48" s="278">
        <v>0.13100000000000001</v>
      </c>
      <c r="J48" s="278"/>
      <c r="K48" s="161"/>
      <c r="L48" s="161"/>
      <c r="M48" s="164"/>
      <c r="N48" s="167"/>
      <c r="O48" s="249"/>
      <c r="P48" s="250"/>
    </row>
    <row r="49" spans="1:18" s="3" customFormat="1" ht="14.1" customHeight="1" x14ac:dyDescent="0.2">
      <c r="A49" s="11"/>
      <c r="B49" s="174">
        <v>12</v>
      </c>
      <c r="C49" s="177">
        <f>+C48</f>
        <v>3.1600000000000006</v>
      </c>
      <c r="D49" s="159">
        <f t="shared" ref="D49" si="55">+D48</f>
        <v>0.17</v>
      </c>
      <c r="E49" s="159">
        <v>0.14000000000000001</v>
      </c>
      <c r="F49" s="40" t="s">
        <v>71</v>
      </c>
      <c r="G49" s="159">
        <f t="shared" ref="G49" si="56">IF(E49&lt;0.12,"NA",IF(E49&gt;=0.12,0.2*E49))</f>
        <v>2.8000000000000004E-2</v>
      </c>
      <c r="H49" s="159"/>
      <c r="I49" s="277">
        <v>0.222</v>
      </c>
      <c r="J49" s="277"/>
      <c r="K49" s="159">
        <f t="shared" ref="K49" si="57">ROUND(+IF(E49&lt;0.12,(I50),(IF(E49&gt;=0.12,((I49+2*I50+I51)/4)))),3)</f>
        <v>0.18099999999999999</v>
      </c>
      <c r="L49" s="159">
        <f>ROUND(+(D49+D51)/2*(C51-C49),3)</f>
        <v>2.9000000000000001E-2</v>
      </c>
      <c r="M49" s="162">
        <f t="shared" ref="M49" si="58">ROUND(+K49*L49,4)</f>
        <v>5.1999999999999998E-3</v>
      </c>
      <c r="N49" s="165">
        <f>ROUND(+M49/$M$71*100,1)</f>
        <v>7.3</v>
      </c>
      <c r="O49" s="168"/>
      <c r="P49" s="171"/>
    </row>
    <row r="50" spans="1:18" s="3" customFormat="1" ht="14.1" customHeight="1" x14ac:dyDescent="0.2">
      <c r="A50" s="11"/>
      <c r="B50" s="175"/>
      <c r="C50" s="178"/>
      <c r="D50" s="160"/>
      <c r="E50" s="160"/>
      <c r="F50" s="41" t="s">
        <v>72</v>
      </c>
      <c r="G50" s="160">
        <f t="shared" ref="G50" si="59">IF(E49&lt;0.12,0.6*E49,IF(E49&gt;=0.12,0.6*E49))</f>
        <v>8.4000000000000005E-2</v>
      </c>
      <c r="H50" s="160"/>
      <c r="I50" s="279">
        <v>0.17599999999999999</v>
      </c>
      <c r="J50" s="279"/>
      <c r="K50" s="160"/>
      <c r="L50" s="160"/>
      <c r="M50" s="163"/>
      <c r="N50" s="166"/>
      <c r="O50" s="169"/>
      <c r="P50" s="172"/>
    </row>
    <row r="51" spans="1:18" s="3" customFormat="1" ht="13.9" customHeight="1" thickBot="1" x14ac:dyDescent="0.25">
      <c r="A51" s="11"/>
      <c r="B51" s="176"/>
      <c r="C51" s="42">
        <f>+C49+$P$8</f>
        <v>3.3600000000000008</v>
      </c>
      <c r="D51" s="43">
        <v>0.11899999999999999</v>
      </c>
      <c r="E51" s="252"/>
      <c r="F51" s="50" t="s">
        <v>73</v>
      </c>
      <c r="G51" s="161">
        <f t="shared" ref="G51" si="60">IF(E49&lt;0.12,"NA",IF(E49&gt;=0.12,0.8*E49))</f>
        <v>0.11200000000000002</v>
      </c>
      <c r="H51" s="161"/>
      <c r="I51" s="286">
        <v>0.15</v>
      </c>
      <c r="J51" s="286"/>
      <c r="K51" s="161"/>
      <c r="L51" s="161"/>
      <c r="M51" s="164"/>
      <c r="N51" s="167"/>
      <c r="O51" s="249"/>
      <c r="P51" s="250"/>
    </row>
    <row r="52" spans="1:18" s="3" customFormat="1" ht="14.1" customHeight="1" x14ac:dyDescent="0.2">
      <c r="A52" s="11"/>
      <c r="B52" s="174">
        <v>13</v>
      </c>
      <c r="C52" s="177">
        <f t="shared" ref="C52" si="61">+C51</f>
        <v>3.3600000000000008</v>
      </c>
      <c r="D52" s="159">
        <f>+D51</f>
        <v>0.11899999999999999</v>
      </c>
      <c r="E52" s="159">
        <v>9.8000000000000004E-2</v>
      </c>
      <c r="F52" s="40" t="s">
        <v>71</v>
      </c>
      <c r="G52" s="168" t="str">
        <f t="shared" ref="G52" si="62">IF(E52&lt;0.12,"NA",IF(E52&gt;=0.12,0.2*E52))</f>
        <v>NA</v>
      </c>
      <c r="H52" s="168"/>
      <c r="I52" s="168"/>
      <c r="J52" s="168"/>
      <c r="K52" s="159">
        <f t="shared" ref="K52" si="63">ROUND(+IF(E52&lt;0.12,(I53),(IF(E52&gt;=0.12,((I52+2*I53+I54)/4)))),3)</f>
        <v>0.106</v>
      </c>
      <c r="L52" s="159">
        <f>ROUND(+(D52+D54)/2*(C54-C52),3)</f>
        <v>2.1999999999999999E-2</v>
      </c>
      <c r="M52" s="162">
        <f t="shared" ref="M52" si="64">ROUND(+K52*L52,4)</f>
        <v>2.3E-3</v>
      </c>
      <c r="N52" s="165">
        <f t="shared" ref="N52" si="65">ROUND(+M52/$M$71*100,1)</f>
        <v>3.2</v>
      </c>
      <c r="O52" s="168"/>
      <c r="P52" s="171"/>
    </row>
    <row r="53" spans="1:18" s="3" customFormat="1" ht="14.1" customHeight="1" x14ac:dyDescent="0.2">
      <c r="A53" s="11"/>
      <c r="B53" s="175"/>
      <c r="C53" s="178"/>
      <c r="D53" s="160"/>
      <c r="E53" s="160"/>
      <c r="F53" s="41" t="s">
        <v>72</v>
      </c>
      <c r="G53" s="160">
        <f t="shared" ref="G53" si="66">IF(E52&lt;0.12,0.6*E52,IF(E52&gt;=0.12,0.6*E52))</f>
        <v>5.8799999999999998E-2</v>
      </c>
      <c r="H53" s="160"/>
      <c r="I53" s="160">
        <v>0.106</v>
      </c>
      <c r="J53" s="160"/>
      <c r="K53" s="160"/>
      <c r="L53" s="160"/>
      <c r="M53" s="163"/>
      <c r="N53" s="166"/>
      <c r="O53" s="169"/>
      <c r="P53" s="172"/>
    </row>
    <row r="54" spans="1:18" s="3" customFormat="1" ht="13.9" customHeight="1" thickBot="1" x14ac:dyDescent="0.25">
      <c r="A54" s="11"/>
      <c r="B54" s="176"/>
      <c r="C54" s="42">
        <f t="shared" ref="C54" si="67">+C52+$P$8</f>
        <v>3.5600000000000009</v>
      </c>
      <c r="D54" s="43">
        <v>9.7000000000000003E-2</v>
      </c>
      <c r="E54" s="161"/>
      <c r="F54" s="44" t="s">
        <v>73</v>
      </c>
      <c r="G54" s="179" t="str">
        <f t="shared" ref="G54" si="68">IF(E52&lt;0.12,"NA",IF(E52&gt;=0.12,0.8*E52))</f>
        <v>NA</v>
      </c>
      <c r="H54" s="179"/>
      <c r="I54" s="170"/>
      <c r="J54" s="170"/>
      <c r="K54" s="161"/>
      <c r="L54" s="161"/>
      <c r="M54" s="164"/>
      <c r="N54" s="167"/>
      <c r="O54" s="170"/>
      <c r="P54" s="173"/>
    </row>
    <row r="55" spans="1:18" s="3" customFormat="1" ht="14.1" customHeight="1" x14ac:dyDescent="0.2">
      <c r="A55" s="11"/>
      <c r="B55" s="174">
        <v>14</v>
      </c>
      <c r="C55" s="177">
        <f t="shared" ref="C55:D55" si="69">+C54</f>
        <v>3.5600000000000009</v>
      </c>
      <c r="D55" s="159">
        <f t="shared" si="69"/>
        <v>9.7000000000000003E-2</v>
      </c>
      <c r="E55" s="159">
        <v>7.1999999999999995E-2</v>
      </c>
      <c r="F55" s="40" t="s">
        <v>71</v>
      </c>
      <c r="G55" s="168" t="str">
        <f t="shared" ref="G55" si="70">IF(E55&lt;0.12,"NA",IF(E55&gt;=0.12,0.2*E55))</f>
        <v>NA</v>
      </c>
      <c r="H55" s="168"/>
      <c r="I55" s="253"/>
      <c r="J55" s="253"/>
      <c r="K55" s="159">
        <f t="shared" ref="K55" si="71">ROUND(+IF(E55&lt;0.12,(I56),(IF(E55&gt;=0.12,((I55+2*I56+I57)/4)))),3)</f>
        <v>1.7999999999999999E-2</v>
      </c>
      <c r="L55" s="159">
        <f>ROUND(+(D55+D57)/2*(C57-C55),3)</f>
        <v>1.7000000000000001E-2</v>
      </c>
      <c r="M55" s="162">
        <f t="shared" ref="M55" si="72">ROUND(+K55*L55,4)</f>
        <v>2.9999999999999997E-4</v>
      </c>
      <c r="N55" s="165">
        <f t="shared" ref="N55" si="73">ROUND(+M55/$M$71*100,1)</f>
        <v>0.4</v>
      </c>
      <c r="O55" s="168"/>
      <c r="P55" s="171"/>
    </row>
    <row r="56" spans="1:18" s="3" customFormat="1" ht="14.1" customHeight="1" x14ac:dyDescent="0.2">
      <c r="A56" s="11"/>
      <c r="B56" s="175"/>
      <c r="C56" s="178"/>
      <c r="D56" s="160"/>
      <c r="E56" s="160"/>
      <c r="F56" s="41" t="s">
        <v>72</v>
      </c>
      <c r="G56" s="178">
        <f t="shared" ref="G56" si="74">IF(E55&lt;0.12,0.6*E55,IF(E55&gt;=0.12,0.6*E55))</f>
        <v>4.3199999999999995E-2</v>
      </c>
      <c r="H56" s="178"/>
      <c r="I56" s="254">
        <v>1.7999999999999999E-2</v>
      </c>
      <c r="J56" s="254"/>
      <c r="K56" s="160"/>
      <c r="L56" s="160"/>
      <c r="M56" s="163"/>
      <c r="N56" s="166"/>
      <c r="O56" s="169"/>
      <c r="P56" s="172"/>
    </row>
    <row r="57" spans="1:18" s="3" customFormat="1" ht="13.9" customHeight="1" thickBot="1" x14ac:dyDescent="0.25">
      <c r="A57" s="11"/>
      <c r="B57" s="176"/>
      <c r="C57" s="42">
        <f>+C55+0.25</f>
        <v>3.8100000000000009</v>
      </c>
      <c r="D57" s="43">
        <v>3.7999999999999999E-2</v>
      </c>
      <c r="E57" s="161"/>
      <c r="F57" s="44" t="s">
        <v>73</v>
      </c>
      <c r="G57" s="179" t="str">
        <f t="shared" ref="G57" si="75">IF(E55&lt;0.12,"NA",IF(E55&gt;=0.12,0.8*E55))</f>
        <v>NA</v>
      </c>
      <c r="H57" s="179"/>
      <c r="I57" s="256"/>
      <c r="J57" s="256"/>
      <c r="K57" s="161"/>
      <c r="L57" s="161"/>
      <c r="M57" s="164"/>
      <c r="N57" s="167"/>
      <c r="O57" s="170"/>
      <c r="P57" s="173"/>
    </row>
    <row r="58" spans="1:18" s="3" customFormat="1" ht="14.1" customHeight="1" x14ac:dyDescent="0.2">
      <c r="A58" s="11"/>
      <c r="B58" s="174">
        <v>15</v>
      </c>
      <c r="C58" s="177">
        <f t="shared" ref="C58:D58" si="76">+C57</f>
        <v>3.8100000000000009</v>
      </c>
      <c r="D58" s="159">
        <f t="shared" si="76"/>
        <v>3.7999999999999999E-2</v>
      </c>
      <c r="E58" s="159">
        <v>2.5000000000000001E-2</v>
      </c>
      <c r="F58" s="40" t="s">
        <v>71</v>
      </c>
      <c r="G58" s="168" t="str">
        <f t="shared" ref="G58" si="77">IF(E58&lt;0.12,"NA",IF(E58&gt;=0.12,0.2*E58))</f>
        <v>NA</v>
      </c>
      <c r="H58" s="168"/>
      <c r="I58" s="253"/>
      <c r="J58" s="253"/>
      <c r="K58" s="159">
        <f t="shared" ref="K58" si="78">ROUND(+IF(E58&lt;0.12,(I59),(IF(E58&gt;=0.12,((I58+2*I59+I60)/4)))),3)</f>
        <v>0</v>
      </c>
      <c r="L58" s="159">
        <f>ROUND(+(D58+D60)/2*(C60-C58),3)</f>
        <v>5.0000000000000001E-3</v>
      </c>
      <c r="M58" s="162">
        <f t="shared" ref="M58" si="79">ROUND(+K58*L58,4)</f>
        <v>0</v>
      </c>
      <c r="N58" s="165">
        <f t="shared" ref="N58" si="80">ROUND(+M58/$M$71*100,1)</f>
        <v>0</v>
      </c>
      <c r="O58" s="168"/>
      <c r="P58" s="171"/>
    </row>
    <row r="59" spans="1:18" s="3" customFormat="1" ht="14.1" customHeight="1" x14ac:dyDescent="0.2">
      <c r="A59" s="11"/>
      <c r="B59" s="175"/>
      <c r="C59" s="178"/>
      <c r="D59" s="160"/>
      <c r="E59" s="160"/>
      <c r="F59" s="41" t="s">
        <v>72</v>
      </c>
      <c r="G59" s="178">
        <f t="shared" ref="G59" si="81">IF(E58&lt;0.12,0.6*E58,IF(E58&gt;=0.12,0.6*E58))</f>
        <v>1.4999999999999999E-2</v>
      </c>
      <c r="H59" s="178"/>
      <c r="I59" s="254">
        <v>0</v>
      </c>
      <c r="J59" s="254"/>
      <c r="K59" s="160"/>
      <c r="L59" s="160"/>
      <c r="M59" s="163"/>
      <c r="N59" s="166"/>
      <c r="O59" s="169"/>
      <c r="P59" s="172"/>
    </row>
    <row r="60" spans="1:18" s="3" customFormat="1" ht="13.9" customHeight="1" thickBot="1" x14ac:dyDescent="0.25">
      <c r="A60" s="11"/>
      <c r="B60" s="176"/>
      <c r="C60" s="42">
        <f>+C58+0.25</f>
        <v>4.0600000000000005</v>
      </c>
      <c r="D60" s="43">
        <v>0</v>
      </c>
      <c r="E60" s="161"/>
      <c r="F60" s="44" t="s">
        <v>73</v>
      </c>
      <c r="G60" s="179" t="str">
        <f t="shared" ref="G60" si="82">IF(E58&lt;0.12,"NA",IF(E58&gt;=0.12,0.8*E58))</f>
        <v>NA</v>
      </c>
      <c r="H60" s="179"/>
      <c r="I60" s="256"/>
      <c r="J60" s="256"/>
      <c r="K60" s="161"/>
      <c r="L60" s="161"/>
      <c r="M60" s="164"/>
      <c r="N60" s="167"/>
      <c r="O60" s="170"/>
      <c r="P60" s="173"/>
    </row>
    <row r="61" spans="1:18" s="3" customFormat="1" ht="14.1" customHeight="1" x14ac:dyDescent="0.25">
      <c r="A61" s="11"/>
      <c r="B61" s="193">
        <f>+B43</f>
        <v>10</v>
      </c>
      <c r="C61" s="192">
        <f>+C43</f>
        <v>2.7600000000000002</v>
      </c>
      <c r="D61" s="194">
        <f>+D43</f>
        <v>0.26800000000000002</v>
      </c>
      <c r="E61" s="194">
        <f>+E43</f>
        <v>0.25800000000000001</v>
      </c>
      <c r="F61" s="45" t="s">
        <v>29</v>
      </c>
      <c r="G61" s="287"/>
      <c r="H61" s="287"/>
      <c r="I61" s="191">
        <v>0.317</v>
      </c>
      <c r="J61" s="191"/>
      <c r="K61" s="194">
        <f>AVERAGE(I61:J70)</f>
        <v>0.2999</v>
      </c>
      <c r="L61" s="193">
        <f>ROUND(+(D61+D66)/2*(C66-C61),3)</f>
        <v>4.5999999999999999E-2</v>
      </c>
      <c r="M61" s="209">
        <f>ROUND(+K61*L61,4)</f>
        <v>1.38E-2</v>
      </c>
      <c r="N61" s="193">
        <f>ROUND(+M61/$M$71*100,1)</f>
        <v>19.399999999999999</v>
      </c>
      <c r="O61" s="193"/>
      <c r="P61" s="193"/>
    </row>
    <row r="62" spans="1:18" s="3" customFormat="1" ht="14.1" customHeight="1" x14ac:dyDescent="0.25">
      <c r="A62" s="11"/>
      <c r="B62" s="193"/>
      <c r="C62" s="193"/>
      <c r="D62" s="194"/>
      <c r="E62" s="194"/>
      <c r="F62" s="45" t="s">
        <v>74</v>
      </c>
      <c r="G62" s="287">
        <f>+ROUND(0.1*$E$61,2)</f>
        <v>0.03</v>
      </c>
      <c r="H62" s="287"/>
      <c r="I62" s="191">
        <v>0.307</v>
      </c>
      <c r="J62" s="191"/>
      <c r="K62" s="193"/>
      <c r="L62" s="193"/>
      <c r="M62" s="209"/>
      <c r="N62" s="193"/>
      <c r="O62" s="193"/>
      <c r="P62" s="193"/>
      <c r="R62" s="46"/>
    </row>
    <row r="63" spans="1:18" s="3" customFormat="1" ht="14.1" customHeight="1" x14ac:dyDescent="0.25">
      <c r="A63" s="11"/>
      <c r="B63" s="193"/>
      <c r="C63" s="193"/>
      <c r="D63" s="194"/>
      <c r="E63" s="194"/>
      <c r="F63" s="45" t="s">
        <v>71</v>
      </c>
      <c r="G63" s="287">
        <f>+ROUND(0.2*$E$61,2)</f>
        <v>0.05</v>
      </c>
      <c r="H63" s="287"/>
      <c r="I63" s="191">
        <v>0.33200000000000002</v>
      </c>
      <c r="J63" s="191"/>
      <c r="K63" s="193"/>
      <c r="L63" s="193"/>
      <c r="M63" s="209"/>
      <c r="N63" s="193"/>
      <c r="O63" s="193"/>
      <c r="P63" s="193"/>
      <c r="R63" s="46"/>
    </row>
    <row r="64" spans="1:18" s="3" customFormat="1" ht="14.1" customHeight="1" x14ac:dyDescent="0.25">
      <c r="A64" s="11"/>
      <c r="B64" s="193"/>
      <c r="C64" s="193"/>
      <c r="D64" s="194"/>
      <c r="E64" s="194"/>
      <c r="F64" s="45" t="s">
        <v>75</v>
      </c>
      <c r="G64" s="287">
        <f>+ROUND(0.3*$E$61,2)</f>
        <v>0.08</v>
      </c>
      <c r="H64" s="287"/>
      <c r="I64" s="191">
        <v>0.34599999999999997</v>
      </c>
      <c r="J64" s="191"/>
      <c r="K64" s="193"/>
      <c r="L64" s="193"/>
      <c r="M64" s="209"/>
      <c r="N64" s="193"/>
      <c r="O64" s="193"/>
      <c r="P64" s="193"/>
      <c r="R64" s="46"/>
    </row>
    <row r="65" spans="1:18" s="3" customFormat="1" ht="14.1" customHeight="1" x14ac:dyDescent="0.25">
      <c r="A65" s="11"/>
      <c r="B65" s="193"/>
      <c r="C65" s="193"/>
      <c r="D65" s="194"/>
      <c r="E65" s="194"/>
      <c r="F65" s="45" t="s">
        <v>76</v>
      </c>
      <c r="G65" s="287">
        <f>+ROUND(0.4*$E$61,2)</f>
        <v>0.1</v>
      </c>
      <c r="H65" s="287"/>
      <c r="I65" s="191">
        <v>0.34699999999999998</v>
      </c>
      <c r="J65" s="191"/>
      <c r="K65" s="193"/>
      <c r="L65" s="193"/>
      <c r="M65" s="209"/>
      <c r="N65" s="193"/>
      <c r="O65" s="193"/>
      <c r="P65" s="193"/>
      <c r="R65" s="46"/>
    </row>
    <row r="66" spans="1:18" s="3" customFormat="1" ht="14.1" customHeight="1" x14ac:dyDescent="0.25">
      <c r="A66" s="11"/>
      <c r="B66" s="193"/>
      <c r="C66" s="192">
        <f>+C45</f>
        <v>2.9600000000000004</v>
      </c>
      <c r="D66" s="194">
        <f>+D45</f>
        <v>0.19400000000000001</v>
      </c>
      <c r="E66" s="194"/>
      <c r="F66" s="45" t="s">
        <v>28</v>
      </c>
      <c r="G66" s="287">
        <f>+ROUND(0.5*$E$61,2)</f>
        <v>0.13</v>
      </c>
      <c r="H66" s="287"/>
      <c r="I66" s="191">
        <v>0.34599999999999997</v>
      </c>
      <c r="J66" s="191"/>
      <c r="K66" s="193"/>
      <c r="L66" s="193"/>
      <c r="M66" s="209"/>
      <c r="N66" s="193"/>
      <c r="O66" s="193"/>
      <c r="P66" s="193"/>
      <c r="R66" s="46"/>
    </row>
    <row r="67" spans="1:18" s="3" customFormat="1" ht="14.1" customHeight="1" x14ac:dyDescent="0.25">
      <c r="A67" s="11"/>
      <c r="B67" s="193"/>
      <c r="C67" s="193"/>
      <c r="D67" s="194"/>
      <c r="E67" s="194"/>
      <c r="F67" s="45" t="s">
        <v>72</v>
      </c>
      <c r="G67" s="287">
        <f>+ROUND(0.6*$E$61,2)</f>
        <v>0.15</v>
      </c>
      <c r="H67" s="287"/>
      <c r="I67" s="191">
        <v>0.29299999999999998</v>
      </c>
      <c r="J67" s="191"/>
      <c r="K67" s="193"/>
      <c r="L67" s="193"/>
      <c r="M67" s="209"/>
      <c r="N67" s="193"/>
      <c r="O67" s="193"/>
      <c r="P67" s="193"/>
      <c r="R67" s="46"/>
    </row>
    <row r="68" spans="1:18" s="3" customFormat="1" ht="14.1" customHeight="1" x14ac:dyDescent="0.25">
      <c r="A68" s="11"/>
      <c r="B68" s="193"/>
      <c r="C68" s="193"/>
      <c r="D68" s="194"/>
      <c r="E68" s="194"/>
      <c r="F68" s="45" t="s">
        <v>77</v>
      </c>
      <c r="G68" s="287">
        <f>+ROUND(0.7*$E$61,2)</f>
        <v>0.18</v>
      </c>
      <c r="H68" s="287"/>
      <c r="I68" s="191">
        <v>0.251</v>
      </c>
      <c r="J68" s="191"/>
      <c r="K68" s="193"/>
      <c r="L68" s="193"/>
      <c r="M68" s="209"/>
      <c r="N68" s="193"/>
      <c r="O68" s="193"/>
      <c r="P68" s="193"/>
      <c r="R68" s="46"/>
    </row>
    <row r="69" spans="1:18" s="3" customFormat="1" ht="14.1" customHeight="1" x14ac:dyDescent="0.25">
      <c r="A69" s="11"/>
      <c r="B69" s="193"/>
      <c r="C69" s="193"/>
      <c r="D69" s="194"/>
      <c r="E69" s="194"/>
      <c r="F69" s="45" t="s">
        <v>73</v>
      </c>
      <c r="G69" s="287">
        <f>+ROUND(0.8*$E$61,2)</f>
        <v>0.21</v>
      </c>
      <c r="H69" s="287"/>
      <c r="I69" s="191">
        <v>0.24199999999999999</v>
      </c>
      <c r="J69" s="191"/>
      <c r="K69" s="193"/>
      <c r="L69" s="193"/>
      <c r="M69" s="209"/>
      <c r="N69" s="193"/>
      <c r="O69" s="193"/>
      <c r="P69" s="193"/>
      <c r="R69" s="46"/>
    </row>
    <row r="70" spans="1:18" s="3" customFormat="1" x14ac:dyDescent="0.25">
      <c r="A70" s="11"/>
      <c r="B70" s="193"/>
      <c r="C70" s="193"/>
      <c r="D70" s="194"/>
      <c r="E70" s="194"/>
      <c r="F70" s="45" t="s">
        <v>78</v>
      </c>
      <c r="G70" s="287">
        <f>+ROUND(0.9*$E$61,2)</f>
        <v>0.23</v>
      </c>
      <c r="H70" s="287"/>
      <c r="I70" s="191">
        <v>0.218</v>
      </c>
      <c r="J70" s="191"/>
      <c r="K70" s="193"/>
      <c r="L70" s="193"/>
      <c r="M70" s="209"/>
      <c r="N70" s="193"/>
      <c r="O70" s="193"/>
      <c r="P70" s="193"/>
      <c r="R70" s="46"/>
    </row>
    <row r="71" spans="1:18" s="3" customFormat="1" ht="12.75" x14ac:dyDescent="0.2">
      <c r="A71" s="11"/>
      <c r="B71" s="195" t="s">
        <v>30</v>
      </c>
      <c r="C71" s="196"/>
      <c r="D71" s="196"/>
      <c r="E71" s="196"/>
      <c r="F71" s="196"/>
      <c r="G71" s="196"/>
      <c r="H71" s="196"/>
      <c r="I71" s="196"/>
      <c r="J71" s="196"/>
      <c r="K71" s="47">
        <f>ROUND(+M71/L71,3)</f>
        <v>0.16900000000000001</v>
      </c>
      <c r="L71" s="15">
        <f>SUM(L16:L70)</f>
        <v>0.42000000000000004</v>
      </c>
      <c r="M71" s="14">
        <f>SUM(M16:M70)</f>
        <v>7.0999999999999994E-2</v>
      </c>
      <c r="N71" s="12">
        <f>ROUND(SUM(N16:N70),0)</f>
        <v>100</v>
      </c>
      <c r="O71" s="199" t="s">
        <v>31</v>
      </c>
      <c r="P71" s="201"/>
    </row>
    <row r="72" spans="1:18" s="3" customFormat="1" ht="15" customHeight="1" thickBot="1" x14ac:dyDescent="0.25">
      <c r="A72" s="11"/>
      <c r="B72" s="197"/>
      <c r="C72" s="198"/>
      <c r="D72" s="198"/>
      <c r="E72" s="198"/>
      <c r="F72" s="198"/>
      <c r="G72" s="198"/>
      <c r="H72" s="198"/>
      <c r="I72" s="198"/>
      <c r="J72" s="198"/>
      <c r="K72" s="13" t="s">
        <v>32</v>
      </c>
      <c r="L72" s="13" t="s">
        <v>48</v>
      </c>
      <c r="M72" s="13" t="s">
        <v>49</v>
      </c>
      <c r="N72" s="13" t="s">
        <v>33</v>
      </c>
      <c r="O72" s="200"/>
      <c r="P72" s="202"/>
    </row>
    <row r="73" spans="1:18" ht="69.599999999999994" customHeight="1" thickBot="1" x14ac:dyDescent="0.3">
      <c r="A73" s="48"/>
      <c r="B73" s="203" t="s">
        <v>27</v>
      </c>
      <c r="C73" s="204"/>
      <c r="D73" s="204"/>
      <c r="E73" s="204"/>
      <c r="F73" s="204"/>
      <c r="G73" s="204"/>
      <c r="H73" s="204"/>
      <c r="I73" s="204"/>
      <c r="J73" s="204"/>
      <c r="K73" s="204"/>
      <c r="L73" s="204"/>
      <c r="M73" s="204"/>
      <c r="N73" s="204"/>
      <c r="O73" s="204"/>
      <c r="P73" s="205"/>
    </row>
    <row r="74" spans="1:18" ht="15" customHeight="1" thickBot="1" x14ac:dyDescent="0.3">
      <c r="A74" s="5"/>
      <c r="B74" s="206" t="s">
        <v>79</v>
      </c>
      <c r="C74" s="207"/>
      <c r="D74" s="207"/>
      <c r="E74" s="207"/>
      <c r="F74" s="207"/>
      <c r="G74" s="207" t="s">
        <v>80</v>
      </c>
      <c r="H74" s="207"/>
      <c r="I74" s="207"/>
      <c r="J74" s="207"/>
      <c r="K74" s="207"/>
      <c r="L74" s="207"/>
      <c r="M74" s="207" t="s">
        <v>81</v>
      </c>
      <c r="N74" s="207"/>
      <c r="O74" s="207"/>
      <c r="P74" s="208"/>
    </row>
    <row r="75" spans="1:18" ht="15" customHeight="1" thickBot="1" x14ac:dyDescent="0.3">
      <c r="A75" s="5"/>
      <c r="B75" s="210"/>
      <c r="C75" s="211"/>
      <c r="D75" s="211"/>
      <c r="E75" s="211"/>
      <c r="F75" s="211"/>
      <c r="G75" s="211"/>
      <c r="H75" s="211"/>
      <c r="I75" s="212"/>
      <c r="J75" s="216" t="s">
        <v>51</v>
      </c>
      <c r="K75" s="217"/>
      <c r="L75" s="217"/>
      <c r="M75" s="217"/>
      <c r="N75" s="217"/>
      <c r="O75" s="217"/>
      <c r="P75" s="218"/>
    </row>
    <row r="76" spans="1:18" ht="18.600000000000001" customHeight="1" thickBot="1" x14ac:dyDescent="0.3">
      <c r="A76" s="6"/>
      <c r="B76" s="210"/>
      <c r="C76" s="211"/>
      <c r="D76" s="211"/>
      <c r="E76" s="211"/>
      <c r="F76" s="211"/>
      <c r="G76" s="211"/>
      <c r="H76" s="211"/>
      <c r="I76" s="212"/>
      <c r="J76" s="49" t="s">
        <v>82</v>
      </c>
      <c r="K76" s="219" t="s">
        <v>53</v>
      </c>
      <c r="L76" s="219"/>
      <c r="M76" s="219"/>
      <c r="N76" s="219"/>
      <c r="O76" s="219"/>
      <c r="P76" s="220"/>
    </row>
    <row r="77" spans="1:18" ht="97.15" customHeight="1" thickBot="1" x14ac:dyDescent="0.3">
      <c r="A77" s="10"/>
      <c r="B77" s="210"/>
      <c r="C77" s="211"/>
      <c r="D77" s="211"/>
      <c r="E77" s="211"/>
      <c r="F77" s="211"/>
      <c r="G77" s="211"/>
      <c r="H77" s="211"/>
      <c r="I77" s="212"/>
      <c r="J77" s="221" t="s">
        <v>99</v>
      </c>
      <c r="K77" s="222"/>
      <c r="L77" s="222"/>
      <c r="M77" s="222"/>
      <c r="N77" s="222"/>
      <c r="O77" s="222"/>
      <c r="P77" s="223"/>
    </row>
    <row r="78" spans="1:18" ht="15" customHeight="1" thickBot="1" x14ac:dyDescent="0.3">
      <c r="A78" s="5"/>
      <c r="B78" s="210"/>
      <c r="C78" s="211"/>
      <c r="D78" s="211"/>
      <c r="E78" s="211"/>
      <c r="F78" s="211"/>
      <c r="G78" s="211"/>
      <c r="H78" s="211"/>
      <c r="I78" s="212"/>
      <c r="J78" s="224" t="s">
        <v>34</v>
      </c>
      <c r="K78" s="225"/>
      <c r="L78" s="225"/>
      <c r="M78" s="225"/>
      <c r="N78" s="226"/>
      <c r="O78" s="227">
        <v>5.6</v>
      </c>
      <c r="P78" s="228"/>
    </row>
    <row r="79" spans="1:18" ht="15.75" thickBot="1" x14ac:dyDescent="0.3">
      <c r="A79" s="5"/>
      <c r="B79" s="210"/>
      <c r="C79" s="211"/>
      <c r="D79" s="211"/>
      <c r="E79" s="211"/>
      <c r="F79" s="211"/>
      <c r="G79" s="211"/>
      <c r="H79" s="211"/>
      <c r="I79" s="212"/>
      <c r="J79" s="229" t="s">
        <v>50</v>
      </c>
      <c r="K79" s="230"/>
      <c r="L79" s="230"/>
      <c r="M79" s="230"/>
      <c r="N79" s="231"/>
      <c r="O79" s="227">
        <v>0.3624</v>
      </c>
      <c r="P79" s="228"/>
    </row>
    <row r="80" spans="1:18" ht="14.45" customHeight="1" thickBot="1" x14ac:dyDescent="0.3">
      <c r="A80" s="5"/>
      <c r="B80" s="213"/>
      <c r="C80" s="214"/>
      <c r="D80" s="214"/>
      <c r="E80" s="214"/>
      <c r="F80" s="214"/>
      <c r="G80" s="214"/>
      <c r="H80" s="214"/>
      <c r="I80" s="215"/>
      <c r="J80" s="232" t="s">
        <v>86</v>
      </c>
      <c r="K80" s="233"/>
      <c r="L80" s="233"/>
      <c r="M80" s="233"/>
      <c r="N80" s="233"/>
      <c r="O80" s="233"/>
      <c r="P80" s="234"/>
    </row>
    <row r="81" spans="1:16" ht="14.45" customHeight="1" thickBot="1" x14ac:dyDescent="0.3">
      <c r="A81" s="7"/>
      <c r="B81" s="240"/>
      <c r="C81" s="240"/>
      <c r="D81" s="240"/>
      <c r="E81" s="240"/>
      <c r="F81" s="240"/>
      <c r="G81" s="240"/>
      <c r="H81" s="240"/>
      <c r="I81" s="240"/>
      <c r="J81" s="240"/>
      <c r="K81" s="240"/>
      <c r="L81" s="240"/>
      <c r="M81" s="240"/>
      <c r="N81" s="240"/>
      <c r="O81" s="240"/>
      <c r="P81" s="241"/>
    </row>
    <row r="82" spans="1:16" ht="15.75" thickBot="1" x14ac:dyDescent="0.3">
      <c r="A82" s="242" t="s">
        <v>35</v>
      </c>
      <c r="B82" s="243"/>
      <c r="C82" s="243"/>
      <c r="D82" s="243"/>
      <c r="E82" s="243"/>
      <c r="F82" s="243"/>
      <c r="G82" s="243"/>
      <c r="H82" s="243"/>
      <c r="I82" s="243"/>
      <c r="J82" s="243"/>
      <c r="K82" s="243"/>
      <c r="L82" s="243"/>
      <c r="M82" s="243"/>
      <c r="N82" s="243"/>
      <c r="O82" s="243"/>
      <c r="P82" s="244"/>
    </row>
    <row r="83" spans="1:16" ht="141.6" customHeight="1" thickBot="1" x14ac:dyDescent="0.3">
      <c r="A83" s="4"/>
      <c r="B83" s="245"/>
      <c r="C83" s="246"/>
      <c r="D83" s="246"/>
      <c r="E83" s="246"/>
      <c r="F83" s="247"/>
      <c r="G83" s="245"/>
      <c r="H83" s="246"/>
      <c r="I83" s="246"/>
      <c r="J83" s="246"/>
      <c r="K83" s="246"/>
      <c r="L83" s="247"/>
      <c r="M83" s="245"/>
      <c r="N83" s="246"/>
      <c r="O83" s="246"/>
      <c r="P83" s="247"/>
    </row>
    <row r="84" spans="1:16" s="9" customFormat="1" ht="13.9" customHeight="1" thickBot="1" x14ac:dyDescent="0.3">
      <c r="A84" s="8" t="s">
        <v>87</v>
      </c>
      <c r="B84" s="248" t="s">
        <v>98</v>
      </c>
      <c r="C84" s="235"/>
      <c r="D84" s="235"/>
      <c r="E84" s="235"/>
      <c r="F84" s="236"/>
      <c r="G84" s="248" t="s">
        <v>89</v>
      </c>
      <c r="H84" s="235"/>
      <c r="I84" s="235"/>
      <c r="J84" s="235"/>
      <c r="K84" s="235"/>
      <c r="L84" s="236"/>
      <c r="M84" s="248" t="s">
        <v>90</v>
      </c>
      <c r="N84" s="235"/>
      <c r="O84" s="235"/>
      <c r="P84" s="236"/>
    </row>
    <row r="85" spans="1:16" s="9" customFormat="1" ht="52.15" customHeight="1" thickBot="1" x14ac:dyDescent="0.3">
      <c r="A85" s="8"/>
      <c r="B85" s="235"/>
      <c r="C85" s="235"/>
      <c r="D85" s="235"/>
      <c r="E85" s="235"/>
      <c r="F85" s="235"/>
      <c r="G85" s="235"/>
      <c r="H85" s="235"/>
      <c r="I85" s="235"/>
      <c r="J85" s="235"/>
      <c r="K85" s="235"/>
      <c r="L85" s="235"/>
      <c r="M85" s="235"/>
      <c r="N85" s="235"/>
      <c r="O85" s="235"/>
      <c r="P85" s="236"/>
    </row>
    <row r="86" spans="1:16" s="3" customFormat="1" ht="15.75" customHeight="1" thickBot="1" x14ac:dyDescent="0.25">
      <c r="A86" s="237" t="s">
        <v>36</v>
      </c>
      <c r="B86" s="238"/>
      <c r="C86" s="238"/>
      <c r="D86" s="238" t="s">
        <v>93</v>
      </c>
      <c r="E86" s="238"/>
      <c r="F86" s="238"/>
      <c r="G86" s="238"/>
      <c r="H86" s="238"/>
      <c r="I86" s="238"/>
      <c r="J86" s="238" t="s">
        <v>37</v>
      </c>
      <c r="K86" s="238"/>
      <c r="L86" s="238"/>
      <c r="M86" s="238"/>
      <c r="N86" s="238"/>
      <c r="O86" s="238"/>
      <c r="P86" s="239"/>
    </row>
  </sheetData>
  <mergeCells count="348">
    <mergeCell ref="B85:P85"/>
    <mergeCell ref="A86:C86"/>
    <mergeCell ref="D86:I86"/>
    <mergeCell ref="J86:K86"/>
    <mergeCell ref="L86:P86"/>
    <mergeCell ref="B81:P81"/>
    <mergeCell ref="A82:P82"/>
    <mergeCell ref="B83:F83"/>
    <mergeCell ref="G83:L83"/>
    <mergeCell ref="M83:P83"/>
    <mergeCell ref="B84:F84"/>
    <mergeCell ref="G84:L84"/>
    <mergeCell ref="M84:P84"/>
    <mergeCell ref="B75:I80"/>
    <mergeCell ref="J75:P75"/>
    <mergeCell ref="K76:P76"/>
    <mergeCell ref="J77:P77"/>
    <mergeCell ref="J78:N78"/>
    <mergeCell ref="O78:P78"/>
    <mergeCell ref="J79:N79"/>
    <mergeCell ref="O79:P79"/>
    <mergeCell ref="J80:P80"/>
    <mergeCell ref="B71:J72"/>
    <mergeCell ref="O71:O72"/>
    <mergeCell ref="P71:P72"/>
    <mergeCell ref="B73:P73"/>
    <mergeCell ref="B74:F74"/>
    <mergeCell ref="G74:L74"/>
    <mergeCell ref="M74:P74"/>
    <mergeCell ref="G68:H68"/>
    <mergeCell ref="I68:J68"/>
    <mergeCell ref="G69:H69"/>
    <mergeCell ref="I69:J69"/>
    <mergeCell ref="G70:H70"/>
    <mergeCell ref="I70:J70"/>
    <mergeCell ref="K61:K70"/>
    <mergeCell ref="L61:L70"/>
    <mergeCell ref="M61:M70"/>
    <mergeCell ref="N61:N70"/>
    <mergeCell ref="O61:O70"/>
    <mergeCell ref="P61:P70"/>
    <mergeCell ref="B61:B70"/>
    <mergeCell ref="G64:H64"/>
    <mergeCell ref="I64:J64"/>
    <mergeCell ref="G65:H65"/>
    <mergeCell ref="I65:J65"/>
    <mergeCell ref="C66:C70"/>
    <mergeCell ref="D66:D70"/>
    <mergeCell ref="G66:H66"/>
    <mergeCell ref="I66:J66"/>
    <mergeCell ref="G67:H67"/>
    <mergeCell ref="I67:J67"/>
    <mergeCell ref="C61:C65"/>
    <mergeCell ref="D61:D65"/>
    <mergeCell ref="E61:E70"/>
    <mergeCell ref="G61:H61"/>
    <mergeCell ref="I61:J61"/>
    <mergeCell ref="G62:H62"/>
    <mergeCell ref="I62:J62"/>
    <mergeCell ref="G63:H63"/>
    <mergeCell ref="I63:J63"/>
    <mergeCell ref="K58:K60"/>
    <mergeCell ref="L58:L60"/>
    <mergeCell ref="M58:M60"/>
    <mergeCell ref="N58:N60"/>
    <mergeCell ref="O58:O60"/>
    <mergeCell ref="P58:P60"/>
    <mergeCell ref="B58:B60"/>
    <mergeCell ref="C58:C59"/>
    <mergeCell ref="D58:D59"/>
    <mergeCell ref="E58:E60"/>
    <mergeCell ref="G58:H58"/>
    <mergeCell ref="I58:J58"/>
    <mergeCell ref="G59:H59"/>
    <mergeCell ref="I59:J59"/>
    <mergeCell ref="G60:H60"/>
    <mergeCell ref="I60:J60"/>
    <mergeCell ref="K55:K57"/>
    <mergeCell ref="L55:L57"/>
    <mergeCell ref="M55:M57"/>
    <mergeCell ref="N55:N57"/>
    <mergeCell ref="O55:O57"/>
    <mergeCell ref="P55:P57"/>
    <mergeCell ref="B55:B57"/>
    <mergeCell ref="C55:C56"/>
    <mergeCell ref="D55:D56"/>
    <mergeCell ref="E55:E57"/>
    <mergeCell ref="G55:H55"/>
    <mergeCell ref="I55:J55"/>
    <mergeCell ref="G56:H56"/>
    <mergeCell ref="I56:J56"/>
    <mergeCell ref="G57:H57"/>
    <mergeCell ref="I57:J57"/>
    <mergeCell ref="K52:K54"/>
    <mergeCell ref="L52:L54"/>
    <mergeCell ref="M52:M54"/>
    <mergeCell ref="N52:N54"/>
    <mergeCell ref="O52:O54"/>
    <mergeCell ref="P52:P54"/>
    <mergeCell ref="B52:B54"/>
    <mergeCell ref="C52:C53"/>
    <mergeCell ref="D52:D53"/>
    <mergeCell ref="E52:E54"/>
    <mergeCell ref="G52:H52"/>
    <mergeCell ref="I52:J52"/>
    <mergeCell ref="G53:H53"/>
    <mergeCell ref="I53:J53"/>
    <mergeCell ref="G54:H54"/>
    <mergeCell ref="I54:J54"/>
    <mergeCell ref="K49:K51"/>
    <mergeCell ref="L49:L51"/>
    <mergeCell ref="M49:M51"/>
    <mergeCell ref="N49:N51"/>
    <mergeCell ref="O49:O51"/>
    <mergeCell ref="P49:P51"/>
    <mergeCell ref="B49:B51"/>
    <mergeCell ref="C49:C50"/>
    <mergeCell ref="D49:D50"/>
    <mergeCell ref="E49:E51"/>
    <mergeCell ref="G49:H49"/>
    <mergeCell ref="I49:J49"/>
    <mergeCell ref="G50:H50"/>
    <mergeCell ref="I50:J50"/>
    <mergeCell ref="G51:H51"/>
    <mergeCell ref="I51:J51"/>
    <mergeCell ref="K46:K48"/>
    <mergeCell ref="L46:L48"/>
    <mergeCell ref="M46:M48"/>
    <mergeCell ref="N46:N48"/>
    <mergeCell ref="O46:O48"/>
    <mergeCell ref="P46:P48"/>
    <mergeCell ref="B46:B48"/>
    <mergeCell ref="C46:C47"/>
    <mergeCell ref="D46:D47"/>
    <mergeCell ref="E46:E48"/>
    <mergeCell ref="G46:H46"/>
    <mergeCell ref="I46:J46"/>
    <mergeCell ref="G47:H47"/>
    <mergeCell ref="I47:J47"/>
    <mergeCell ref="G48:H48"/>
    <mergeCell ref="I48:J48"/>
    <mergeCell ref="K43:K45"/>
    <mergeCell ref="L43:L45"/>
    <mergeCell ref="M43:M45"/>
    <mergeCell ref="N43:N45"/>
    <mergeCell ref="O43:O45"/>
    <mergeCell ref="P43:P45"/>
    <mergeCell ref="B43:B45"/>
    <mergeCell ref="C43:C44"/>
    <mergeCell ref="D43:D44"/>
    <mergeCell ref="E43:E45"/>
    <mergeCell ref="G43:H43"/>
    <mergeCell ref="I43:J43"/>
    <mergeCell ref="G44:H44"/>
    <mergeCell ref="I44:J44"/>
    <mergeCell ref="G45:H45"/>
    <mergeCell ref="I45:J45"/>
    <mergeCell ref="K40:K42"/>
    <mergeCell ref="L40:L42"/>
    <mergeCell ref="M40:M42"/>
    <mergeCell ref="N40:N42"/>
    <mergeCell ref="O40:O42"/>
    <mergeCell ref="P40:P42"/>
    <mergeCell ref="B40:B42"/>
    <mergeCell ref="C40:C41"/>
    <mergeCell ref="D40:D41"/>
    <mergeCell ref="E40:E42"/>
    <mergeCell ref="G40:H40"/>
    <mergeCell ref="I40:J40"/>
    <mergeCell ref="G41:H41"/>
    <mergeCell ref="I41:J41"/>
    <mergeCell ref="G42:H42"/>
    <mergeCell ref="I42:J42"/>
    <mergeCell ref="K37:K39"/>
    <mergeCell ref="L37:L39"/>
    <mergeCell ref="M37:M39"/>
    <mergeCell ref="N37:N39"/>
    <mergeCell ref="O37:O39"/>
    <mergeCell ref="P37:P39"/>
    <mergeCell ref="B37:B39"/>
    <mergeCell ref="C37:C38"/>
    <mergeCell ref="D37:D38"/>
    <mergeCell ref="E37:E39"/>
    <mergeCell ref="G37:H37"/>
    <mergeCell ref="I37:J37"/>
    <mergeCell ref="G38:H38"/>
    <mergeCell ref="I38:J38"/>
    <mergeCell ref="G39:H39"/>
    <mergeCell ref="I39:J39"/>
    <mergeCell ref="K34:K36"/>
    <mergeCell ref="L34:L36"/>
    <mergeCell ref="M34:M36"/>
    <mergeCell ref="N34:N36"/>
    <mergeCell ref="O34:O36"/>
    <mergeCell ref="P34:P36"/>
    <mergeCell ref="B34:B36"/>
    <mergeCell ref="C34:C35"/>
    <mergeCell ref="D34:D35"/>
    <mergeCell ref="E34:E36"/>
    <mergeCell ref="G34:H34"/>
    <mergeCell ref="I34:J34"/>
    <mergeCell ref="G35:H35"/>
    <mergeCell ref="I35:J35"/>
    <mergeCell ref="G36:H36"/>
    <mergeCell ref="I36:J36"/>
    <mergeCell ref="K31:K33"/>
    <mergeCell ref="L31:L33"/>
    <mergeCell ref="M31:M33"/>
    <mergeCell ref="N31:N33"/>
    <mergeCell ref="O31:O33"/>
    <mergeCell ref="P31:P33"/>
    <mergeCell ref="B31:B33"/>
    <mergeCell ref="C31:C32"/>
    <mergeCell ref="D31:D32"/>
    <mergeCell ref="E31:E33"/>
    <mergeCell ref="G31:H31"/>
    <mergeCell ref="I31:J31"/>
    <mergeCell ref="G32:H32"/>
    <mergeCell ref="I32:J32"/>
    <mergeCell ref="G33:H33"/>
    <mergeCell ref="I33:J33"/>
    <mergeCell ref="K28:K30"/>
    <mergeCell ref="L28:L30"/>
    <mergeCell ref="M28:M30"/>
    <mergeCell ref="N28:N30"/>
    <mergeCell ref="O28:O30"/>
    <mergeCell ref="P28:P30"/>
    <mergeCell ref="B28:B30"/>
    <mergeCell ref="C28:C29"/>
    <mergeCell ref="D28:D29"/>
    <mergeCell ref="E28:E30"/>
    <mergeCell ref="G28:H28"/>
    <mergeCell ref="I28:J28"/>
    <mergeCell ref="G29:H29"/>
    <mergeCell ref="I29:J29"/>
    <mergeCell ref="G30:H30"/>
    <mergeCell ref="I30:J30"/>
    <mergeCell ref="K25:K27"/>
    <mergeCell ref="L25:L27"/>
    <mergeCell ref="M25:M27"/>
    <mergeCell ref="N25:N27"/>
    <mergeCell ref="O25:O27"/>
    <mergeCell ref="P25:P27"/>
    <mergeCell ref="B25:B27"/>
    <mergeCell ref="C25:C26"/>
    <mergeCell ref="D25:D26"/>
    <mergeCell ref="E25:E27"/>
    <mergeCell ref="G25:H25"/>
    <mergeCell ref="I25:J25"/>
    <mergeCell ref="G26:H26"/>
    <mergeCell ref="I26:J26"/>
    <mergeCell ref="G27:H27"/>
    <mergeCell ref="I27:J27"/>
    <mergeCell ref="K22:K24"/>
    <mergeCell ref="L22:L24"/>
    <mergeCell ref="M22:M24"/>
    <mergeCell ref="N22:N24"/>
    <mergeCell ref="O22:O24"/>
    <mergeCell ref="P22:P24"/>
    <mergeCell ref="B22:B24"/>
    <mergeCell ref="C22:C23"/>
    <mergeCell ref="D22:D23"/>
    <mergeCell ref="E22:E24"/>
    <mergeCell ref="G22:H22"/>
    <mergeCell ref="I22:J22"/>
    <mergeCell ref="G23:H23"/>
    <mergeCell ref="I23:J23"/>
    <mergeCell ref="G24:H24"/>
    <mergeCell ref="I24:J24"/>
    <mergeCell ref="K19:K21"/>
    <mergeCell ref="L19:L21"/>
    <mergeCell ref="M19:M21"/>
    <mergeCell ref="N19:N21"/>
    <mergeCell ref="O19:O21"/>
    <mergeCell ref="P19:P21"/>
    <mergeCell ref="B19:B21"/>
    <mergeCell ref="C19:C20"/>
    <mergeCell ref="D19:D20"/>
    <mergeCell ref="E19:E21"/>
    <mergeCell ref="G19:H19"/>
    <mergeCell ref="I19:J19"/>
    <mergeCell ref="G20:H20"/>
    <mergeCell ref="I20:J20"/>
    <mergeCell ref="G21:H21"/>
    <mergeCell ref="I21:J21"/>
    <mergeCell ref="M16:M18"/>
    <mergeCell ref="N16:N18"/>
    <mergeCell ref="O16:O18"/>
    <mergeCell ref="P16:P18"/>
    <mergeCell ref="B16:B18"/>
    <mergeCell ref="C16:C17"/>
    <mergeCell ref="D16:D17"/>
    <mergeCell ref="E16:E18"/>
    <mergeCell ref="G16:H16"/>
    <mergeCell ref="I16:J16"/>
    <mergeCell ref="G17:H17"/>
    <mergeCell ref="I17:J17"/>
    <mergeCell ref="G18:H18"/>
    <mergeCell ref="I18:J18"/>
    <mergeCell ref="B14:B15"/>
    <mergeCell ref="C14:C15"/>
    <mergeCell ref="D14:D15"/>
    <mergeCell ref="E14:E15"/>
    <mergeCell ref="F14:H15"/>
    <mergeCell ref="I14:J14"/>
    <mergeCell ref="I15:J15"/>
    <mergeCell ref="K16:K18"/>
    <mergeCell ref="L16:L18"/>
    <mergeCell ref="B11:B13"/>
    <mergeCell ref="C11:E11"/>
    <mergeCell ref="G11:K11"/>
    <mergeCell ref="L11:L13"/>
    <mergeCell ref="M11:P11"/>
    <mergeCell ref="C12:E12"/>
    <mergeCell ref="G12:K13"/>
    <mergeCell ref="M12:P12"/>
    <mergeCell ref="C13:F13"/>
    <mergeCell ref="M13:P13"/>
    <mergeCell ref="B7:E7"/>
    <mergeCell ref="F7:H7"/>
    <mergeCell ref="J7:K7"/>
    <mergeCell ref="M7:O7"/>
    <mergeCell ref="B8:E8"/>
    <mergeCell ref="J8:K8"/>
    <mergeCell ref="M8:O8"/>
    <mergeCell ref="B9:C10"/>
    <mergeCell ref="D9:D10"/>
    <mergeCell ref="E9:G9"/>
    <mergeCell ref="I9:J10"/>
    <mergeCell ref="K9:K10"/>
    <mergeCell ref="L9:N9"/>
    <mergeCell ref="O9:P9"/>
    <mergeCell ref="E10:G10"/>
    <mergeCell ref="L10:N10"/>
    <mergeCell ref="O10:P10"/>
    <mergeCell ref="O2:P3"/>
    <mergeCell ref="B4:P4"/>
    <mergeCell ref="C5:D5"/>
    <mergeCell ref="E5:F5"/>
    <mergeCell ref="H5:I5"/>
    <mergeCell ref="J5:P5"/>
    <mergeCell ref="B2:D3"/>
    <mergeCell ref="E2:N3"/>
    <mergeCell ref="B6:C6"/>
    <mergeCell ref="D6:J6"/>
    <mergeCell ref="K6:L6"/>
    <mergeCell ref="M6:N6"/>
    <mergeCell ref="O6:P6"/>
  </mergeCells>
  <printOptions horizontalCentered="1"/>
  <pageMargins left="0.35433070866141736" right="0.23622047244094491" top="0.74803149606299213" bottom="0.74803149606299213" header="0.19685039370078741" footer="0.31496062992125984"/>
  <pageSetup scale="76" fitToHeight="0" orientation="portrait" r:id="rId1"/>
  <headerFooter>
    <oddHeader>&amp;C&amp;"-,Negrita Cursiva"&amp;12Protocolo integrado de aforo en ríos de montaña 
Universidad Nacional de Colombia-Sede Manizales</oddHeader>
  </headerFooter>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vt:i4>
      </vt:variant>
    </vt:vector>
  </HeadingPairs>
  <TitlesOfParts>
    <vt:vector size="19" baseType="lpstr">
      <vt:lpstr>Planta y sección típica</vt:lpstr>
      <vt:lpstr>Aforo 1</vt:lpstr>
      <vt:lpstr>Aforo 2</vt:lpstr>
      <vt:lpstr>Aforo 3</vt:lpstr>
      <vt:lpstr>Aforo 4</vt:lpstr>
      <vt:lpstr>Aforo 5</vt:lpstr>
      <vt:lpstr> Aforo 6</vt:lpstr>
      <vt:lpstr>' Aforo 6'!Área_de_impresión</vt:lpstr>
      <vt:lpstr>'Aforo 1'!Área_de_impresión</vt:lpstr>
      <vt:lpstr>'Aforo 2'!Área_de_impresión</vt:lpstr>
      <vt:lpstr>'Aforo 3'!Área_de_impresión</vt:lpstr>
      <vt:lpstr>'Aforo 4'!Área_de_impresión</vt:lpstr>
      <vt:lpstr>'Aforo 5'!Área_de_impresión</vt:lpstr>
      <vt:lpstr>' Aforo 6'!Títulos_a_imprimir</vt:lpstr>
      <vt:lpstr>'Aforo 1'!Títulos_a_imprimir</vt:lpstr>
      <vt:lpstr>'Aforo 2'!Títulos_a_imprimir</vt:lpstr>
      <vt:lpstr>'Aforo 3'!Títulos_a_imprimir</vt:lpstr>
      <vt:lpstr>'Aforo 4'!Títulos_a_imprimir</vt:lpstr>
      <vt:lpstr>'Aforo 5'!Títulos_a_imprimir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ALZATE</dc:creator>
  <cp:lastModifiedBy>MATEO ALZATE</cp:lastModifiedBy>
  <dcterms:created xsi:type="dcterms:W3CDTF">2019-04-11T19:24:47Z</dcterms:created>
  <dcterms:modified xsi:type="dcterms:W3CDTF">2019-05-16T21:02:52Z</dcterms:modified>
</cp:coreProperties>
</file>