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53" r:id="rId2"/>
    <sheet name="Aforo 2" sheetId="54" r:id="rId3"/>
    <sheet name="Aforo 3" sheetId="55" r:id="rId4"/>
    <sheet name="Aforo 4" sheetId="56" r:id="rId5"/>
  </sheets>
  <definedNames>
    <definedName name="_xlnm.Print_Area" localSheetId="1">'Aforo 1'!$B$1:$P$128</definedName>
    <definedName name="_xlnm.Print_Area" localSheetId="2">'Aforo 2'!$B$1:$P$143</definedName>
    <definedName name="_xlnm.Print_Area" localSheetId="3">'Aforo 3'!$B$1:$P$143</definedName>
    <definedName name="_xlnm.Print_Area" localSheetId="4">'Aforo 4'!$B$1:$P$143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2" i="56" l="1"/>
  <c r="O131" i="56"/>
  <c r="G126" i="56"/>
  <c r="G122" i="56"/>
  <c r="D122" i="56"/>
  <c r="G120" i="56"/>
  <c r="K117" i="56"/>
  <c r="E117" i="56"/>
  <c r="G125" i="56" s="1"/>
  <c r="D117" i="56"/>
  <c r="G108" i="56"/>
  <c r="G107" i="56"/>
  <c r="G106" i="56"/>
  <c r="G105" i="56"/>
  <c r="K104" i="56"/>
  <c r="G103" i="56"/>
  <c r="G102" i="56"/>
  <c r="G101" i="56"/>
  <c r="G100" i="56"/>
  <c r="K99" i="56"/>
  <c r="G98" i="56"/>
  <c r="G97" i="56"/>
  <c r="G96" i="56"/>
  <c r="G95" i="56"/>
  <c r="K94" i="56"/>
  <c r="G93" i="56"/>
  <c r="G92" i="56"/>
  <c r="G91" i="56"/>
  <c r="G90" i="56"/>
  <c r="K89" i="56"/>
  <c r="G88" i="56"/>
  <c r="G87" i="56"/>
  <c r="G86" i="56"/>
  <c r="G85" i="56"/>
  <c r="K84" i="56"/>
  <c r="G83" i="56"/>
  <c r="G82" i="56"/>
  <c r="G81" i="56"/>
  <c r="G80" i="56"/>
  <c r="K79" i="56"/>
  <c r="G78" i="56"/>
  <c r="G77" i="56"/>
  <c r="G76" i="56"/>
  <c r="G75" i="56"/>
  <c r="K74" i="56"/>
  <c r="G73" i="56"/>
  <c r="G72" i="56"/>
  <c r="G71" i="56"/>
  <c r="G70" i="56"/>
  <c r="G68" i="56"/>
  <c r="G67" i="56"/>
  <c r="G66" i="56"/>
  <c r="G65" i="56"/>
  <c r="K64" i="56"/>
  <c r="B64" i="56"/>
  <c r="B69" i="56" s="1"/>
  <c r="G63" i="56"/>
  <c r="G62" i="56"/>
  <c r="G61" i="56"/>
  <c r="G60" i="56"/>
  <c r="K59" i="56"/>
  <c r="B59" i="56"/>
  <c r="G58" i="56"/>
  <c r="G57" i="56"/>
  <c r="G56" i="56"/>
  <c r="G55" i="56"/>
  <c r="K54" i="56"/>
  <c r="G53" i="56"/>
  <c r="G52" i="56"/>
  <c r="G51" i="56"/>
  <c r="G50" i="56"/>
  <c r="K49" i="56"/>
  <c r="G48" i="56"/>
  <c r="G47" i="56"/>
  <c r="G46" i="56"/>
  <c r="G45" i="56"/>
  <c r="K44" i="56"/>
  <c r="G43" i="56"/>
  <c r="G42" i="56"/>
  <c r="G41" i="56"/>
  <c r="G40" i="56"/>
  <c r="K39" i="56"/>
  <c r="G38" i="56"/>
  <c r="G37" i="56"/>
  <c r="G36" i="56"/>
  <c r="G35" i="56"/>
  <c r="K34" i="56"/>
  <c r="G33" i="56"/>
  <c r="G32" i="56"/>
  <c r="G31" i="56"/>
  <c r="G30" i="56"/>
  <c r="K29" i="56"/>
  <c r="G28" i="56"/>
  <c r="G27" i="56"/>
  <c r="G26" i="56"/>
  <c r="G25" i="56"/>
  <c r="K24" i="56"/>
  <c r="G23" i="56"/>
  <c r="G22" i="56"/>
  <c r="G21" i="56"/>
  <c r="G20" i="56"/>
  <c r="K19" i="56"/>
  <c r="C18" i="56"/>
  <c r="C19" i="56" s="1"/>
  <c r="B117" i="56" l="1"/>
  <c r="B74" i="56"/>
  <c r="B79" i="56" s="1"/>
  <c r="B84" i="56" s="1"/>
  <c r="B89" i="56" s="1"/>
  <c r="B94" i="56" s="1"/>
  <c r="B99" i="56" s="1"/>
  <c r="B104" i="56" s="1"/>
  <c r="C24" i="56"/>
  <c r="L19" i="56"/>
  <c r="G123" i="56"/>
  <c r="G127" i="56"/>
  <c r="G118" i="56"/>
  <c r="G124" i="56"/>
  <c r="G121" i="56"/>
  <c r="G119" i="56"/>
  <c r="L24" i="56" l="1"/>
  <c r="M24" i="56" s="1"/>
  <c r="C29" i="56"/>
  <c r="M19" i="56"/>
  <c r="L29" i="56" l="1"/>
  <c r="C34" i="56"/>
  <c r="L34" i="56" l="1"/>
  <c r="M34" i="56" s="1"/>
  <c r="C39" i="56"/>
  <c r="M29" i="56"/>
  <c r="C44" i="56" l="1"/>
  <c r="L39" i="56"/>
  <c r="C49" i="56" l="1"/>
  <c r="L44" i="56"/>
  <c r="M44" i="56" s="1"/>
  <c r="M39" i="56"/>
  <c r="L49" i="56" l="1"/>
  <c r="C54" i="56"/>
  <c r="M49" i="56" l="1"/>
  <c r="C59" i="56"/>
  <c r="L54" i="56"/>
  <c r="M54" i="56" s="1"/>
  <c r="C64" i="56" l="1"/>
  <c r="L59" i="56"/>
  <c r="M59" i="56" s="1"/>
  <c r="C117" i="56" l="1"/>
  <c r="C69" i="56"/>
  <c r="L64" i="56"/>
  <c r="M64" i="56" s="1"/>
  <c r="C122" i="56" l="1"/>
  <c r="L117" i="56" s="1"/>
  <c r="C74" i="56"/>
  <c r="C79" i="56" l="1"/>
  <c r="L74" i="56"/>
  <c r="M74" i="56" s="1"/>
  <c r="M117" i="56"/>
  <c r="L79" i="56" l="1"/>
  <c r="M79" i="56" s="1"/>
  <c r="C84" i="56"/>
  <c r="C89" i="56" l="1"/>
  <c r="L84" i="56"/>
  <c r="C94" i="56" l="1"/>
  <c r="L89" i="56"/>
  <c r="M89" i="56" s="1"/>
  <c r="M84" i="56"/>
  <c r="C99" i="56" l="1"/>
  <c r="L94" i="56"/>
  <c r="L99" i="56" l="1"/>
  <c r="M99" i="56" s="1"/>
  <c r="C104" i="56"/>
  <c r="L104" i="56" s="1"/>
  <c r="M104" i="56" s="1"/>
  <c r="M94" i="56"/>
  <c r="L128" i="56"/>
  <c r="M128" i="56" l="1"/>
  <c r="N104" i="56"/>
  <c r="N99" i="56"/>
  <c r="K128" i="56" l="1"/>
  <c r="N24" i="56"/>
  <c r="N19" i="56"/>
  <c r="N29" i="56"/>
  <c r="N34" i="56"/>
  <c r="N39" i="56"/>
  <c r="N44" i="56"/>
  <c r="N49" i="56"/>
  <c r="N54" i="56"/>
  <c r="N59" i="56"/>
  <c r="N64" i="56"/>
  <c r="N117" i="56"/>
  <c r="N74" i="56"/>
  <c r="N79" i="56"/>
  <c r="N84" i="56"/>
  <c r="N89" i="56"/>
  <c r="N94" i="56"/>
  <c r="N128" i="56" l="1"/>
  <c r="O132" i="55" l="1"/>
  <c r="O131" i="55"/>
  <c r="G126" i="55"/>
  <c r="G122" i="55"/>
  <c r="D122" i="55"/>
  <c r="G120" i="55"/>
  <c r="G119" i="55"/>
  <c r="E117" i="55"/>
  <c r="G125" i="55" s="1"/>
  <c r="D117" i="55"/>
  <c r="B117" i="55"/>
  <c r="G108" i="55"/>
  <c r="G107" i="55"/>
  <c r="G106" i="55"/>
  <c r="G105" i="55"/>
  <c r="K104" i="55"/>
  <c r="G103" i="55"/>
  <c r="G102" i="55"/>
  <c r="G101" i="55"/>
  <c r="G100" i="55"/>
  <c r="K99" i="55"/>
  <c r="G98" i="55"/>
  <c r="G97" i="55"/>
  <c r="G96" i="55"/>
  <c r="G95" i="55"/>
  <c r="K94" i="55"/>
  <c r="G93" i="55"/>
  <c r="G92" i="55"/>
  <c r="G91" i="55"/>
  <c r="G90" i="55"/>
  <c r="K89" i="55"/>
  <c r="G88" i="55"/>
  <c r="G87" i="55"/>
  <c r="G86" i="55"/>
  <c r="G85" i="55"/>
  <c r="K84" i="55"/>
  <c r="G83" i="55"/>
  <c r="G82" i="55"/>
  <c r="G81" i="55"/>
  <c r="G80" i="55"/>
  <c r="K79" i="55"/>
  <c r="G78" i="55"/>
  <c r="G77" i="55"/>
  <c r="G76" i="55"/>
  <c r="G75" i="55"/>
  <c r="K74" i="55"/>
  <c r="G73" i="55"/>
  <c r="G72" i="55"/>
  <c r="G71" i="55"/>
  <c r="G70" i="55"/>
  <c r="K69" i="55"/>
  <c r="G68" i="55"/>
  <c r="G67" i="55"/>
  <c r="G66" i="55"/>
  <c r="G65" i="55"/>
  <c r="K64" i="55"/>
  <c r="G63" i="55"/>
  <c r="G62" i="55"/>
  <c r="G61" i="55"/>
  <c r="G60" i="55"/>
  <c r="K59" i="55"/>
  <c r="G58" i="55"/>
  <c r="G57" i="55"/>
  <c r="G56" i="55"/>
  <c r="G55" i="55"/>
  <c r="K54" i="55"/>
  <c r="G53" i="55"/>
  <c r="G52" i="55"/>
  <c r="G51" i="55"/>
  <c r="G50" i="55"/>
  <c r="K49" i="55"/>
  <c r="G48" i="55"/>
  <c r="G47" i="55"/>
  <c r="G46" i="55"/>
  <c r="G45" i="55"/>
  <c r="K44" i="55"/>
  <c r="G43" i="55"/>
  <c r="G42" i="55"/>
  <c r="G41" i="55"/>
  <c r="G40" i="55"/>
  <c r="K39" i="55"/>
  <c r="G38" i="55"/>
  <c r="G37" i="55"/>
  <c r="G36" i="55"/>
  <c r="G35" i="55"/>
  <c r="K34" i="55"/>
  <c r="G33" i="55"/>
  <c r="G32" i="55"/>
  <c r="G31" i="55"/>
  <c r="G30" i="55"/>
  <c r="K29" i="55"/>
  <c r="G28" i="55"/>
  <c r="G27" i="55"/>
  <c r="G26" i="55"/>
  <c r="G25" i="55"/>
  <c r="K24" i="55"/>
  <c r="G23" i="55"/>
  <c r="G22" i="55"/>
  <c r="G21" i="55"/>
  <c r="G20" i="55"/>
  <c r="K19" i="55"/>
  <c r="C18" i="55"/>
  <c r="C19" i="55" s="1"/>
  <c r="L19" i="55" l="1"/>
  <c r="C24" i="55"/>
  <c r="G121" i="55"/>
  <c r="G123" i="55"/>
  <c r="G127" i="55"/>
  <c r="G118" i="55"/>
  <c r="G124" i="55"/>
  <c r="C29" i="55" l="1"/>
  <c r="L24" i="55"/>
  <c r="M24" i="55" s="1"/>
  <c r="M19" i="55"/>
  <c r="L29" i="55" l="1"/>
  <c r="C34" i="55"/>
  <c r="M29" i="55" l="1"/>
  <c r="L34" i="55"/>
  <c r="M34" i="55" s="1"/>
  <c r="C39" i="55"/>
  <c r="L39" i="55" l="1"/>
  <c r="M39" i="55" s="1"/>
  <c r="C44" i="55"/>
  <c r="C49" i="55" l="1"/>
  <c r="L44" i="55"/>
  <c r="C54" i="55" l="1"/>
  <c r="L49" i="55"/>
  <c r="M49" i="55" s="1"/>
  <c r="M44" i="55"/>
  <c r="C117" i="55" l="1"/>
  <c r="L54" i="55"/>
  <c r="C59" i="55"/>
  <c r="L59" i="55" l="1"/>
  <c r="M59" i="55" s="1"/>
  <c r="C122" i="55"/>
  <c r="L117" i="55" s="1"/>
  <c r="M117" i="55" s="1"/>
  <c r="C64" i="55"/>
  <c r="M54" i="55"/>
  <c r="C69" i="55" l="1"/>
  <c r="L64" i="55"/>
  <c r="M64" i="55" s="1"/>
  <c r="L69" i="55" l="1"/>
  <c r="M69" i="55" s="1"/>
  <c r="C74" i="55"/>
  <c r="L74" i="55" l="1"/>
  <c r="M74" i="55" s="1"/>
  <c r="C79" i="55"/>
  <c r="L79" i="55" l="1"/>
  <c r="M79" i="55" s="1"/>
  <c r="C84" i="55"/>
  <c r="C89" i="55" l="1"/>
  <c r="L84" i="55"/>
  <c r="M84" i="55" s="1"/>
  <c r="L89" i="55" l="1"/>
  <c r="M89" i="55" s="1"/>
  <c r="C94" i="55"/>
  <c r="L94" i="55" l="1"/>
  <c r="M94" i="55" s="1"/>
  <c r="C99" i="55"/>
  <c r="L99" i="55" l="1"/>
  <c r="M99" i="55" s="1"/>
  <c r="C104" i="55"/>
  <c r="L104" i="55" s="1"/>
  <c r="M104" i="55" l="1"/>
  <c r="L128" i="55"/>
  <c r="M128" i="55" l="1"/>
  <c r="K128" i="55" l="1"/>
  <c r="N19" i="55"/>
  <c r="N24" i="55"/>
  <c r="N34" i="55"/>
  <c r="N29" i="55"/>
  <c r="N39" i="55"/>
  <c r="N49" i="55"/>
  <c r="N44" i="55"/>
  <c r="N54" i="55"/>
  <c r="N117" i="55"/>
  <c r="N59" i="55"/>
  <c r="N64" i="55"/>
  <c r="N69" i="55"/>
  <c r="N74" i="55"/>
  <c r="N79" i="55"/>
  <c r="N84" i="55"/>
  <c r="N89" i="55"/>
  <c r="N94" i="55"/>
  <c r="N99" i="55"/>
  <c r="N104" i="55"/>
  <c r="N128" i="55" l="1"/>
  <c r="O132" i="54" l="1"/>
  <c r="O131" i="54"/>
  <c r="G126" i="54"/>
  <c r="G122" i="54"/>
  <c r="D122" i="54"/>
  <c r="G120" i="54"/>
  <c r="G119" i="54"/>
  <c r="G118" i="54"/>
  <c r="K117" i="54"/>
  <c r="E117" i="54"/>
  <c r="G125" i="54" s="1"/>
  <c r="D117" i="54"/>
  <c r="G108" i="54"/>
  <c r="G107" i="54"/>
  <c r="G106" i="54"/>
  <c r="G105" i="54"/>
  <c r="K104" i="54"/>
  <c r="G103" i="54"/>
  <c r="G102" i="54"/>
  <c r="G101" i="54"/>
  <c r="G100" i="54"/>
  <c r="K99" i="54"/>
  <c r="G98" i="54"/>
  <c r="G97" i="54"/>
  <c r="G96" i="54"/>
  <c r="G95" i="54"/>
  <c r="K94" i="54"/>
  <c r="G93" i="54"/>
  <c r="G92" i="54"/>
  <c r="G91" i="54"/>
  <c r="G90" i="54"/>
  <c r="K89" i="54"/>
  <c r="G88" i="54"/>
  <c r="G87" i="54"/>
  <c r="G86" i="54"/>
  <c r="G85" i="54"/>
  <c r="K84" i="54"/>
  <c r="G83" i="54"/>
  <c r="G82" i="54"/>
  <c r="G81" i="54"/>
  <c r="G80" i="54"/>
  <c r="K79" i="54"/>
  <c r="G78" i="54"/>
  <c r="G77" i="54"/>
  <c r="G76" i="54"/>
  <c r="G75" i="54"/>
  <c r="K74" i="54"/>
  <c r="G73" i="54"/>
  <c r="G72" i="54"/>
  <c r="G71" i="54"/>
  <c r="G70" i="54"/>
  <c r="K69" i="54"/>
  <c r="G68" i="54"/>
  <c r="G67" i="54"/>
  <c r="G66" i="54"/>
  <c r="G65" i="54"/>
  <c r="G63" i="54"/>
  <c r="G62" i="54"/>
  <c r="G61" i="54"/>
  <c r="G60" i="54"/>
  <c r="K59" i="54"/>
  <c r="G58" i="54"/>
  <c r="G57" i="54"/>
  <c r="G56" i="54"/>
  <c r="G55" i="54"/>
  <c r="K54" i="54"/>
  <c r="G53" i="54"/>
  <c r="G52" i="54"/>
  <c r="G51" i="54"/>
  <c r="G50" i="54"/>
  <c r="K49" i="54"/>
  <c r="G48" i="54"/>
  <c r="G47" i="54"/>
  <c r="G46" i="54"/>
  <c r="G45" i="54"/>
  <c r="K44" i="54"/>
  <c r="G43" i="54"/>
  <c r="G42" i="54"/>
  <c r="G41" i="54"/>
  <c r="G40" i="54"/>
  <c r="K39" i="54"/>
  <c r="G38" i="54"/>
  <c r="G37" i="54"/>
  <c r="G36" i="54"/>
  <c r="G35" i="54"/>
  <c r="K34" i="54"/>
  <c r="B34" i="54"/>
  <c r="B39" i="54" s="1"/>
  <c r="B44" i="54" s="1"/>
  <c r="B49" i="54" s="1"/>
  <c r="B54" i="54" s="1"/>
  <c r="B59" i="54" s="1"/>
  <c r="B64" i="54" s="1"/>
  <c r="G33" i="54"/>
  <c r="G32" i="54"/>
  <c r="G31" i="54"/>
  <c r="G30" i="54"/>
  <c r="K29" i="54"/>
  <c r="G28" i="54"/>
  <c r="G27" i="54"/>
  <c r="G26" i="54"/>
  <c r="G25" i="54"/>
  <c r="K24" i="54"/>
  <c r="G23" i="54"/>
  <c r="G22" i="54"/>
  <c r="G21" i="54"/>
  <c r="G20" i="54"/>
  <c r="K19" i="54"/>
  <c r="C18" i="54"/>
  <c r="C19" i="54" s="1"/>
  <c r="L19" i="54" l="1"/>
  <c r="C24" i="54"/>
  <c r="B117" i="54"/>
  <c r="B69" i="54"/>
  <c r="B74" i="54" s="1"/>
  <c r="B79" i="54" s="1"/>
  <c r="B84" i="54" s="1"/>
  <c r="B89" i="54" s="1"/>
  <c r="B94" i="54" s="1"/>
  <c r="B99" i="54" s="1"/>
  <c r="B104" i="54" s="1"/>
  <c r="G121" i="54"/>
  <c r="G123" i="54"/>
  <c r="G127" i="54"/>
  <c r="G124" i="54"/>
  <c r="M19" i="54" l="1"/>
  <c r="C29" i="54"/>
  <c r="L24" i="54"/>
  <c r="M24" i="54" s="1"/>
  <c r="C34" i="54" l="1"/>
  <c r="L29" i="54"/>
  <c r="M29" i="54" s="1"/>
  <c r="C39" i="54" l="1"/>
  <c r="L34" i="54"/>
  <c r="M34" i="54" s="1"/>
  <c r="C44" i="54" l="1"/>
  <c r="L39" i="54"/>
  <c r="M39" i="54" s="1"/>
  <c r="C49" i="54" l="1"/>
  <c r="L44" i="54"/>
  <c r="M44" i="54" s="1"/>
  <c r="C54" i="54" l="1"/>
  <c r="L49" i="54"/>
  <c r="M49" i="54" s="1"/>
  <c r="C59" i="54" l="1"/>
  <c r="L54" i="54"/>
  <c r="M54" i="54" s="1"/>
  <c r="C117" i="54" l="1"/>
  <c r="C64" i="54"/>
  <c r="L59" i="54"/>
  <c r="M59" i="54" s="1"/>
  <c r="C69" i="54" l="1"/>
  <c r="C122" i="54"/>
  <c r="L117" i="54" s="1"/>
  <c r="M117" i="54" l="1"/>
  <c r="C74" i="54"/>
  <c r="L69" i="54"/>
  <c r="M69" i="54" s="1"/>
  <c r="C79" i="54" l="1"/>
  <c r="L74" i="54"/>
  <c r="M74" i="54" s="1"/>
  <c r="C84" i="54" l="1"/>
  <c r="L79" i="54"/>
  <c r="M79" i="54" l="1"/>
  <c r="C89" i="54"/>
  <c r="L84" i="54"/>
  <c r="M84" i="54" s="1"/>
  <c r="C94" i="54" l="1"/>
  <c r="L89" i="54"/>
  <c r="M89" i="54" s="1"/>
  <c r="C99" i="54" l="1"/>
  <c r="L94" i="54"/>
  <c r="M94" i="54" s="1"/>
  <c r="C104" i="54" l="1"/>
  <c r="L104" i="54" s="1"/>
  <c r="L99" i="54"/>
  <c r="M99" i="54" s="1"/>
  <c r="M104" i="54" l="1"/>
  <c r="L128" i="54"/>
  <c r="M128" i="54" l="1"/>
  <c r="K128" i="54" l="1"/>
  <c r="N19" i="54"/>
  <c r="N24" i="54"/>
  <c r="N29" i="54"/>
  <c r="N34" i="54"/>
  <c r="N39" i="54"/>
  <c r="N44" i="54"/>
  <c r="N49" i="54"/>
  <c r="N54" i="54"/>
  <c r="N59" i="54"/>
  <c r="N117" i="54"/>
  <c r="N69" i="54"/>
  <c r="N74" i="54"/>
  <c r="N84" i="54"/>
  <c r="N79" i="54"/>
  <c r="N89" i="54"/>
  <c r="N94" i="54"/>
  <c r="N99" i="54"/>
  <c r="N104" i="54"/>
  <c r="N128" i="54" l="1"/>
  <c r="O117" i="53" l="1"/>
  <c r="O116" i="53"/>
  <c r="G111" i="53"/>
  <c r="G110" i="53"/>
  <c r="G109" i="53"/>
  <c r="G107" i="53"/>
  <c r="D107" i="53"/>
  <c r="G105" i="53"/>
  <c r="G104" i="53"/>
  <c r="G103" i="53"/>
  <c r="K102" i="53"/>
  <c r="E102" i="53"/>
  <c r="G112" i="53" s="1"/>
  <c r="D102" i="53"/>
  <c r="B102" i="53"/>
  <c r="G93" i="53"/>
  <c r="G92" i="53"/>
  <c r="G91" i="53"/>
  <c r="G90" i="53"/>
  <c r="K89" i="53"/>
  <c r="G88" i="53"/>
  <c r="G87" i="53"/>
  <c r="G86" i="53"/>
  <c r="G85" i="53"/>
  <c r="K84" i="53"/>
  <c r="G83" i="53"/>
  <c r="G82" i="53"/>
  <c r="G81" i="53"/>
  <c r="G80" i="53"/>
  <c r="K79" i="53"/>
  <c r="G78" i="53"/>
  <c r="G77" i="53"/>
  <c r="G76" i="53"/>
  <c r="G75" i="53"/>
  <c r="G73" i="53"/>
  <c r="G72" i="53"/>
  <c r="G71" i="53"/>
  <c r="G70" i="53"/>
  <c r="K69" i="53"/>
  <c r="G68" i="53"/>
  <c r="G67" i="53"/>
  <c r="G66" i="53"/>
  <c r="G65" i="53"/>
  <c r="K64" i="53"/>
  <c r="G63" i="53"/>
  <c r="G62" i="53"/>
  <c r="G61" i="53"/>
  <c r="G60" i="53"/>
  <c r="K59" i="53"/>
  <c r="G58" i="53"/>
  <c r="G57" i="53"/>
  <c r="G56" i="53"/>
  <c r="G55" i="53"/>
  <c r="K54" i="53"/>
  <c r="G53" i="53"/>
  <c r="G52" i="53"/>
  <c r="G51" i="53"/>
  <c r="G50" i="53"/>
  <c r="K49" i="53"/>
  <c r="G48" i="53"/>
  <c r="G47" i="53"/>
  <c r="G46" i="53"/>
  <c r="G45" i="53"/>
  <c r="K44" i="53"/>
  <c r="G43" i="53"/>
  <c r="G42" i="53"/>
  <c r="G41" i="53"/>
  <c r="G40" i="53"/>
  <c r="K39" i="53"/>
  <c r="G38" i="53"/>
  <c r="G37" i="53"/>
  <c r="G36" i="53"/>
  <c r="G35" i="53"/>
  <c r="K34" i="53"/>
  <c r="G33" i="53"/>
  <c r="G32" i="53"/>
  <c r="G31" i="53"/>
  <c r="G30" i="53"/>
  <c r="K29" i="53"/>
  <c r="G28" i="53"/>
  <c r="G27" i="53"/>
  <c r="G26" i="53"/>
  <c r="G25" i="53"/>
  <c r="K24" i="53"/>
  <c r="G23" i="53"/>
  <c r="G22" i="53"/>
  <c r="G21" i="53"/>
  <c r="G20" i="53"/>
  <c r="K19" i="53"/>
  <c r="C18" i="53"/>
  <c r="C19" i="53" s="1"/>
  <c r="L19" i="53" l="1"/>
  <c r="C24" i="53"/>
  <c r="G106" i="53"/>
  <c r="G108" i="53"/>
  <c r="L24" i="53" l="1"/>
  <c r="M24" i="53" s="1"/>
  <c r="C29" i="53"/>
  <c r="M19" i="53"/>
  <c r="L29" i="53" l="1"/>
  <c r="M29" i="53" s="1"/>
  <c r="C34" i="53"/>
  <c r="C39" i="53" l="1"/>
  <c r="L34" i="53"/>
  <c r="M34" i="53" l="1"/>
  <c r="L39" i="53"/>
  <c r="M39" i="53" s="1"/>
  <c r="C44" i="53"/>
  <c r="L44" i="53" l="1"/>
  <c r="M44" i="53" s="1"/>
  <c r="C49" i="53"/>
  <c r="L49" i="53" l="1"/>
  <c r="M49" i="53" s="1"/>
  <c r="C54" i="53"/>
  <c r="C59" i="53" l="1"/>
  <c r="L54" i="53"/>
  <c r="M54" i="53" s="1"/>
  <c r="C64" i="53" l="1"/>
  <c r="L59" i="53"/>
  <c r="M59" i="53" s="1"/>
  <c r="L64" i="53" l="1"/>
  <c r="M64" i="53" s="1"/>
  <c r="C69" i="53"/>
  <c r="C102" i="53" l="1"/>
  <c r="L69" i="53"/>
  <c r="M69" i="53" s="1"/>
  <c r="C74" i="53"/>
  <c r="C79" i="53" l="1"/>
  <c r="C107" i="53"/>
  <c r="L102" i="53" s="1"/>
  <c r="M102" i="53" l="1"/>
  <c r="C84" i="53"/>
  <c r="L79" i="53"/>
  <c r="M79" i="53" s="1"/>
  <c r="L84" i="53" l="1"/>
  <c r="M84" i="53" s="1"/>
  <c r="C89" i="53"/>
  <c r="L89" i="53" s="1"/>
  <c r="M89" i="53" s="1"/>
  <c r="M113" i="53"/>
  <c r="N79" i="53" s="1"/>
  <c r="L113" i="53" l="1"/>
  <c r="K113" i="53" s="1"/>
  <c r="N89" i="53"/>
  <c r="N19" i="53"/>
  <c r="N24" i="53"/>
  <c r="N29" i="53"/>
  <c r="N39" i="53"/>
  <c r="N34" i="53"/>
  <c r="N44" i="53"/>
  <c r="N49" i="53"/>
  <c r="N54" i="53"/>
  <c r="N59" i="53"/>
  <c r="N64" i="53"/>
  <c r="N69" i="53"/>
  <c r="N102" i="53"/>
  <c r="N84" i="53"/>
  <c r="N113" i="53" l="1"/>
</calcChain>
</file>

<file path=xl/sharedStrings.xml><?xml version="1.0" encoding="utf-8"?>
<sst xmlns="http://schemas.openxmlformats.org/spreadsheetml/2006/main" count="786" uniqueCount="126">
  <si>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</si>
  <si>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</si>
  <si>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</si>
  <si>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</si>
  <si>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</si>
  <si>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</si>
  <si>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</si>
  <si>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</si>
  <si>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</si>
  <si>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</si>
  <si>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</si>
  <si>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</si>
  <si>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</si>
  <si>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</si>
  <si>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</si>
  <si>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</si>
  <si>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</si>
  <si>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</si>
  <si>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</si>
  <si>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</si>
  <si>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</si>
  <si>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</si>
  <si>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</si>
  <si>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</si>
  <si>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</si>
  <si>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</si>
  <si>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</si>
  <si>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</si>
  <si>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</si>
  <si>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</si>
  <si>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</si>
  <si>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</si>
  <si>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</si>
  <si>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</si>
  <si>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</si>
  <si>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</si>
  <si>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</si>
  <si>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</si>
  <si>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</si>
  <si>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</si>
  <si>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</si>
  <si>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</si>
  <si>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</si>
  <si>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</si>
  <si>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</si>
  <si>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</si>
  <si>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</si>
  <si>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</si>
  <si>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</si>
  <si>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</si>
  <si>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</si>
  <si>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</si>
  <si>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</si>
  <si>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</si>
  <si>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</si>
  <si>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</si>
  <si>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</si>
  <si>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</si>
  <si>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</si>
  <si>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</si>
  <si>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</si>
  <si>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</si>
  <si>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</si>
  <si>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</si>
  <si>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</si>
  <si>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</si>
  <si>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</si>
  <si>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</si>
  <si>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</si>
  <si>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</si>
  <si>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</si>
  <si>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</si>
  <si>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</si>
  <si>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</si>
  <si>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</si>
  <si>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</si>
  <si>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</si>
  <si>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</si>
  <si>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</si>
  <si>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</si>
  <si>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</si>
  <si>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</si>
  <si>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</si>
  <si>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</si>
  <si>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</si>
  <si>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</si>
  <si>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</si>
  <si>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</si>
  <si>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</si>
  <si>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</si>
  <si>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</si>
  <si>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</si>
  <si>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</si>
  <si>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</si>
  <si>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</si>
  <si>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</si>
  <si>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</si>
  <si>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</si>
  <si>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</si>
  <si>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</si>
  <si>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</si>
  <si>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</si>
  <si>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</si>
  <si>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</si>
  <si>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 xml:space="preserve">TOME DE TEMPERATURA </t>
  </si>
  <si>
    <t xml:space="preserve"> SECCION DE AFORO</t>
  </si>
  <si>
    <t>Cálido</t>
  </si>
  <si>
    <t>Detalle del aforo</t>
  </si>
  <si>
    <t>QUEBRADA OLIVARES - AGUAS DE MANIZALES</t>
  </si>
  <si>
    <t xml:space="preserve">  N 5°3'47.53"</t>
  </si>
  <si>
    <t xml:space="preserve"> W 75°29'7.35"</t>
  </si>
  <si>
    <t>Durante la jornada de aforo se determinó el perfil de la sección de aforo, se midió la altura del nivel del agua al sensor . Teniendo en cuenta las observaciones de los asesores del GTA de Ingeniería Hidráulica y Ambiental los aforos se realizaron así: Si y &lt; 0.12m se toma la velocidad a 0.6 de h. Si y&gt;=0.12m se toman velocidades a 0,2 - 0,6 y 0,8 de y</t>
  </si>
  <si>
    <t>Medida de la temperatura y Organizacion sección de aforo</t>
  </si>
  <si>
    <t>Medida altura del sensor y detalle del aforo</t>
  </si>
  <si>
    <t>1-239599</t>
  </si>
  <si>
    <t>Templado</t>
  </si>
  <si>
    <t>Debido a que el aforo se realizo con molinte, nno se pudieron tomar las 10 lecturas, ya que el molinete no permite tomar dichas lecturas en una altua de 32cm.</t>
  </si>
  <si>
    <t>Sección de aforo</t>
  </si>
  <si>
    <t>Distancia del sensor al nivel del agua</t>
  </si>
  <si>
    <t xml:space="preserve">QUEBRADA OLIVARES-AGUAS DE MANIZALES </t>
  </si>
  <si>
    <t>Soleado</t>
  </si>
  <si>
    <t>TOMA DE TEMPERATURA</t>
  </si>
  <si>
    <t>MEDIDA NIVEL INICIAL</t>
  </si>
  <si>
    <t>DETALLE GENERAL DEL AFORO</t>
  </si>
  <si>
    <t>Formato L1.2: Medición de caudal por el método área-velocidad: medidas desde la superficie del agua con medidor electromagnético</t>
  </si>
  <si>
    <t>Convenio 221/2016 OPERACIÓN Y MANTENIMIENTO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</si>
</sst>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i/>
      <u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0"/>
      <name val="Calibri"/>
      <family val="2"/>
      <scheme val="minor"/>
    </font>
    <font>
      <b/>
      <i/>
      <vertAlign val="subscript"/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9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164" fontId="5" fillId="0" borderId="36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3" xfId="0" applyFont="1" applyBorder="1"/>
    <xf numFmtId="0" fontId="0" fillId="0" borderId="0" xfId="0" applyFont="1" applyAlignment="1"/>
    <xf numFmtId="0" fontId="2" fillId="0" borderId="43" xfId="0" applyFont="1" applyBorder="1"/>
    <xf numFmtId="0" fontId="2" fillId="0" borderId="50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15" fillId="5" borderId="53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3" xfId="0" applyFont="1" applyFill="1" applyBorder="1" applyAlignment="1">
      <alignment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60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15" fillId="0" borderId="69" xfId="0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vertical="top" wrapText="1"/>
    </xf>
    <xf numFmtId="0" fontId="19" fillId="0" borderId="60" xfId="0" applyFont="1" applyFill="1" applyBorder="1" applyAlignment="1">
      <alignment horizontal="center" vertical="top" wrapText="1"/>
    </xf>
    <xf numFmtId="0" fontId="19" fillId="0" borderId="79" xfId="0" applyFont="1" applyFill="1" applyBorder="1" applyAlignment="1">
      <alignment horizontal="center"/>
    </xf>
    <xf numFmtId="0" fontId="15" fillId="0" borderId="69" xfId="0" applyFont="1" applyFill="1" applyBorder="1" applyAlignment="1">
      <alignment horizontal="center" vertical="top" wrapText="1"/>
    </xf>
    <xf numFmtId="0" fontId="15" fillId="0" borderId="86" xfId="0" applyFont="1" applyFill="1" applyBorder="1" applyAlignment="1">
      <alignment horizontal="center" vertical="center" wrapText="1"/>
    </xf>
    <xf numFmtId="20" fontId="15" fillId="0" borderId="89" xfId="0" applyNumberFormat="1" applyFont="1" applyFill="1" applyBorder="1" applyAlignment="1">
      <alignment horizontal="center" vertical="top"/>
    </xf>
    <xf numFmtId="0" fontId="15" fillId="0" borderId="90" xfId="0" applyFont="1" applyFill="1" applyBorder="1" applyAlignment="1">
      <alignment horizontal="center" vertical="top"/>
    </xf>
    <xf numFmtId="0" fontId="15" fillId="0" borderId="79" xfId="0" applyFont="1" applyFill="1" applyBorder="1" applyAlignment="1">
      <alignment horizontal="center" vertical="center"/>
    </xf>
    <xf numFmtId="0" fontId="15" fillId="0" borderId="93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82" xfId="0" applyFont="1" applyFill="1" applyBorder="1" applyAlignment="1">
      <alignment horizontal="center" vertical="center"/>
    </xf>
    <xf numFmtId="0" fontId="18" fillId="6" borderId="99" xfId="0" applyFont="1" applyFill="1" applyBorder="1" applyAlignment="1">
      <alignment vertical="center"/>
    </xf>
    <xf numFmtId="0" fontId="18" fillId="6" borderId="99" xfId="0" applyFont="1" applyFill="1" applyBorder="1" applyAlignment="1">
      <alignment horizontal="center" vertical="center"/>
    </xf>
    <xf numFmtId="0" fontId="18" fillId="6" borderId="60" xfId="0" applyFont="1" applyFill="1" applyBorder="1" applyAlignment="1">
      <alignment horizontal="center" vertical="center"/>
    </xf>
    <xf numFmtId="0" fontId="2" fillId="0" borderId="93" xfId="0" applyFont="1" applyBorder="1"/>
    <xf numFmtId="0" fontId="18" fillId="6" borderId="93" xfId="0" applyFont="1" applyFill="1" applyBorder="1" applyAlignment="1">
      <alignment vertical="center"/>
    </xf>
    <xf numFmtId="0" fontId="18" fillId="6" borderId="102" xfId="0" applyFont="1" applyFill="1" applyBorder="1" applyAlignment="1">
      <alignment horizontal="center" vertical="center"/>
    </xf>
    <xf numFmtId="0" fontId="18" fillId="6" borderId="89" xfId="0" applyFont="1" applyFill="1" applyBorder="1" applyAlignment="1">
      <alignment horizontal="center" vertical="center"/>
    </xf>
    <xf numFmtId="0" fontId="20" fillId="0" borderId="0" xfId="0" applyFont="1" applyFill="1"/>
    <xf numFmtId="0" fontId="18" fillId="0" borderId="81" xfId="0" applyFont="1" applyFill="1" applyBorder="1" applyAlignment="1">
      <alignment horizontal="center" vertical="center" wrapText="1"/>
    </xf>
    <xf numFmtId="0" fontId="2" fillId="0" borderId="97" xfId="0" applyFont="1" applyFill="1" applyBorder="1" applyAlignment="1">
      <alignment horizontal="center" vertical="center" wrapText="1"/>
    </xf>
    <xf numFmtId="0" fontId="18" fillId="0" borderId="97" xfId="0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vertical="center"/>
    </xf>
    <xf numFmtId="164" fontId="14" fillId="0" borderId="97" xfId="0" applyNumberFormat="1" applyFont="1" applyFill="1" applyBorder="1" applyAlignment="1">
      <alignment vertical="center"/>
    </xf>
    <xf numFmtId="0" fontId="18" fillId="0" borderId="103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4" xfId="0" applyFont="1" applyFill="1" applyBorder="1" applyAlignment="1">
      <alignment horizontal="center"/>
    </xf>
    <xf numFmtId="2" fontId="14" fillId="0" borderId="104" xfId="0" applyNumberFormat="1" applyFont="1" applyFill="1" applyBorder="1" applyAlignment="1">
      <alignment horizontal="center" vertical="center"/>
    </xf>
    <xf numFmtId="2" fontId="14" fillId="0" borderId="104" xfId="0" applyNumberFormat="1" applyFont="1" applyFill="1" applyBorder="1" applyAlignment="1">
      <alignment vertical="center"/>
    </xf>
    <xf numFmtId="0" fontId="2" fillId="0" borderId="104" xfId="0" applyFont="1" applyFill="1" applyBorder="1"/>
    <xf numFmtId="164" fontId="14" fillId="0" borderId="104" xfId="0" applyNumberFormat="1" applyFont="1" applyFill="1" applyBorder="1" applyAlignment="1">
      <alignment horizontal="center" vertical="center"/>
    </xf>
    <xf numFmtId="0" fontId="12" fillId="0" borderId="107" xfId="0" applyFont="1" applyFill="1" applyBorder="1" applyAlignment="1">
      <alignment horizontal="center"/>
    </xf>
    <xf numFmtId="2" fontId="14" fillId="0" borderId="107" xfId="0" applyNumberFormat="1" applyFont="1" applyFill="1" applyBorder="1" applyAlignment="1">
      <alignment horizontal="center" vertical="center"/>
    </xf>
    <xf numFmtId="2" fontId="14" fillId="0" borderId="107" xfId="0" applyNumberFormat="1" applyFont="1" applyFill="1" applyBorder="1" applyAlignment="1">
      <alignment vertical="center"/>
    </xf>
    <xf numFmtId="0" fontId="2" fillId="0" borderId="107" xfId="0" applyFont="1" applyFill="1" applyBorder="1"/>
    <xf numFmtId="164" fontId="14" fillId="0" borderId="107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10" xfId="0" applyFont="1" applyFill="1" applyBorder="1" applyAlignment="1">
      <alignment vertical="center" wrapText="1"/>
    </xf>
    <xf numFmtId="0" fontId="20" fillId="0" borderId="43" xfId="0" applyFont="1" applyBorder="1"/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9" borderId="114" xfId="0" applyNumberFormat="1" applyFont="1" applyFill="1" applyBorder="1" applyAlignment="1">
      <alignment horizontal="center"/>
    </xf>
    <xf numFmtId="0" fontId="20" fillId="0" borderId="0" xfId="0" applyFont="1"/>
    <xf numFmtId="0" fontId="14" fillId="10" borderId="104" xfId="0" applyFont="1" applyFill="1" applyBorder="1" applyAlignment="1">
      <alignment horizontal="center"/>
    </xf>
    <xf numFmtId="2" fontId="14" fillId="10" borderId="104" xfId="0" applyNumberFormat="1" applyFont="1" applyFill="1" applyBorder="1" applyAlignment="1">
      <alignment horizontal="center" vertical="center"/>
    </xf>
    <xf numFmtId="2" fontId="14" fillId="10" borderId="104" xfId="0" applyNumberFormat="1" applyFont="1" applyFill="1" applyBorder="1" applyAlignment="1">
      <alignment horizontal="center"/>
    </xf>
    <xf numFmtId="164" fontId="2" fillId="10" borderId="104" xfId="0" applyNumberFormat="1" applyFont="1" applyFill="1" applyBorder="1" applyAlignment="1">
      <alignment horizontal="center"/>
    </xf>
    <xf numFmtId="164" fontId="2" fillId="9" borderId="104" xfId="0" applyNumberFormat="1" applyFont="1" applyFill="1" applyBorder="1" applyAlignment="1">
      <alignment horizontal="center"/>
    </xf>
    <xf numFmtId="2" fontId="14" fillId="10" borderId="121" xfId="0" applyNumberFormat="1" applyFont="1" applyFill="1" applyBorder="1" applyAlignment="1">
      <alignment horizontal="center" vertical="center"/>
    </xf>
    <xf numFmtId="2" fontId="14" fillId="10" borderId="121" xfId="0" applyNumberFormat="1" applyFont="1" applyFill="1" applyBorder="1" applyAlignment="1">
      <alignment horizontal="center"/>
    </xf>
    <xf numFmtId="164" fontId="2" fillId="10" borderId="121" xfId="0" applyNumberFormat="1" applyFont="1" applyFill="1" applyBorder="1" applyAlignment="1">
      <alignment horizontal="center"/>
    </xf>
    <xf numFmtId="164" fontId="2" fillId="11" borderId="121" xfId="0" applyNumberFormat="1" applyFont="1" applyFill="1" applyBorder="1" applyAlignment="1">
      <alignment horizontal="center"/>
    </xf>
    <xf numFmtId="164" fontId="18" fillId="5" borderId="125" xfId="0" applyNumberFormat="1" applyFont="1" applyFill="1" applyBorder="1" applyAlignment="1">
      <alignment horizontal="center" vertical="center"/>
    </xf>
    <xf numFmtId="164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horizontal="center" vertical="center"/>
    </xf>
    <xf numFmtId="0" fontId="17" fillId="0" borderId="90" xfId="0" applyFont="1" applyFill="1" applyBorder="1" applyAlignment="1">
      <alignment horizontal="center" vertical="top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3" fillId="0" borderId="45" xfId="0" applyFont="1" applyBorder="1" applyAlignment="1">
      <alignment horizontal="center" wrapText="1"/>
    </xf>
    <xf numFmtId="0" fontId="14" fillId="0" borderId="45" xfId="0" applyFont="1" applyBorder="1"/>
    <xf numFmtId="14" fontId="15" fillId="0" borderId="51" xfId="0" applyNumberFormat="1" applyFont="1" applyFill="1" applyBorder="1" applyAlignment="1">
      <alignment horizontal="center" vertical="center"/>
    </xf>
    <xf numFmtId="0" fontId="16" fillId="0" borderId="52" xfId="0" applyFont="1" applyFill="1" applyBorder="1"/>
    <xf numFmtId="0" fontId="15" fillId="0" borderId="51" xfId="0" applyFont="1" applyBorder="1" applyAlignment="1">
      <alignment horizontal="center" vertical="center" wrapText="1"/>
    </xf>
    <xf numFmtId="0" fontId="16" fillId="0" borderId="52" xfId="0" applyFont="1" applyBorder="1"/>
    <xf numFmtId="0" fontId="16" fillId="0" borderId="54" xfId="0" applyFont="1" applyBorder="1"/>
    <xf numFmtId="0" fontId="2" fillId="0" borderId="55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vertical="center"/>
    </xf>
    <xf numFmtId="0" fontId="15" fillId="0" borderId="57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vertical="center"/>
    </xf>
    <xf numFmtId="0" fontId="16" fillId="0" borderId="46" xfId="0" applyFont="1" applyFill="1" applyBorder="1" applyAlignment="1">
      <alignment vertical="center"/>
    </xf>
    <xf numFmtId="0" fontId="17" fillId="0" borderId="57" xfId="0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vertical="center"/>
    </xf>
    <xf numFmtId="0" fontId="18" fillId="6" borderId="44" xfId="0" applyFont="1" applyFill="1" applyBorder="1" applyAlignment="1">
      <alignment horizontal="center" vertical="center" wrapText="1"/>
    </xf>
    <xf numFmtId="0" fontId="14" fillId="0" borderId="47" xfId="0" applyFont="1" applyBorder="1"/>
    <xf numFmtId="0" fontId="2" fillId="0" borderId="58" xfId="0" applyFont="1" applyFill="1" applyBorder="1" applyAlignment="1">
      <alignment horizontal="center"/>
    </xf>
    <xf numFmtId="0" fontId="14" fillId="0" borderId="59" xfId="0" applyFont="1" applyFill="1" applyBorder="1"/>
    <xf numFmtId="0" fontId="2" fillId="0" borderId="61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2" xfId="0" applyFont="1" applyFill="1" applyBorder="1" applyAlignment="1">
      <alignment horizontal="center" vertical="center" wrapText="1"/>
    </xf>
    <xf numFmtId="0" fontId="14" fillId="0" borderId="63" xfId="0" applyFont="1" applyFill="1" applyBorder="1"/>
    <xf numFmtId="0" fontId="14" fillId="0" borderId="64" xfId="0" applyFont="1" applyFill="1" applyBorder="1"/>
    <xf numFmtId="0" fontId="2" fillId="0" borderId="61" xfId="0" applyFont="1" applyFill="1" applyBorder="1" applyAlignment="1">
      <alignment horizontal="center" vertical="center" wrapText="1"/>
    </xf>
    <xf numFmtId="0" fontId="14" fillId="0" borderId="65" xfId="0" applyFont="1" applyFill="1" applyBorder="1"/>
    <xf numFmtId="0" fontId="2" fillId="0" borderId="67" xfId="0" applyFont="1" applyFill="1" applyBorder="1" applyAlignment="1">
      <alignment horizontal="center"/>
    </xf>
    <xf numFmtId="0" fontId="14" fillId="0" borderId="68" xfId="0" applyFont="1" applyFill="1" applyBorder="1"/>
    <xf numFmtId="0" fontId="15" fillId="0" borderId="70" xfId="0" applyFont="1" applyFill="1" applyBorder="1" applyAlignment="1">
      <alignment horizontal="center"/>
    </xf>
    <xf numFmtId="0" fontId="16" fillId="0" borderId="70" xfId="0" applyFont="1" applyFill="1" applyBorder="1"/>
    <xf numFmtId="0" fontId="19" fillId="0" borderId="71" xfId="0" applyFont="1" applyFill="1" applyBorder="1" applyAlignment="1">
      <alignment horizontal="center"/>
    </xf>
    <xf numFmtId="0" fontId="16" fillId="0" borderId="72" xfId="0" applyFont="1" applyFill="1" applyBorder="1"/>
    <xf numFmtId="0" fontId="16" fillId="0" borderId="73" xfId="0" applyFont="1" applyFill="1" applyBorder="1"/>
    <xf numFmtId="0" fontId="19" fillId="0" borderId="74" xfId="0" applyFont="1" applyFill="1" applyBorder="1" applyAlignment="1">
      <alignment horizontal="center"/>
    </xf>
    <xf numFmtId="0" fontId="16" fillId="0" borderId="75" xfId="0" applyFont="1" applyFill="1" applyBorder="1"/>
    <xf numFmtId="0" fontId="18" fillId="6" borderId="77" xfId="0" applyFont="1" applyFill="1" applyBorder="1" applyAlignment="1">
      <alignment horizontal="center" vertical="center" wrapText="1"/>
    </xf>
    <xf numFmtId="0" fontId="14" fillId="0" borderId="84" xfId="0" applyFont="1" applyBorder="1"/>
    <xf numFmtId="0" fontId="14" fillId="0" borderId="92" xfId="0" applyFont="1" applyBorder="1"/>
    <xf numFmtId="0" fontId="21" fillId="0" borderId="78" xfId="0" applyFont="1" applyFill="1" applyBorder="1" applyAlignment="1">
      <alignment horizontal="center" vertical="center" wrapText="1"/>
    </xf>
    <xf numFmtId="0" fontId="14" fillId="0" borderId="85" xfId="0" applyFont="1" applyFill="1" applyBorder="1"/>
    <xf numFmtId="0" fontId="2" fillId="0" borderId="79" xfId="0" applyFont="1" applyFill="1" applyBorder="1" applyAlignment="1">
      <alignment horizontal="center" vertical="center"/>
    </xf>
    <xf numFmtId="0" fontId="14" fillId="0" borderId="80" xfId="0" applyFont="1" applyFill="1" applyBorder="1"/>
    <xf numFmtId="0" fontId="21" fillId="0" borderId="81" xfId="0" applyFont="1" applyFill="1" applyBorder="1" applyAlignment="1">
      <alignment horizontal="center" vertical="center" wrapText="1"/>
    </xf>
    <xf numFmtId="0" fontId="2" fillId="0" borderId="82" xfId="0" applyFont="1" applyFill="1" applyBorder="1" applyAlignment="1">
      <alignment horizontal="center" vertical="center"/>
    </xf>
    <xf numFmtId="0" fontId="15" fillId="0" borderId="83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5" xfId="0" applyFont="1" applyFill="1" applyBorder="1"/>
    <xf numFmtId="0" fontId="16" fillId="0" borderId="46" xfId="0" applyFont="1" applyFill="1" applyBorder="1"/>
    <xf numFmtId="0" fontId="16" fillId="0" borderId="87" xfId="0" applyFont="1" applyFill="1" applyBorder="1"/>
    <xf numFmtId="0" fontId="16" fillId="0" borderId="48" xfId="0" applyFont="1" applyFill="1" applyBorder="1"/>
    <xf numFmtId="0" fontId="16" fillId="0" borderId="49" xfId="0" applyFont="1" applyFill="1" applyBorder="1"/>
    <xf numFmtId="0" fontId="2" fillId="0" borderId="88" xfId="0" applyFont="1" applyFill="1" applyBorder="1" applyAlignment="1">
      <alignment horizontal="center" vertical="center" wrapText="1"/>
    </xf>
    <xf numFmtId="0" fontId="14" fillId="0" borderId="91" xfId="0" applyFont="1" applyFill="1" applyBorder="1"/>
    <xf numFmtId="0" fontId="2" fillId="0" borderId="67" xfId="0" applyFont="1" applyFill="1" applyBorder="1" applyAlignment="1">
      <alignment horizontal="center" vertical="center"/>
    </xf>
    <xf numFmtId="0" fontId="2" fillId="0" borderId="67" xfId="0" applyFont="1" applyFill="1" applyBorder="1" applyAlignment="1">
      <alignment horizontal="center" vertical="top"/>
    </xf>
    <xf numFmtId="0" fontId="15" fillId="0" borderId="67" xfId="0" applyFont="1" applyFill="1" applyBorder="1" applyAlignment="1">
      <alignment horizontal="center" vertical="center" wrapText="1"/>
    </xf>
    <xf numFmtId="0" fontId="16" fillId="0" borderId="94" xfId="0" applyFont="1" applyFill="1" applyBorder="1"/>
    <xf numFmtId="0" fontId="2" fillId="0" borderId="86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/>
    </xf>
    <xf numFmtId="0" fontId="2" fillId="0" borderId="58" xfId="0" applyFont="1" applyFill="1" applyBorder="1" applyAlignment="1">
      <alignment horizontal="center" vertical="top"/>
    </xf>
    <xf numFmtId="0" fontId="14" fillId="7" borderId="48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/>
    </xf>
    <xf numFmtId="0" fontId="14" fillId="7" borderId="48" xfId="0" applyFont="1" applyFill="1" applyBorder="1" applyAlignment="1">
      <alignment horizontal="center"/>
    </xf>
    <xf numFmtId="0" fontId="14" fillId="0" borderId="48" xfId="0" applyFont="1" applyBorder="1"/>
    <xf numFmtId="0" fontId="14" fillId="0" borderId="49" xfId="0" applyFont="1" applyBorder="1"/>
    <xf numFmtId="0" fontId="18" fillId="6" borderId="81" xfId="0" applyFont="1" applyFill="1" applyBorder="1" applyAlignment="1">
      <alignment horizontal="center" vertical="center" wrapText="1"/>
    </xf>
    <xf numFmtId="0" fontId="14" fillId="0" borderId="78" xfId="0" applyFont="1" applyBorder="1"/>
    <xf numFmtId="0" fontId="18" fillId="6" borderId="97" xfId="0" applyFont="1" applyFill="1" applyBorder="1" applyAlignment="1">
      <alignment horizontal="center" vertical="center" wrapText="1"/>
    </xf>
    <xf numFmtId="0" fontId="14" fillId="0" borderId="100" xfId="0" applyFont="1" applyBorder="1"/>
    <xf numFmtId="0" fontId="18" fillId="6" borderId="97" xfId="0" applyFont="1" applyFill="1" applyBorder="1" applyAlignment="1">
      <alignment horizontal="center" vertical="center"/>
    </xf>
    <xf numFmtId="0" fontId="18" fillId="6" borderId="57" xfId="0" applyFont="1" applyFill="1" applyBorder="1" applyAlignment="1">
      <alignment horizontal="center" vertical="center"/>
    </xf>
    <xf numFmtId="0" fontId="14" fillId="0" borderId="83" xfId="0" applyFont="1" applyBorder="1"/>
    <xf numFmtId="0" fontId="14" fillId="0" borderId="0" xfId="0" applyFont="1" applyBorder="1"/>
    <xf numFmtId="0" fontId="18" fillId="6" borderId="98" xfId="0" applyFont="1" applyFill="1" applyBorder="1" applyAlignment="1">
      <alignment horizontal="center" vertical="center" wrapText="1"/>
    </xf>
    <xf numFmtId="0" fontId="14" fillId="0" borderId="101" xfId="0" applyFont="1" applyBorder="1"/>
    <xf numFmtId="0" fontId="18" fillId="6" borderId="44" xfId="0" applyFont="1" applyFill="1" applyBorder="1" applyAlignment="1">
      <alignment horizontal="center" vertical="center" textRotation="90" wrapText="1"/>
    </xf>
    <xf numFmtId="0" fontId="14" fillId="0" borderId="95" xfId="0" applyFont="1" applyBorder="1"/>
    <xf numFmtId="0" fontId="14" fillId="0" borderId="44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/>
    </xf>
    <xf numFmtId="0" fontId="14" fillId="7" borderId="95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6" xfId="0" applyFont="1" applyBorder="1"/>
    <xf numFmtId="0" fontId="14" fillId="7" borderId="47" xfId="0" applyFont="1" applyFill="1" applyBorder="1" applyAlignment="1">
      <alignment horizontal="center" vertical="center" wrapText="1"/>
    </xf>
    <xf numFmtId="164" fontId="14" fillId="0" borderId="97" xfId="0" applyNumberFormat="1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6" xfId="0" applyFont="1" applyFill="1" applyBorder="1"/>
    <xf numFmtId="165" fontId="14" fillId="0" borderId="97" xfId="0" applyNumberFormat="1" applyFont="1" applyFill="1" applyBorder="1" applyAlignment="1">
      <alignment horizontal="center" vertical="center"/>
    </xf>
    <xf numFmtId="0" fontId="14" fillId="0" borderId="97" xfId="0" applyFont="1" applyFill="1" applyBorder="1" applyAlignment="1">
      <alignment horizontal="center" vertical="center"/>
    </xf>
    <xf numFmtId="0" fontId="14" fillId="0" borderId="103" xfId="0" applyFont="1" applyFill="1" applyBorder="1" applyAlignment="1">
      <alignment horizontal="center" vertical="center"/>
    </xf>
    <xf numFmtId="0" fontId="14" fillId="0" borderId="105" xfId="0" applyFont="1" applyFill="1" applyBorder="1"/>
    <xf numFmtId="0" fontId="14" fillId="0" borderId="108" xfId="0" applyFont="1" applyFill="1" applyBorder="1"/>
    <xf numFmtId="0" fontId="2" fillId="0" borderId="81" xfId="0" applyFont="1" applyFill="1" applyBorder="1" applyAlignment="1">
      <alignment horizontal="center" vertical="center"/>
    </xf>
    <xf numFmtId="0" fontId="14" fillId="0" borderId="78" xfId="0" applyFont="1" applyFill="1" applyBorder="1"/>
    <xf numFmtId="2" fontId="14" fillId="0" borderId="97" xfId="0" applyNumberFormat="1" applyFont="1" applyFill="1" applyBorder="1" applyAlignment="1">
      <alignment horizontal="center" vertical="center"/>
    </xf>
    <xf numFmtId="0" fontId="4" fillId="8" borderId="109" xfId="0" applyFont="1" applyFill="1" applyBorder="1" applyAlignment="1">
      <alignment horizontal="center" vertical="center" textRotation="90"/>
    </xf>
    <xf numFmtId="0" fontId="4" fillId="8" borderId="110" xfId="0" applyFont="1" applyFill="1" applyBorder="1" applyAlignment="1">
      <alignment horizontal="center" vertical="center" textRotation="90"/>
    </xf>
    <xf numFmtId="0" fontId="4" fillId="8" borderId="11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2" xfId="0" applyFont="1" applyFill="1" applyBorder="1" applyAlignment="1">
      <alignment horizontal="center" vertical="center"/>
    </xf>
    <xf numFmtId="0" fontId="14" fillId="3" borderId="116" xfId="0" applyFont="1" applyFill="1" applyBorder="1"/>
    <xf numFmtId="0" fontId="14" fillId="3" borderId="119" xfId="0" applyFont="1" applyFill="1" applyBorder="1"/>
    <xf numFmtId="2" fontId="14" fillId="9" borderId="113" xfId="0" applyNumberFormat="1" applyFont="1" applyFill="1" applyBorder="1" applyAlignment="1">
      <alignment horizontal="center" vertical="center"/>
    </xf>
    <xf numFmtId="0" fontId="14" fillId="3" borderId="100" xfId="0" applyFont="1" applyFill="1" applyBorder="1"/>
    <xf numFmtId="0" fontId="14" fillId="3" borderId="118" xfId="0" applyFont="1" applyFill="1" applyBorder="1"/>
    <xf numFmtId="164" fontId="14" fillId="9" borderId="113" xfId="0" applyNumberFormat="1" applyFont="1" applyFill="1" applyBorder="1" applyAlignment="1">
      <alignment horizontal="center" vertical="center"/>
    </xf>
    <xf numFmtId="0" fontId="14" fillId="3" borderId="120" xfId="0" applyFont="1" applyFill="1" applyBorder="1"/>
    <xf numFmtId="164" fontId="14" fillId="10" borderId="113" xfId="0" applyNumberFormat="1" applyFont="1" applyFill="1" applyBorder="1" applyAlignment="1">
      <alignment horizontal="center" vertical="center"/>
    </xf>
    <xf numFmtId="0" fontId="18" fillId="12" borderId="0" xfId="0" applyFont="1" applyFill="1" applyBorder="1" applyAlignment="1">
      <alignment horizontal="center" vertical="top" wrapText="1"/>
    </xf>
    <xf numFmtId="0" fontId="18" fillId="12" borderId="48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3" xfId="0" applyFont="1" applyFill="1" applyBorder="1" applyAlignment="1">
      <alignment horizontal="center" vertical="center"/>
    </xf>
    <xf numFmtId="166" fontId="14" fillId="10" borderId="113" xfId="0" applyNumberFormat="1" applyFont="1" applyFill="1" applyBorder="1" applyAlignment="1">
      <alignment horizontal="center" vertical="center"/>
    </xf>
    <xf numFmtId="0" fontId="14" fillId="10" borderId="115" xfId="0" applyFont="1" applyFill="1" applyBorder="1" applyAlignment="1">
      <alignment horizontal="center" vertical="center"/>
    </xf>
    <xf numFmtId="0" fontId="14" fillId="3" borderId="117" xfId="0" applyFont="1" applyFill="1" applyBorder="1"/>
    <xf numFmtId="0" fontId="14" fillId="3" borderId="122" xfId="0" applyFont="1" applyFill="1" applyBorder="1"/>
    <xf numFmtId="2" fontId="14" fillId="9" borderId="102" xfId="0" applyNumberFormat="1" applyFont="1" applyFill="1" applyBorder="1" applyAlignment="1">
      <alignment horizontal="center" vertical="center"/>
    </xf>
    <xf numFmtId="164" fontId="14" fillId="9" borderId="102" xfId="0" applyNumberFormat="1" applyFont="1" applyFill="1" applyBorder="1" applyAlignment="1">
      <alignment horizontal="center" vertical="center"/>
    </xf>
    <xf numFmtId="0" fontId="1" fillId="0" borderId="1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23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4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9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/>
    </xf>
    <xf numFmtId="0" fontId="1" fillId="0" borderId="129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 vertical="center"/>
    </xf>
    <xf numFmtId="0" fontId="1" fillId="0" borderId="126" xfId="0" applyFont="1" applyFill="1" applyBorder="1" applyAlignment="1">
      <alignment horizontal="center" vertical="center"/>
    </xf>
    <xf numFmtId="0" fontId="1" fillId="0" borderId="130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2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164" fontId="14" fillId="13" borderId="16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3" fillId="0" borderId="131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32" xfId="0" applyFont="1" applyBorder="1"/>
    <xf numFmtId="0" fontId="0" fillId="0" borderId="13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2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4.jpeg"/><Relationship Id="rId7" Type="http://schemas.openxmlformats.org/officeDocument/2006/relationships/image" Target="../media/image10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7" Type="http://schemas.openxmlformats.org/officeDocument/2006/relationships/image" Target="../media/image11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10.pn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7" Type="http://schemas.openxmlformats.org/officeDocument/2006/relationships/image" Target="../media/image11.png"/><Relationship Id="rId2" Type="http://schemas.openxmlformats.org/officeDocument/2006/relationships/image" Target="../media/image5.jpeg"/><Relationship Id="rId1" Type="http://schemas.openxmlformats.org/officeDocument/2006/relationships/image" Target="../media/image23.jpeg"/><Relationship Id="rId6" Type="http://schemas.openxmlformats.org/officeDocument/2006/relationships/image" Target="../media/image10.png"/><Relationship Id="rId5" Type="http://schemas.openxmlformats.org/officeDocument/2006/relationships/image" Target="../media/image26.jpeg"/><Relationship Id="rId4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40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676738</xdr:colOff>
      <xdr:row>99</xdr:row>
      <xdr:rowOff>105832</xdr:rowOff>
    </xdr:from>
    <xdr:ext cx="20432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81938" y="18889132"/>
          <a:ext cx="20432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219605</xdr:colOff>
      <xdr:row>115</xdr:row>
      <xdr:rowOff>170656</xdr:rowOff>
    </xdr:from>
    <xdr:to>
      <xdr:col>5</xdr:col>
      <xdr:colOff>479501</xdr:colOff>
      <xdr:row>121</xdr:row>
      <xdr:rowOff>104021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29130" y="22135306"/>
          <a:ext cx="3041196" cy="1800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272520</xdr:colOff>
      <xdr:row>116</xdr:row>
      <xdr:rowOff>3968</xdr:rowOff>
    </xdr:from>
    <xdr:to>
      <xdr:col>10</xdr:col>
      <xdr:colOff>422105</xdr:colOff>
      <xdr:row>121</xdr:row>
      <xdr:rowOff>127833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77720" y="22159118"/>
          <a:ext cx="3007085" cy="1800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212322</xdr:colOff>
      <xdr:row>124</xdr:row>
      <xdr:rowOff>141487</xdr:rowOff>
    </xdr:from>
    <xdr:to>
      <xdr:col>8</xdr:col>
      <xdr:colOff>1693</xdr:colOff>
      <xdr:row>124</xdr:row>
      <xdr:rowOff>1941487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17" b="16644"/>
        <a:stretch/>
      </xdr:blipFill>
      <xdr:spPr>
        <a:xfrm>
          <a:off x="3003147" y="24877912"/>
          <a:ext cx="1932496" cy="1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124</xdr:row>
      <xdr:rowOff>101599</xdr:rowOff>
    </xdr:from>
    <xdr:to>
      <xdr:col>4</xdr:col>
      <xdr:colOff>208404</xdr:colOff>
      <xdr:row>124</xdr:row>
      <xdr:rowOff>1901599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867"/>
        <a:stretch/>
      </xdr:blipFill>
      <xdr:spPr>
        <a:xfrm>
          <a:off x="619125" y="24838024"/>
          <a:ext cx="1665729" cy="18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124</xdr:row>
      <xdr:rowOff>138954</xdr:rowOff>
    </xdr:from>
    <xdr:to>
      <xdr:col>11</xdr:col>
      <xdr:colOff>699563</xdr:colOff>
      <xdr:row>124</xdr:row>
      <xdr:rowOff>1849717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177"/>
        <a:stretch/>
      </xdr:blipFill>
      <xdr:spPr>
        <a:xfrm>
          <a:off x="6067425" y="24875379"/>
          <a:ext cx="1709213" cy="1710763"/>
        </a:xfrm>
        <a:prstGeom prst="rect">
          <a:avLst/>
        </a:prstGeom>
      </xdr:spPr>
    </xdr:pic>
    <xdr:clientData/>
  </xdr:twoCellAnchor>
  <xdr:twoCellAnchor editAs="oneCell">
    <xdr:from>
      <xdr:col>13</xdr:col>
      <xdr:colOff>21933</xdr:colOff>
      <xdr:row>124</xdr:row>
      <xdr:rowOff>101600</xdr:rowOff>
    </xdr:from>
    <xdr:to>
      <xdr:col>15</xdr:col>
      <xdr:colOff>251758</xdr:colOff>
      <xdr:row>124</xdr:row>
      <xdr:rowOff>1871372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420"/>
        <a:stretch/>
      </xdr:blipFill>
      <xdr:spPr>
        <a:xfrm>
          <a:off x="8527758" y="24838025"/>
          <a:ext cx="1658575" cy="1769772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33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33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280645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257175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526716</xdr:colOff>
      <xdr:row>114</xdr:row>
      <xdr:rowOff>77259</xdr:rowOff>
    </xdr:from>
    <xdr:ext cx="273384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031916" y="21432309"/>
          <a:ext cx="273384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130</xdr:row>
      <xdr:rowOff>187325</xdr:rowOff>
    </xdr:from>
    <xdr:to>
      <xdr:col>5</xdr:col>
      <xdr:colOff>408063</xdr:colOff>
      <xdr:row>136</xdr:row>
      <xdr:rowOff>118309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24723725"/>
          <a:ext cx="3041196" cy="17978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267758</xdr:colOff>
      <xdr:row>130</xdr:row>
      <xdr:rowOff>187325</xdr:rowOff>
    </xdr:from>
    <xdr:to>
      <xdr:col>10</xdr:col>
      <xdr:colOff>417343</xdr:colOff>
      <xdr:row>136</xdr:row>
      <xdr:rowOff>118309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72958" y="24723725"/>
          <a:ext cx="3007085" cy="17978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542925</xdr:colOff>
      <xdr:row>139</xdr:row>
      <xdr:rowOff>95250</xdr:rowOff>
    </xdr:from>
    <xdr:to>
      <xdr:col>5</xdr:col>
      <xdr:colOff>161625</xdr:colOff>
      <xdr:row>139</xdr:row>
      <xdr:rowOff>1895250</xdr:rowOff>
    </xdr:to>
    <xdr:pic>
      <xdr:nvPicPr>
        <xdr:cNvPr id="8" name="1 Imagen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2450" y="27403425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183750</xdr:colOff>
      <xdr:row>139</xdr:row>
      <xdr:rowOff>109575</xdr:rowOff>
    </xdr:from>
    <xdr:to>
      <xdr:col>8</xdr:col>
      <xdr:colOff>133350</xdr:colOff>
      <xdr:row>139</xdr:row>
      <xdr:rowOff>1947375</xdr:rowOff>
    </xdr:to>
    <xdr:pic>
      <xdr:nvPicPr>
        <xdr:cNvPr id="9" name="2 Imagen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459225" y="27647475"/>
          <a:ext cx="1837800" cy="1378350"/>
        </a:xfrm>
        <a:prstGeom prst="rect">
          <a:avLst/>
        </a:prstGeom>
      </xdr:spPr>
    </xdr:pic>
    <xdr:clientData/>
  </xdr:twoCellAnchor>
  <xdr:twoCellAnchor editAs="oneCell">
    <xdr:from>
      <xdr:col>8</xdr:col>
      <xdr:colOff>473850</xdr:colOff>
      <xdr:row>139</xdr:row>
      <xdr:rowOff>273825</xdr:rowOff>
    </xdr:from>
    <xdr:to>
      <xdr:col>11</xdr:col>
      <xdr:colOff>250725</xdr:colOff>
      <xdr:row>139</xdr:row>
      <xdr:rowOff>1713825</xdr:rowOff>
    </xdr:to>
    <xdr:pic>
      <xdr:nvPicPr>
        <xdr:cNvPr id="10" name="3 Imagen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07800" y="27582000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642900</xdr:colOff>
      <xdr:row>139</xdr:row>
      <xdr:rowOff>119025</xdr:rowOff>
    </xdr:from>
    <xdr:to>
      <xdr:col>15</xdr:col>
      <xdr:colOff>185400</xdr:colOff>
      <xdr:row>139</xdr:row>
      <xdr:rowOff>1919025</xdr:rowOff>
    </xdr:to>
    <xdr:pic>
      <xdr:nvPicPr>
        <xdr:cNvPr id="11" name="4 Imagen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9975" y="27427200"/>
          <a:ext cx="24000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24587</xdr:rowOff>
    </xdr:from>
    <xdr:to>
      <xdr:col>3</xdr:col>
      <xdr:colOff>400050</xdr:colOff>
      <xdr:row>2</xdr:row>
      <xdr:rowOff>299695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81737"/>
          <a:ext cx="1495425" cy="6561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38100</xdr:rowOff>
    </xdr:from>
    <xdr:to>
      <xdr:col>15</xdr:col>
      <xdr:colOff>350543</xdr:colOff>
      <xdr:row>2</xdr:row>
      <xdr:rowOff>276225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4841" y="95250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1365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131</xdr:row>
      <xdr:rowOff>51593</xdr:rowOff>
    </xdr:from>
    <xdr:to>
      <xdr:col>5</xdr:col>
      <xdr:colOff>408063</xdr:colOff>
      <xdr:row>136</xdr:row>
      <xdr:rowOff>175457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4778493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332052</xdr:colOff>
      <xdr:row>131</xdr:row>
      <xdr:rowOff>99220</xdr:rowOff>
    </xdr:from>
    <xdr:to>
      <xdr:col>10</xdr:col>
      <xdr:colOff>481637</xdr:colOff>
      <xdr:row>136</xdr:row>
      <xdr:rowOff>223084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2" y="24826120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52915</xdr:colOff>
      <xdr:row>139</xdr:row>
      <xdr:rowOff>31751</xdr:rowOff>
    </xdr:from>
    <xdr:to>
      <xdr:col>5</xdr:col>
      <xdr:colOff>293915</xdr:colOff>
      <xdr:row>139</xdr:row>
      <xdr:rowOff>1831751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615" y="27339926"/>
          <a:ext cx="2384125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659833</xdr:colOff>
      <xdr:row>139</xdr:row>
      <xdr:rowOff>120084</xdr:rowOff>
    </xdr:from>
    <xdr:to>
      <xdr:col>10</xdr:col>
      <xdr:colOff>181166</xdr:colOff>
      <xdr:row>139</xdr:row>
      <xdr:rowOff>1920084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033" y="27428259"/>
          <a:ext cx="2378833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391582</xdr:colOff>
      <xdr:row>139</xdr:row>
      <xdr:rowOff>31748</xdr:rowOff>
    </xdr:from>
    <xdr:to>
      <xdr:col>14</xdr:col>
      <xdr:colOff>302249</xdr:colOff>
      <xdr:row>139</xdr:row>
      <xdr:rowOff>1831748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032" y="27339923"/>
          <a:ext cx="1339417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24587</xdr:rowOff>
    </xdr:from>
    <xdr:to>
      <xdr:col>3</xdr:col>
      <xdr:colOff>400050</xdr:colOff>
      <xdr:row>2</xdr:row>
      <xdr:rowOff>318745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81737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38100</xdr:rowOff>
    </xdr:from>
    <xdr:to>
      <xdr:col>15</xdr:col>
      <xdr:colOff>350543</xdr:colOff>
      <xdr:row>2</xdr:row>
      <xdr:rowOff>304800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95250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1365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92678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161775</xdr:colOff>
      <xdr:row>131</xdr:row>
      <xdr:rowOff>36286</xdr:rowOff>
    </xdr:from>
    <xdr:to>
      <xdr:col>5</xdr:col>
      <xdr:colOff>421671</xdr:colOff>
      <xdr:row>136</xdr:row>
      <xdr:rowOff>168656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71300" y="24763186"/>
          <a:ext cx="3041196" cy="18087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405190</xdr:colOff>
      <xdr:row>131</xdr:row>
      <xdr:rowOff>9071</xdr:rowOff>
    </xdr:from>
    <xdr:to>
      <xdr:col>10</xdr:col>
      <xdr:colOff>300775</xdr:colOff>
      <xdr:row>136</xdr:row>
      <xdr:rowOff>141441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910390" y="24735971"/>
          <a:ext cx="3010260" cy="18087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343062</xdr:colOff>
      <xdr:row>139</xdr:row>
      <xdr:rowOff>67235</xdr:rowOff>
    </xdr:from>
    <xdr:to>
      <xdr:col>9</xdr:col>
      <xdr:colOff>669034</xdr:colOff>
      <xdr:row>139</xdr:row>
      <xdr:rowOff>1972236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836"/>
        <a:stretch/>
      </xdr:blipFill>
      <xdr:spPr>
        <a:xfrm>
          <a:off x="4562637" y="27375410"/>
          <a:ext cx="1754722" cy="1905001"/>
        </a:xfrm>
        <a:prstGeom prst="rect">
          <a:avLst/>
        </a:prstGeom>
      </xdr:spPr>
    </xdr:pic>
    <xdr:clientData/>
  </xdr:twoCellAnchor>
  <xdr:twoCellAnchor editAs="oneCell">
    <xdr:from>
      <xdr:col>11</xdr:col>
      <xdr:colOff>484149</xdr:colOff>
      <xdr:row>139</xdr:row>
      <xdr:rowOff>11205</xdr:rowOff>
    </xdr:from>
    <xdr:to>
      <xdr:col>15</xdr:col>
      <xdr:colOff>268783</xdr:colOff>
      <xdr:row>139</xdr:row>
      <xdr:rowOff>2001210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399" y="27319380"/>
          <a:ext cx="2642134" cy="1990005"/>
        </a:xfrm>
        <a:prstGeom prst="rect">
          <a:avLst/>
        </a:prstGeom>
      </xdr:spPr>
    </xdr:pic>
    <xdr:clientData/>
  </xdr:twoCellAnchor>
  <xdr:twoCellAnchor editAs="oneCell">
    <xdr:from>
      <xdr:col>1</xdr:col>
      <xdr:colOff>519797</xdr:colOff>
      <xdr:row>139</xdr:row>
      <xdr:rowOff>78441</xdr:rowOff>
    </xdr:from>
    <xdr:to>
      <xdr:col>5</xdr:col>
      <xdr:colOff>425666</xdr:colOff>
      <xdr:row>139</xdr:row>
      <xdr:rowOff>1961029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115" b="14516"/>
        <a:stretch/>
      </xdr:blipFill>
      <xdr:spPr>
        <a:xfrm>
          <a:off x="529322" y="27386616"/>
          <a:ext cx="2687169" cy="188258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961985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961985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40600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40600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484916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484916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173387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173387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337795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7037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28575</xdr:rowOff>
    </xdr:from>
    <xdr:to>
      <xdr:col>15</xdr:col>
      <xdr:colOff>350543</xdr:colOff>
      <xdr:row>2</xdr:row>
      <xdr:rowOff>323850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72016" y="85725"/>
          <a:ext cx="670277" cy="6762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1"/>
  <sheetViews>
    <sheetView zoomScale="85" zoomScaleNormal="85" workbookViewId="0">
      <selection activeCell="K37" sqref="K37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40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0"/>
      <c r="C3" s="101"/>
      <c r="D3" s="101"/>
      <c r="E3" s="101"/>
      <c r="F3" s="101"/>
      <c r="G3" s="101"/>
      <c r="H3" s="101"/>
      <c r="I3" s="101"/>
      <c r="J3" s="102"/>
    </row>
    <row r="4" spans="2:10" x14ac:dyDescent="0.25">
      <c r="B4" s="103"/>
      <c r="C4" s="105"/>
      <c r="D4" s="105"/>
      <c r="E4" s="105"/>
      <c r="F4" s="105"/>
      <c r="G4" s="105"/>
      <c r="H4" s="105"/>
      <c r="I4" s="105"/>
      <c r="J4" s="106"/>
    </row>
    <row r="5" spans="2:10" x14ac:dyDescent="0.25">
      <c r="B5" s="103"/>
      <c r="C5" s="105"/>
      <c r="D5" s="105"/>
      <c r="E5" s="105"/>
      <c r="F5" s="105"/>
      <c r="G5" s="105"/>
      <c r="H5" s="105"/>
      <c r="I5" s="105"/>
      <c r="J5" s="106"/>
    </row>
    <row r="6" spans="2:10" x14ac:dyDescent="0.25">
      <c r="B6" s="103"/>
      <c r="C6" s="105"/>
      <c r="D6" s="105"/>
      <c r="E6" s="105"/>
      <c r="F6" s="105"/>
      <c r="G6" s="105"/>
      <c r="H6" s="105"/>
      <c r="I6" s="105"/>
      <c r="J6" s="106"/>
    </row>
    <row r="7" spans="2:10" x14ac:dyDescent="0.25">
      <c r="B7" s="103"/>
      <c r="C7" s="105"/>
      <c r="D7" s="105"/>
      <c r="E7" s="105"/>
      <c r="F7" s="105"/>
      <c r="G7" s="105"/>
      <c r="H7" s="105"/>
      <c r="I7" s="105"/>
      <c r="J7" s="106"/>
    </row>
    <row r="8" spans="2:10" x14ac:dyDescent="0.25">
      <c r="B8" s="103"/>
      <c r="C8" s="105"/>
      <c r="D8" s="105"/>
      <c r="E8" s="105"/>
      <c r="F8" s="105"/>
      <c r="G8" s="105"/>
      <c r="H8" s="105"/>
      <c r="I8" s="105"/>
      <c r="J8" s="106"/>
    </row>
    <row r="9" spans="2:10" x14ac:dyDescent="0.25">
      <c r="B9" s="103"/>
      <c r="C9" s="105"/>
      <c r="D9" s="105"/>
      <c r="E9" s="105"/>
      <c r="F9" s="105"/>
      <c r="G9" s="105"/>
      <c r="H9" s="105"/>
      <c r="I9" s="105"/>
      <c r="J9" s="106"/>
    </row>
    <row r="10" spans="2:10" x14ac:dyDescent="0.25">
      <c r="B10" s="103"/>
      <c r="C10" s="105"/>
      <c r="D10" s="105"/>
      <c r="E10" s="105"/>
      <c r="F10" s="105"/>
      <c r="G10" s="105"/>
      <c r="H10" s="105"/>
      <c r="I10" s="105"/>
      <c r="J10" s="106"/>
    </row>
    <row r="11" spans="2:10" x14ac:dyDescent="0.25">
      <c r="B11" s="103"/>
      <c r="C11" s="105"/>
      <c r="D11" s="105"/>
      <c r="E11" s="105"/>
      <c r="F11" s="105"/>
      <c r="G11" s="105"/>
      <c r="H11" s="105"/>
      <c r="I11" s="105"/>
      <c r="J11" s="106"/>
    </row>
    <row r="12" spans="2:10" x14ac:dyDescent="0.25">
      <c r="B12" s="103"/>
      <c r="C12" s="105"/>
      <c r="D12" s="105"/>
      <c r="E12" s="105"/>
      <c r="F12" s="105"/>
      <c r="G12" s="105"/>
      <c r="H12" s="105"/>
      <c r="I12" s="105"/>
      <c r="J12" s="106"/>
    </row>
    <row r="13" spans="2:10" x14ac:dyDescent="0.25">
      <c r="B13" s="103"/>
      <c r="C13" s="105"/>
      <c r="D13" s="105"/>
      <c r="E13" s="105"/>
      <c r="F13" s="105"/>
      <c r="G13" s="105"/>
      <c r="H13" s="105"/>
      <c r="I13" s="105"/>
      <c r="J13" s="106"/>
    </row>
    <row r="14" spans="2:10" x14ac:dyDescent="0.25">
      <c r="B14" s="103"/>
      <c r="C14" s="105"/>
      <c r="D14" s="105"/>
      <c r="E14" s="105"/>
      <c r="F14" s="105"/>
      <c r="G14" s="105"/>
      <c r="H14" s="105"/>
      <c r="I14" s="105"/>
      <c r="J14" s="106"/>
    </row>
    <row r="15" spans="2:10" x14ac:dyDescent="0.25">
      <c r="B15" s="103"/>
      <c r="C15" s="105"/>
      <c r="D15" s="105"/>
      <c r="E15" s="105"/>
      <c r="F15" s="105"/>
      <c r="G15" s="105"/>
      <c r="H15" s="105"/>
      <c r="I15" s="105"/>
      <c r="J15" s="106"/>
    </row>
    <row r="16" spans="2:10" x14ac:dyDescent="0.25">
      <c r="B16" s="103"/>
      <c r="C16" s="105"/>
      <c r="D16" s="105"/>
      <c r="E16" s="105"/>
      <c r="F16" s="105"/>
      <c r="G16" s="105"/>
      <c r="H16" s="105"/>
      <c r="I16" s="105"/>
      <c r="J16" s="106"/>
    </row>
    <row r="17" spans="2:10" x14ac:dyDescent="0.25">
      <c r="B17" s="103"/>
      <c r="C17" s="105"/>
      <c r="D17" s="105"/>
      <c r="E17" s="105"/>
      <c r="F17" s="105"/>
      <c r="G17" s="105"/>
      <c r="H17" s="105"/>
      <c r="I17" s="105"/>
      <c r="J17" s="106"/>
    </row>
    <row r="18" spans="2:10" x14ac:dyDescent="0.25">
      <c r="B18" s="103"/>
      <c r="C18" s="105"/>
      <c r="D18" s="105"/>
      <c r="E18" s="105"/>
      <c r="F18" s="105"/>
      <c r="G18" s="105"/>
      <c r="H18" s="105"/>
      <c r="I18" s="105"/>
      <c r="J18" s="106"/>
    </row>
    <row r="19" spans="2:10" x14ac:dyDescent="0.25">
      <c r="B19" s="103"/>
      <c r="C19" s="105"/>
      <c r="D19" s="105"/>
      <c r="E19" s="105"/>
      <c r="F19" s="105"/>
      <c r="G19" s="105"/>
      <c r="H19" s="105"/>
      <c r="I19" s="105"/>
      <c r="J19" s="106"/>
    </row>
    <row r="20" spans="2:10" x14ac:dyDescent="0.25">
      <c r="B20" s="103"/>
      <c r="C20" s="105"/>
      <c r="D20" s="105"/>
      <c r="E20" s="105"/>
      <c r="F20" s="105"/>
      <c r="G20" s="105"/>
      <c r="H20" s="105"/>
      <c r="I20" s="105"/>
      <c r="J20" s="106"/>
    </row>
    <row r="21" spans="2:10" x14ac:dyDescent="0.25">
      <c r="B21" s="103"/>
      <c r="C21" s="105"/>
      <c r="D21" s="105"/>
      <c r="E21" s="105"/>
      <c r="F21" s="105"/>
      <c r="G21" s="105"/>
      <c r="H21" s="105"/>
      <c r="I21" s="105"/>
      <c r="J21" s="106"/>
    </row>
    <row r="22" spans="2:10" x14ac:dyDescent="0.25">
      <c r="B22" s="103"/>
      <c r="C22" s="105"/>
      <c r="D22" s="105"/>
      <c r="E22" s="105"/>
      <c r="F22" s="105"/>
      <c r="G22" s="105"/>
      <c r="H22" s="105"/>
      <c r="I22" s="105"/>
      <c r="J22" s="106"/>
    </row>
    <row r="23" spans="2:10" x14ac:dyDescent="0.25">
      <c r="B23" s="103"/>
      <c r="C23" s="105"/>
      <c r="D23" s="105"/>
      <c r="E23" s="105"/>
      <c r="F23" s="105"/>
      <c r="G23" s="105"/>
      <c r="H23" s="105"/>
      <c r="I23" s="105"/>
      <c r="J23" s="106"/>
    </row>
    <row r="24" spans="2:10" ht="6.75" customHeight="1" x14ac:dyDescent="0.25">
      <c r="B24" s="104"/>
      <c r="C24" s="108"/>
      <c r="D24" s="108"/>
      <c r="E24" s="108"/>
      <c r="F24" s="108"/>
      <c r="G24" s="108"/>
      <c r="H24" s="108"/>
      <c r="I24" s="108"/>
      <c r="J24" s="107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9" t="s">
        <v>41</v>
      </c>
      <c r="C26" s="99"/>
      <c r="D26" s="99"/>
      <c r="E26" s="99"/>
      <c r="F26" s="99"/>
      <c r="G26" s="99"/>
      <c r="H26" s="99"/>
      <c r="I26" s="99"/>
      <c r="J26" s="99"/>
    </row>
    <row r="27" spans="2:10" ht="6.75" customHeight="1" x14ac:dyDescent="0.25">
      <c r="B27" s="100"/>
      <c r="C27" s="101"/>
      <c r="D27" s="101"/>
      <c r="E27" s="101"/>
      <c r="F27" s="101"/>
      <c r="G27" s="101"/>
      <c r="H27" s="101"/>
      <c r="I27" s="101"/>
      <c r="J27" s="102"/>
    </row>
    <row r="28" spans="2:10" x14ac:dyDescent="0.25">
      <c r="B28" s="103"/>
      <c r="C28" s="105"/>
      <c r="D28" s="105"/>
      <c r="E28" s="105"/>
      <c r="F28" s="105"/>
      <c r="G28" s="105"/>
      <c r="H28" s="105"/>
      <c r="I28" s="105"/>
      <c r="J28" s="106"/>
    </row>
    <row r="29" spans="2:10" x14ac:dyDescent="0.25">
      <c r="B29" s="103"/>
      <c r="C29" s="105"/>
      <c r="D29" s="105"/>
      <c r="E29" s="105"/>
      <c r="F29" s="105"/>
      <c r="G29" s="105"/>
      <c r="H29" s="105"/>
      <c r="I29" s="105"/>
      <c r="J29" s="106"/>
    </row>
    <row r="30" spans="2:10" x14ac:dyDescent="0.25">
      <c r="B30" s="103"/>
      <c r="C30" s="105"/>
      <c r="D30" s="105"/>
      <c r="E30" s="105"/>
      <c r="F30" s="105"/>
      <c r="G30" s="105"/>
      <c r="H30" s="105"/>
      <c r="I30" s="105"/>
      <c r="J30" s="106"/>
    </row>
    <row r="31" spans="2:10" x14ac:dyDescent="0.25">
      <c r="B31" s="103"/>
      <c r="C31" s="105"/>
      <c r="D31" s="105"/>
      <c r="E31" s="105"/>
      <c r="F31" s="105"/>
      <c r="G31" s="105"/>
      <c r="H31" s="105"/>
      <c r="I31" s="105"/>
      <c r="J31" s="106"/>
    </row>
    <row r="32" spans="2:10" x14ac:dyDescent="0.25">
      <c r="B32" s="103"/>
      <c r="C32" s="105"/>
      <c r="D32" s="105"/>
      <c r="E32" s="105"/>
      <c r="F32" s="105"/>
      <c r="G32" s="105"/>
      <c r="H32" s="105"/>
      <c r="I32" s="105"/>
      <c r="J32" s="106"/>
    </row>
    <row r="33" spans="2:10" x14ac:dyDescent="0.25">
      <c r="B33" s="103"/>
      <c r="C33" s="105"/>
      <c r="D33" s="105"/>
      <c r="E33" s="105"/>
      <c r="F33" s="105"/>
      <c r="G33" s="105"/>
      <c r="H33" s="105"/>
      <c r="I33" s="105"/>
      <c r="J33" s="106"/>
    </row>
    <row r="34" spans="2:10" x14ac:dyDescent="0.25">
      <c r="B34" s="103"/>
      <c r="C34" s="105"/>
      <c r="D34" s="105"/>
      <c r="E34" s="105"/>
      <c r="F34" s="105"/>
      <c r="G34" s="105"/>
      <c r="H34" s="105"/>
      <c r="I34" s="105"/>
      <c r="J34" s="106"/>
    </row>
    <row r="35" spans="2:10" x14ac:dyDescent="0.25">
      <c r="B35" s="103"/>
      <c r="C35" s="105"/>
      <c r="D35" s="105"/>
      <c r="E35" s="105"/>
      <c r="F35" s="105"/>
      <c r="G35" s="105"/>
      <c r="H35" s="105"/>
      <c r="I35" s="105"/>
      <c r="J35" s="106"/>
    </row>
    <row r="36" spans="2:10" x14ac:dyDescent="0.25">
      <c r="B36" s="103"/>
      <c r="C36" s="105"/>
      <c r="D36" s="105"/>
      <c r="E36" s="105"/>
      <c r="F36" s="105"/>
      <c r="G36" s="105"/>
      <c r="H36" s="105"/>
      <c r="I36" s="105"/>
      <c r="J36" s="106"/>
    </row>
    <row r="37" spans="2:10" x14ac:dyDescent="0.25">
      <c r="B37" s="103"/>
      <c r="C37" s="105"/>
      <c r="D37" s="105"/>
      <c r="E37" s="105"/>
      <c r="F37" s="105"/>
      <c r="G37" s="105"/>
      <c r="H37" s="105"/>
      <c r="I37" s="105"/>
      <c r="J37" s="106"/>
    </row>
    <row r="38" spans="2:10" x14ac:dyDescent="0.25">
      <c r="B38" s="103"/>
      <c r="C38" s="105"/>
      <c r="D38" s="105"/>
      <c r="E38" s="105"/>
      <c r="F38" s="105"/>
      <c r="G38" s="105"/>
      <c r="H38" s="105"/>
      <c r="I38" s="105"/>
      <c r="J38" s="106"/>
    </row>
    <row r="39" spans="2:10" x14ac:dyDescent="0.25">
      <c r="B39" s="103"/>
      <c r="C39" s="105"/>
      <c r="D39" s="105"/>
      <c r="E39" s="105"/>
      <c r="F39" s="105"/>
      <c r="G39" s="105"/>
      <c r="H39" s="105"/>
      <c r="I39" s="105"/>
      <c r="J39" s="106"/>
    </row>
    <row r="40" spans="2:10" x14ac:dyDescent="0.25">
      <c r="B40" s="103"/>
      <c r="C40" s="105"/>
      <c r="D40" s="105"/>
      <c r="E40" s="105"/>
      <c r="F40" s="105"/>
      <c r="G40" s="105"/>
      <c r="H40" s="105"/>
      <c r="I40" s="105"/>
      <c r="J40" s="106"/>
    </row>
    <row r="41" spans="2:10" ht="6.75" customHeight="1" x14ac:dyDescent="0.25">
      <c r="B41" s="104"/>
      <c r="C41" s="108"/>
      <c r="D41" s="108"/>
      <c r="E41" s="108"/>
      <c r="F41" s="108"/>
      <c r="G41" s="108"/>
      <c r="H41" s="108"/>
      <c r="I41" s="108"/>
      <c r="J41" s="107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41"/>
    <mergeCell ref="C28:I40"/>
    <mergeCell ref="J28:J41"/>
    <mergeCell ref="C41:I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8"/>
  <sheetViews>
    <sheetView tabSelected="1" view="pageBreakPreview" zoomScaleSheetLayoutView="100" zoomScalePageLayoutView="110" workbookViewId="0">
      <selection activeCell="D6" sqref="D6:I6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124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4.7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1">
        <v>43041</v>
      </c>
      <c r="D5" s="112"/>
      <c r="E5" s="22" t="s">
        <v>1</v>
      </c>
      <c r="F5" s="23">
        <v>1</v>
      </c>
      <c r="G5" s="24" t="s">
        <v>2</v>
      </c>
      <c r="H5" s="113" t="s">
        <v>125</v>
      </c>
      <c r="I5" s="114"/>
      <c r="J5" s="114"/>
      <c r="K5" s="114"/>
      <c r="L5" s="114"/>
      <c r="M5" s="114"/>
      <c r="N5" s="114"/>
      <c r="O5" s="114"/>
      <c r="P5" s="11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16" t="s">
        <v>3</v>
      </c>
      <c r="C6" s="117"/>
      <c r="D6" s="118" t="s">
        <v>108</v>
      </c>
      <c r="E6" s="119"/>
      <c r="F6" s="119"/>
      <c r="G6" s="119"/>
      <c r="H6" s="119"/>
      <c r="I6" s="120"/>
      <c r="J6" s="28" t="s">
        <v>4</v>
      </c>
      <c r="K6" s="121" t="s">
        <v>109</v>
      </c>
      <c r="L6" s="120"/>
      <c r="M6" s="121" t="s">
        <v>110</v>
      </c>
      <c r="N6" s="122"/>
      <c r="O6" s="29" t="s">
        <v>54</v>
      </c>
      <c r="P6" s="30">
        <v>2078</v>
      </c>
    </row>
    <row r="7" spans="1:26" s="26" customFormat="1" ht="21.75" customHeight="1" x14ac:dyDescent="0.25">
      <c r="B7" s="123" t="s">
        <v>55</v>
      </c>
      <c r="C7" s="125" t="s">
        <v>56</v>
      </c>
      <c r="D7" s="126"/>
      <c r="E7" s="32"/>
      <c r="F7" s="127" t="s">
        <v>57</v>
      </c>
      <c r="G7" s="128"/>
      <c r="H7" s="128"/>
      <c r="I7" s="128"/>
      <c r="J7" s="129" t="s">
        <v>58</v>
      </c>
      <c r="K7" s="130"/>
      <c r="L7" s="130"/>
      <c r="M7" s="131"/>
      <c r="N7" s="132" t="s">
        <v>93</v>
      </c>
      <c r="O7" s="133"/>
      <c r="P7" s="33" t="s">
        <v>59</v>
      </c>
    </row>
    <row r="8" spans="1:26" s="26" customFormat="1" ht="21.75" customHeight="1" thickBot="1" x14ac:dyDescent="0.3">
      <c r="B8" s="124"/>
      <c r="C8" s="134" t="s">
        <v>60</v>
      </c>
      <c r="D8" s="135"/>
      <c r="E8" s="34" t="s">
        <v>5</v>
      </c>
      <c r="F8" s="136" t="s">
        <v>6</v>
      </c>
      <c r="G8" s="137"/>
      <c r="H8" s="137"/>
      <c r="I8" s="137"/>
      <c r="J8" s="138"/>
      <c r="K8" s="139"/>
      <c r="L8" s="139"/>
      <c r="M8" s="140"/>
      <c r="N8" s="141"/>
      <c r="O8" s="142"/>
      <c r="P8" s="35"/>
    </row>
    <row r="9" spans="1:26" s="26" customFormat="1" ht="21.75" customHeight="1" x14ac:dyDescent="0.25">
      <c r="B9" s="143" t="s">
        <v>7</v>
      </c>
      <c r="C9" s="146" t="s">
        <v>61</v>
      </c>
      <c r="D9" s="148" t="s">
        <v>62</v>
      </c>
      <c r="E9" s="149"/>
      <c r="F9" s="36"/>
      <c r="G9" s="150" t="s">
        <v>8</v>
      </c>
      <c r="H9" s="151" t="s">
        <v>9</v>
      </c>
      <c r="I9" s="126"/>
      <c r="J9" s="37"/>
      <c r="K9" s="146" t="s">
        <v>63</v>
      </c>
      <c r="L9" s="152" t="s">
        <v>106</v>
      </c>
      <c r="M9" s="153"/>
      <c r="N9" s="154"/>
      <c r="O9" s="154"/>
      <c r="P9" s="155"/>
    </row>
    <row r="10" spans="1:26" s="26" customFormat="1" ht="21.75" customHeight="1" thickBot="1" x14ac:dyDescent="0.3">
      <c r="B10" s="144"/>
      <c r="C10" s="147"/>
      <c r="D10" s="165" t="s">
        <v>64</v>
      </c>
      <c r="E10" s="135"/>
      <c r="F10" s="38" t="s">
        <v>5</v>
      </c>
      <c r="G10" s="147"/>
      <c r="H10" s="165" t="s">
        <v>10</v>
      </c>
      <c r="I10" s="135"/>
      <c r="J10" s="39" t="s">
        <v>5</v>
      </c>
      <c r="K10" s="147"/>
      <c r="L10" s="156"/>
      <c r="M10" s="157"/>
      <c r="N10" s="157"/>
      <c r="O10" s="157"/>
      <c r="P10" s="158"/>
    </row>
    <row r="11" spans="1:26" s="26" customFormat="1" ht="21.75" customHeight="1" x14ac:dyDescent="0.25">
      <c r="A11" s="20"/>
      <c r="B11" s="144"/>
      <c r="C11" s="166" t="s">
        <v>11</v>
      </c>
      <c r="D11" s="149"/>
      <c r="E11" s="40">
        <v>0.4826388888888889</v>
      </c>
      <c r="F11" s="167" t="s">
        <v>12</v>
      </c>
      <c r="G11" s="149"/>
      <c r="H11" s="98">
        <v>0.72</v>
      </c>
      <c r="I11" s="168" t="s">
        <v>13</v>
      </c>
      <c r="J11" s="126"/>
      <c r="K11" s="41">
        <v>15</v>
      </c>
      <c r="L11" s="166" t="s">
        <v>14</v>
      </c>
      <c r="M11" s="149"/>
      <c r="N11" s="42">
        <v>9</v>
      </c>
      <c r="O11" s="159" t="s">
        <v>65</v>
      </c>
      <c r="P11" s="160"/>
    </row>
    <row r="12" spans="1:26" s="26" customFormat="1" ht="21.75" customHeight="1" thickBot="1" x14ac:dyDescent="0.3">
      <c r="A12" s="20"/>
      <c r="B12" s="145"/>
      <c r="C12" s="161" t="s">
        <v>15</v>
      </c>
      <c r="D12" s="135"/>
      <c r="E12" s="40">
        <v>0.59375</v>
      </c>
      <c r="F12" s="134" t="s">
        <v>16</v>
      </c>
      <c r="G12" s="135"/>
      <c r="H12" s="98">
        <v>0.72</v>
      </c>
      <c r="I12" s="162" t="s">
        <v>17</v>
      </c>
      <c r="J12" s="135"/>
      <c r="K12" s="40">
        <v>0.48958333333333331</v>
      </c>
      <c r="L12" s="161" t="s">
        <v>18</v>
      </c>
      <c r="M12" s="135"/>
      <c r="N12" s="43">
        <v>0.6</v>
      </c>
      <c r="O12" s="163">
        <v>0.56999999999999995</v>
      </c>
      <c r="P12" s="164"/>
    </row>
    <row r="13" spans="1:26" s="26" customFormat="1" ht="21.75" customHeight="1" x14ac:dyDescent="0.25">
      <c r="A13" s="20"/>
      <c r="B13" s="184" t="s">
        <v>19</v>
      </c>
      <c r="C13" s="186" t="s">
        <v>94</v>
      </c>
      <c r="D13" s="187"/>
      <c r="E13" s="187"/>
      <c r="F13" s="188" t="s">
        <v>95</v>
      </c>
      <c r="G13" s="187"/>
      <c r="H13" s="187"/>
      <c r="I13" s="187"/>
      <c r="J13" s="188" t="s">
        <v>96</v>
      </c>
      <c r="K13" s="187"/>
      <c r="L13" s="187"/>
      <c r="M13" s="187"/>
      <c r="N13" s="189" t="s">
        <v>97</v>
      </c>
      <c r="O13" s="187"/>
      <c r="P13" s="190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185"/>
      <c r="C14" s="191" t="s">
        <v>98</v>
      </c>
      <c r="D14" s="192"/>
      <c r="E14" s="192"/>
      <c r="F14" s="193" t="s">
        <v>99</v>
      </c>
      <c r="G14" s="192"/>
      <c r="H14" s="192"/>
      <c r="I14" s="192"/>
      <c r="J14" s="194" t="s">
        <v>100</v>
      </c>
      <c r="K14" s="192"/>
      <c r="L14" s="192"/>
      <c r="M14" s="192"/>
      <c r="N14" s="195"/>
      <c r="O14" s="181"/>
      <c r="P14" s="19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24"/>
      <c r="C15" s="197" t="s">
        <v>101</v>
      </c>
      <c r="D15" s="169"/>
      <c r="E15" s="169"/>
      <c r="F15" s="169" t="s">
        <v>102</v>
      </c>
      <c r="G15" s="170"/>
      <c r="H15" s="170"/>
      <c r="I15" s="170"/>
      <c r="J15" s="169" t="s">
        <v>66</v>
      </c>
      <c r="K15" s="170"/>
      <c r="L15" s="170"/>
      <c r="M15" s="170"/>
      <c r="N15" s="171"/>
      <c r="O15" s="172"/>
      <c r="P15" s="17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74" t="s">
        <v>20</v>
      </c>
      <c r="C16" s="176" t="s">
        <v>21</v>
      </c>
      <c r="D16" s="176" t="s">
        <v>42</v>
      </c>
      <c r="E16" s="178" t="s">
        <v>22</v>
      </c>
      <c r="F16" s="179" t="s">
        <v>43</v>
      </c>
      <c r="G16" s="110"/>
      <c r="H16" s="176" t="s">
        <v>67</v>
      </c>
      <c r="I16" s="182" t="s">
        <v>68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175"/>
      <c r="C17" s="177"/>
      <c r="D17" s="177"/>
      <c r="E17" s="177"/>
      <c r="F17" s="180"/>
      <c r="G17" s="181"/>
      <c r="H17" s="177"/>
      <c r="I17" s="183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0.56999999999999995</v>
      </c>
      <c r="D18" s="55">
        <v>0</v>
      </c>
      <c r="E18" s="56"/>
      <c r="F18" s="57"/>
      <c r="G18" s="97"/>
      <c r="H18" s="58"/>
      <c r="I18" s="59"/>
      <c r="J18" s="96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06">
        <v>1</v>
      </c>
      <c r="C19" s="208">
        <f>+C18+$N$12</f>
        <v>1.17</v>
      </c>
      <c r="D19" s="198">
        <v>0.16600000000000001</v>
      </c>
      <c r="E19" s="198">
        <v>0.11</v>
      </c>
      <c r="F19" s="62" t="s">
        <v>69</v>
      </c>
      <c r="G19" s="63">
        <v>0</v>
      </c>
      <c r="H19" s="64"/>
      <c r="I19" s="65"/>
      <c r="J19" s="66">
        <v>1.0999999999999999E-2</v>
      </c>
      <c r="K19" s="198">
        <f>+IF(E19&lt;=0.12,(J21),(IF(E19&lt;0.16,((J20+2*J21+J22)/4),IF(E19&gt;=0.16,((J19+3*J20+2*J21+3*J22+J23)/10)))))</f>
        <v>1E-3</v>
      </c>
      <c r="L19" s="198">
        <f>ROUND(+(D18+D19)/2*(C19-C18),3)</f>
        <v>0.05</v>
      </c>
      <c r="M19" s="198">
        <f>ROUND(+K19*L19,4)</f>
        <v>1E-4</v>
      </c>
      <c r="N19" s="201">
        <f>ROUND(+M19/$M$113*100,2)</f>
        <v>0.02</v>
      </c>
      <c r="O19" s="202"/>
      <c r="P19" s="20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07"/>
      <c r="C20" s="199"/>
      <c r="D20" s="199"/>
      <c r="E20" s="199"/>
      <c r="F20" s="67" t="s">
        <v>70</v>
      </c>
      <c r="G20" s="68" t="str">
        <f>IF(E19&lt;0.125,"NA",IF(0.125&lt;=E19,(0.2*E19)))</f>
        <v>NA</v>
      </c>
      <c r="H20" s="69"/>
      <c r="I20" s="70"/>
      <c r="J20" s="71"/>
      <c r="K20" s="199"/>
      <c r="L20" s="199"/>
      <c r="M20" s="199"/>
      <c r="N20" s="199"/>
      <c r="O20" s="199"/>
      <c r="P20" s="204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07"/>
      <c r="C21" s="199"/>
      <c r="D21" s="199"/>
      <c r="E21" s="199"/>
      <c r="F21" s="67" t="s">
        <v>71</v>
      </c>
      <c r="G21" s="68">
        <f>+E19*0.4</f>
        <v>4.4000000000000004E-2</v>
      </c>
      <c r="H21" s="69"/>
      <c r="I21" s="70"/>
      <c r="J21" s="71">
        <v>1E-3</v>
      </c>
      <c r="K21" s="199"/>
      <c r="L21" s="199"/>
      <c r="M21" s="199"/>
      <c r="N21" s="199"/>
      <c r="O21" s="199"/>
      <c r="P21" s="204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07"/>
      <c r="C22" s="199"/>
      <c r="D22" s="199"/>
      <c r="E22" s="199"/>
      <c r="F22" s="67" t="s">
        <v>72</v>
      </c>
      <c r="G22" s="68" t="str">
        <f>IF(E19&lt;0.125,"NA",IF(0.125&lt;=E19,(0.8*E19)))</f>
        <v>NA</v>
      </c>
      <c r="H22" s="69"/>
      <c r="I22" s="70"/>
      <c r="J22" s="71"/>
      <c r="K22" s="199"/>
      <c r="L22" s="199"/>
      <c r="M22" s="199"/>
      <c r="N22" s="199"/>
      <c r="O22" s="199"/>
      <c r="P22" s="204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147"/>
      <c r="C23" s="200"/>
      <c r="D23" s="200"/>
      <c r="E23" s="200"/>
      <c r="F23" s="72" t="s">
        <v>73</v>
      </c>
      <c r="G23" s="73">
        <f>+E19</f>
        <v>0.11</v>
      </c>
      <c r="H23" s="74"/>
      <c r="I23" s="75"/>
      <c r="J23" s="76">
        <v>1.6E-2</v>
      </c>
      <c r="K23" s="200"/>
      <c r="L23" s="200"/>
      <c r="M23" s="200"/>
      <c r="N23" s="200"/>
      <c r="O23" s="200"/>
      <c r="P23" s="205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06">
        <v>2</v>
      </c>
      <c r="C24" s="208">
        <f>+C19+$N$12</f>
        <v>1.77</v>
      </c>
      <c r="D24" s="198">
        <v>0.11899999999999999</v>
      </c>
      <c r="E24" s="198">
        <v>0.13800000000000001</v>
      </c>
      <c r="F24" s="62" t="s">
        <v>69</v>
      </c>
      <c r="G24" s="63">
        <v>0</v>
      </c>
      <c r="H24" s="64"/>
      <c r="I24" s="65"/>
      <c r="J24" s="66">
        <v>7.8E-2</v>
      </c>
      <c r="K24" s="198">
        <f t="shared" ref="K24" si="0">+IF(E24&lt;=0.12,(J26),(IF(E24&lt;0.16,((J25+2*J26+J27)/4),IF(E24&gt;=0.16,((J24+3*J25+2*J26+3*J27+J28)/10)))))</f>
        <v>9.5000000000000001E-2</v>
      </c>
      <c r="L24" s="198">
        <f>ROUND(+(D19+D24)/2*(C24-C19),3)</f>
        <v>8.5999999999999993E-2</v>
      </c>
      <c r="M24" s="198">
        <f t="shared" ref="M24" si="1">ROUND(+K24*L24,4)</f>
        <v>8.2000000000000007E-3</v>
      </c>
      <c r="N24" s="201">
        <f t="shared" ref="N24" si="2">ROUND(+M24/$M$113*100,2)</f>
        <v>1.42</v>
      </c>
      <c r="O24" s="202"/>
      <c r="P24" s="20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07"/>
      <c r="C25" s="199"/>
      <c r="D25" s="199"/>
      <c r="E25" s="199"/>
      <c r="F25" s="67" t="s">
        <v>70</v>
      </c>
      <c r="G25" s="68">
        <f t="shared" ref="G25" si="3">IF(E24&lt;0.125,"NA",IF(0.125&lt;=E24,(0.2*E24)))</f>
        <v>2.7600000000000003E-2</v>
      </c>
      <c r="H25" s="69"/>
      <c r="I25" s="70"/>
      <c r="J25" s="71">
        <v>7.0000000000000007E-2</v>
      </c>
      <c r="K25" s="199"/>
      <c r="L25" s="199"/>
      <c r="M25" s="199"/>
      <c r="N25" s="199"/>
      <c r="O25" s="199"/>
      <c r="P25" s="204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07"/>
      <c r="C26" s="199"/>
      <c r="D26" s="199"/>
      <c r="E26" s="199"/>
      <c r="F26" s="67" t="s">
        <v>71</v>
      </c>
      <c r="G26" s="68">
        <f t="shared" ref="G26" si="4">+E24*0.4</f>
        <v>5.5200000000000006E-2</v>
      </c>
      <c r="H26" s="69"/>
      <c r="I26" s="70"/>
      <c r="J26" s="71">
        <v>0.105</v>
      </c>
      <c r="K26" s="199"/>
      <c r="L26" s="199"/>
      <c r="M26" s="199"/>
      <c r="N26" s="199"/>
      <c r="O26" s="199"/>
      <c r="P26" s="204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07"/>
      <c r="C27" s="199"/>
      <c r="D27" s="199"/>
      <c r="E27" s="199"/>
      <c r="F27" s="67" t="s">
        <v>72</v>
      </c>
      <c r="G27" s="68">
        <f t="shared" ref="G27" si="5">IF(E24&lt;0.125,"NA",IF(0.125&lt;=E24,(0.8*E24)))</f>
        <v>0.11040000000000001</v>
      </c>
      <c r="H27" s="69"/>
      <c r="I27" s="70"/>
      <c r="J27" s="71">
        <v>0.1</v>
      </c>
      <c r="K27" s="199"/>
      <c r="L27" s="199"/>
      <c r="M27" s="199"/>
      <c r="N27" s="199"/>
      <c r="O27" s="199"/>
      <c r="P27" s="204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147"/>
      <c r="C28" s="200"/>
      <c r="D28" s="200"/>
      <c r="E28" s="200"/>
      <c r="F28" s="72" t="s">
        <v>73</v>
      </c>
      <c r="G28" s="73">
        <f t="shared" ref="G28" si="6">+E24</f>
        <v>0.13800000000000001</v>
      </c>
      <c r="H28" s="74"/>
      <c r="I28" s="75"/>
      <c r="J28" s="76">
        <v>0.09</v>
      </c>
      <c r="K28" s="200"/>
      <c r="L28" s="200"/>
      <c r="M28" s="200"/>
      <c r="N28" s="200"/>
      <c r="O28" s="200"/>
      <c r="P28" s="205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06">
        <v>3</v>
      </c>
      <c r="C29" s="208">
        <f>+C24+$N$12</f>
        <v>2.37</v>
      </c>
      <c r="D29" s="198">
        <v>0.15</v>
      </c>
      <c r="E29" s="198">
        <v>0.16700000000000001</v>
      </c>
      <c r="F29" s="62" t="s">
        <v>69</v>
      </c>
      <c r="G29" s="63">
        <v>0</v>
      </c>
      <c r="H29" s="64"/>
      <c r="I29" s="65"/>
      <c r="J29" s="66">
        <v>0.03</v>
      </c>
      <c r="K29" s="198">
        <f t="shared" ref="K29" si="7">+IF(E29&lt;=0.12,(J31),(IF(E29&lt;0.16,((J30+2*J31+J32)/4),IF(E29&gt;=0.16,((J29+3*J30+2*J31+3*J32+J33)/10)))))</f>
        <v>0.14209999999999998</v>
      </c>
      <c r="L29" s="198">
        <f t="shared" ref="L29" si="8">ROUND(+(D24+D29)/2*(C29-C24),3)</f>
        <v>8.1000000000000003E-2</v>
      </c>
      <c r="M29" s="198">
        <f t="shared" ref="M29" si="9">ROUND(+K29*L29,4)</f>
        <v>1.15E-2</v>
      </c>
      <c r="N29" s="201">
        <f t="shared" ref="N29" si="10">ROUND(+M29/$M$113*100,2)</f>
        <v>1.99</v>
      </c>
      <c r="O29" s="202"/>
      <c r="P29" s="20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07"/>
      <c r="C30" s="199"/>
      <c r="D30" s="199"/>
      <c r="E30" s="199"/>
      <c r="F30" s="67" t="s">
        <v>70</v>
      </c>
      <c r="G30" s="68">
        <f t="shared" ref="G30" si="11">IF(E29&lt;0.125,"NA",IF(0.125&lt;=E29,(0.2*E29)))</f>
        <v>3.3400000000000006E-2</v>
      </c>
      <c r="H30" s="69"/>
      <c r="I30" s="70"/>
      <c r="J30" s="71">
        <v>5.6000000000000001E-2</v>
      </c>
      <c r="K30" s="199"/>
      <c r="L30" s="199"/>
      <c r="M30" s="199"/>
      <c r="N30" s="199"/>
      <c r="O30" s="199"/>
      <c r="P30" s="204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07"/>
      <c r="C31" s="199"/>
      <c r="D31" s="199"/>
      <c r="E31" s="199"/>
      <c r="F31" s="67" t="s">
        <v>71</v>
      </c>
      <c r="G31" s="68">
        <f t="shared" ref="G31" si="12">+E29*0.4</f>
        <v>6.6800000000000012E-2</v>
      </c>
      <c r="H31" s="69"/>
      <c r="I31" s="70"/>
      <c r="J31" s="71">
        <v>0.17799999999999999</v>
      </c>
      <c r="K31" s="199"/>
      <c r="L31" s="199"/>
      <c r="M31" s="199"/>
      <c r="N31" s="199"/>
      <c r="O31" s="199"/>
      <c r="P31" s="204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07"/>
      <c r="C32" s="199"/>
      <c r="D32" s="199"/>
      <c r="E32" s="199"/>
      <c r="F32" s="67" t="s">
        <v>72</v>
      </c>
      <c r="G32" s="68">
        <f t="shared" ref="G32" si="13">IF(E29&lt;0.125,"NA",IF(0.125&lt;=E29,(0.8*E29)))</f>
        <v>0.13360000000000002</v>
      </c>
      <c r="H32" s="69"/>
      <c r="I32" s="70"/>
      <c r="J32" s="71">
        <v>0.23899999999999999</v>
      </c>
      <c r="K32" s="199"/>
      <c r="L32" s="199"/>
      <c r="M32" s="199"/>
      <c r="N32" s="199"/>
      <c r="O32" s="199"/>
      <c r="P32" s="204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147"/>
      <c r="C33" s="200"/>
      <c r="D33" s="200"/>
      <c r="E33" s="200"/>
      <c r="F33" s="72" t="s">
        <v>73</v>
      </c>
      <c r="G33" s="73">
        <f t="shared" ref="G33" si="14">+E29</f>
        <v>0.16700000000000001</v>
      </c>
      <c r="H33" s="74"/>
      <c r="I33" s="75"/>
      <c r="J33" s="76">
        <v>0.15</v>
      </c>
      <c r="K33" s="200"/>
      <c r="L33" s="200"/>
      <c r="M33" s="200"/>
      <c r="N33" s="200"/>
      <c r="O33" s="200"/>
      <c r="P33" s="205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06">
        <v>4</v>
      </c>
      <c r="C34" s="208">
        <f>+C29+$N$12</f>
        <v>2.97</v>
      </c>
      <c r="D34" s="198">
        <v>0.16300000000000001</v>
      </c>
      <c r="E34" s="198">
        <v>0.152</v>
      </c>
      <c r="F34" s="62" t="s">
        <v>69</v>
      </c>
      <c r="G34" s="63">
        <v>0</v>
      </c>
      <c r="H34" s="64"/>
      <c r="I34" s="65"/>
      <c r="J34" s="66">
        <v>0.17499999999999999</v>
      </c>
      <c r="K34" s="198">
        <f t="shared" ref="K34" si="15">+IF(E34&lt;=0.12,(J36),(IF(E34&lt;0.16,((J35+2*J36+J37)/4),IF(E34&gt;=0.16,((J34+3*J35+2*J36+3*J37+J38)/10)))))</f>
        <v>0.19775000000000001</v>
      </c>
      <c r="L34" s="198">
        <f>ROUND(+(D29+D34)/2*(C34-C29),3)</f>
        <v>9.4E-2</v>
      </c>
      <c r="M34" s="198">
        <f t="shared" ref="M34" si="16">ROUND(+K34*L34,4)</f>
        <v>1.8599999999999998E-2</v>
      </c>
      <c r="N34" s="201">
        <f t="shared" ref="N34" si="17">ROUND(+M34/$M$113*100,2)</f>
        <v>3.22</v>
      </c>
      <c r="O34" s="202"/>
      <c r="P34" s="20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07"/>
      <c r="C35" s="199"/>
      <c r="D35" s="199"/>
      <c r="E35" s="199"/>
      <c r="F35" s="67" t="s">
        <v>70</v>
      </c>
      <c r="G35" s="68">
        <f t="shared" ref="G35" si="18">IF(E34&lt;0.125,"NA",IF(0.125&lt;=E34,(0.2*E34)))</f>
        <v>3.04E-2</v>
      </c>
      <c r="H35" s="69"/>
      <c r="I35" s="70"/>
      <c r="J35" s="71">
        <v>0.17599999999999999</v>
      </c>
      <c r="K35" s="199"/>
      <c r="L35" s="199"/>
      <c r="M35" s="199"/>
      <c r="N35" s="199"/>
      <c r="O35" s="199"/>
      <c r="P35" s="204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07"/>
      <c r="C36" s="199"/>
      <c r="D36" s="199"/>
      <c r="E36" s="199"/>
      <c r="F36" s="67" t="s">
        <v>71</v>
      </c>
      <c r="G36" s="68">
        <f t="shared" ref="G36" si="19">+E34*0.4</f>
        <v>6.08E-2</v>
      </c>
      <c r="H36" s="69"/>
      <c r="I36" s="70"/>
      <c r="J36" s="71">
        <v>0.19700000000000001</v>
      </c>
      <c r="K36" s="199"/>
      <c r="L36" s="199"/>
      <c r="M36" s="199"/>
      <c r="N36" s="199"/>
      <c r="O36" s="199"/>
      <c r="P36" s="204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07"/>
      <c r="C37" s="199"/>
      <c r="D37" s="199"/>
      <c r="E37" s="199"/>
      <c r="F37" s="67" t="s">
        <v>72</v>
      </c>
      <c r="G37" s="68">
        <f t="shared" ref="G37" si="20">IF(E34&lt;0.125,"NA",IF(0.125&lt;=E34,(0.8*E34)))</f>
        <v>0.1216</v>
      </c>
      <c r="H37" s="69"/>
      <c r="I37" s="70"/>
      <c r="J37" s="71">
        <v>0.221</v>
      </c>
      <c r="K37" s="199"/>
      <c r="L37" s="199"/>
      <c r="M37" s="199"/>
      <c r="N37" s="199"/>
      <c r="O37" s="199"/>
      <c r="P37" s="204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147"/>
      <c r="C38" s="200"/>
      <c r="D38" s="200"/>
      <c r="E38" s="200"/>
      <c r="F38" s="72" t="s">
        <v>73</v>
      </c>
      <c r="G38" s="73">
        <f t="shared" ref="G38" si="21">+E34</f>
        <v>0.152</v>
      </c>
      <c r="H38" s="74"/>
      <c r="I38" s="75"/>
      <c r="J38" s="76"/>
      <c r="K38" s="200"/>
      <c r="L38" s="200"/>
      <c r="M38" s="200"/>
      <c r="N38" s="200"/>
      <c r="O38" s="200"/>
      <c r="P38" s="205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06">
        <v>5</v>
      </c>
      <c r="C39" s="208">
        <f>+C34+$N$12</f>
        <v>3.5700000000000003</v>
      </c>
      <c r="D39" s="198">
        <v>0.14199999999999999</v>
      </c>
      <c r="E39" s="198">
        <v>0.17699999999999999</v>
      </c>
      <c r="F39" s="62" t="s">
        <v>69</v>
      </c>
      <c r="G39" s="63">
        <v>0</v>
      </c>
      <c r="H39" s="64"/>
      <c r="I39" s="65"/>
      <c r="J39" s="66">
        <v>0.155</v>
      </c>
      <c r="K39" s="198">
        <f t="shared" ref="K39" si="22">+IF(E39&lt;=0.12,(J41),(IF(E39&lt;0.16,((J40+2*J41+J42)/4),IF(E39&gt;=0.16,((J39+3*J40+2*J41+3*J42+J43)/10)))))</f>
        <v>0.24790000000000001</v>
      </c>
      <c r="L39" s="198">
        <f t="shared" ref="L39" si="23">ROUND(+(D34+D39)/2*(C39-C34),3)</f>
        <v>9.1999999999999998E-2</v>
      </c>
      <c r="M39" s="198">
        <f t="shared" ref="M39" si="24">ROUND(+K39*L39,4)</f>
        <v>2.2800000000000001E-2</v>
      </c>
      <c r="N39" s="201">
        <f t="shared" ref="N39" si="25">ROUND(+M39/$M$113*100,2)</f>
        <v>3.94</v>
      </c>
      <c r="O39" s="202"/>
      <c r="P39" s="20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07"/>
      <c r="C40" s="199"/>
      <c r="D40" s="199"/>
      <c r="E40" s="199"/>
      <c r="F40" s="67" t="s">
        <v>70</v>
      </c>
      <c r="G40" s="68">
        <f t="shared" ref="G40" si="26">IF(E39&lt;0.125,"NA",IF(0.125&lt;=E39,(0.2*E39)))</f>
        <v>3.5400000000000001E-2</v>
      </c>
      <c r="H40" s="69"/>
      <c r="I40" s="70"/>
      <c r="J40" s="71">
        <v>0.17599999999999999</v>
      </c>
      <c r="K40" s="199"/>
      <c r="L40" s="199"/>
      <c r="M40" s="199"/>
      <c r="N40" s="199"/>
      <c r="O40" s="199"/>
      <c r="P40" s="204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07"/>
      <c r="C41" s="199"/>
      <c r="D41" s="199"/>
      <c r="E41" s="199"/>
      <c r="F41" s="67" t="s">
        <v>71</v>
      </c>
      <c r="G41" s="68">
        <f t="shared" ref="G41" si="27">+E39*0.4</f>
        <v>7.0800000000000002E-2</v>
      </c>
      <c r="H41" s="69"/>
      <c r="I41" s="70"/>
      <c r="J41" s="71">
        <v>0.223</v>
      </c>
      <c r="K41" s="199"/>
      <c r="L41" s="199"/>
      <c r="M41" s="199"/>
      <c r="N41" s="199"/>
      <c r="O41" s="199"/>
      <c r="P41" s="204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07"/>
      <c r="C42" s="199"/>
      <c r="D42" s="199"/>
      <c r="E42" s="199"/>
      <c r="F42" s="67" t="s">
        <v>72</v>
      </c>
      <c r="G42" s="68">
        <f t="shared" ref="G42" si="28">IF(E39&lt;0.125,"NA",IF(0.125&lt;=E39,(0.8*E39)))</f>
        <v>0.1416</v>
      </c>
      <c r="H42" s="69"/>
      <c r="I42" s="70"/>
      <c r="J42" s="71">
        <v>0.33900000000000002</v>
      </c>
      <c r="K42" s="199"/>
      <c r="L42" s="199"/>
      <c r="M42" s="199"/>
      <c r="N42" s="199"/>
      <c r="O42" s="199"/>
      <c r="P42" s="204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147"/>
      <c r="C43" s="200"/>
      <c r="D43" s="200"/>
      <c r="E43" s="200"/>
      <c r="F43" s="72" t="s">
        <v>73</v>
      </c>
      <c r="G43" s="73">
        <f t="shared" ref="G43" si="29">+E39</f>
        <v>0.17699999999999999</v>
      </c>
      <c r="H43" s="74"/>
      <c r="I43" s="75"/>
      <c r="J43" s="76">
        <v>0.33300000000000002</v>
      </c>
      <c r="K43" s="200"/>
      <c r="L43" s="200"/>
      <c r="M43" s="200"/>
      <c r="N43" s="200"/>
      <c r="O43" s="200"/>
      <c r="P43" s="205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06">
        <v>6</v>
      </c>
      <c r="C44" s="208">
        <f>+C39+$N$12</f>
        <v>4.17</v>
      </c>
      <c r="D44" s="198">
        <v>0.16700000000000001</v>
      </c>
      <c r="E44" s="198">
        <v>0.13800000000000001</v>
      </c>
      <c r="F44" s="62" t="s">
        <v>69</v>
      </c>
      <c r="G44" s="63">
        <v>0</v>
      </c>
      <c r="H44" s="64"/>
      <c r="I44" s="65"/>
      <c r="J44" s="66">
        <v>0.152</v>
      </c>
      <c r="K44" s="198">
        <f t="shared" ref="K44" si="30">+IF(E44&lt;=0.12,(J46),(IF(E44&lt;0.16,((J45+2*J46+J47)/4),IF(E44&gt;=0.16,((J44+3*J45+2*J46+3*J47+J48)/10)))))</f>
        <v>0.30549999999999999</v>
      </c>
      <c r="L44" s="198">
        <f t="shared" ref="L44" si="31">ROUND(+(D39+D44)/2*(C44-C39),3)</f>
        <v>9.2999999999999999E-2</v>
      </c>
      <c r="M44" s="198">
        <f t="shared" ref="M44" si="32">ROUND(+K44*L44,4)</f>
        <v>2.8400000000000002E-2</v>
      </c>
      <c r="N44" s="201">
        <f t="shared" ref="N44" si="33">ROUND(+M44/$M$113*100,2)</f>
        <v>4.91</v>
      </c>
      <c r="O44" s="202"/>
      <c r="P44" s="20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07"/>
      <c r="C45" s="199"/>
      <c r="D45" s="199"/>
      <c r="E45" s="199"/>
      <c r="F45" s="67" t="s">
        <v>70</v>
      </c>
      <c r="G45" s="68">
        <f t="shared" ref="G45" si="34">IF(E44&lt;0.125,"NA",IF(0.125&lt;=E44,(0.2*E44)))</f>
        <v>2.7600000000000003E-2</v>
      </c>
      <c r="H45" s="69"/>
      <c r="I45" s="70"/>
      <c r="J45" s="71">
        <v>0.23699999999999999</v>
      </c>
      <c r="K45" s="199"/>
      <c r="L45" s="199"/>
      <c r="M45" s="199"/>
      <c r="N45" s="199"/>
      <c r="O45" s="199"/>
      <c r="P45" s="204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07"/>
      <c r="C46" s="199"/>
      <c r="D46" s="199"/>
      <c r="E46" s="199"/>
      <c r="F46" s="67" t="s">
        <v>71</v>
      </c>
      <c r="G46" s="68">
        <f t="shared" ref="G46" si="35">+E44*0.4</f>
        <v>5.5200000000000006E-2</v>
      </c>
      <c r="H46" s="69"/>
      <c r="I46" s="70"/>
      <c r="J46" s="71">
        <v>0.317</v>
      </c>
      <c r="K46" s="199"/>
      <c r="L46" s="199"/>
      <c r="M46" s="199"/>
      <c r="N46" s="199"/>
      <c r="O46" s="199"/>
      <c r="P46" s="204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07"/>
      <c r="C47" s="199"/>
      <c r="D47" s="199"/>
      <c r="E47" s="199"/>
      <c r="F47" s="67" t="s">
        <v>72</v>
      </c>
      <c r="G47" s="68">
        <f t="shared" ref="G47" si="36">IF(E44&lt;0.125,"NA",IF(0.125&lt;=E44,(0.8*E44)))</f>
        <v>0.11040000000000001</v>
      </c>
      <c r="H47" s="69"/>
      <c r="I47" s="70"/>
      <c r="J47" s="71">
        <v>0.35099999999999998</v>
      </c>
      <c r="K47" s="199"/>
      <c r="L47" s="199"/>
      <c r="M47" s="199"/>
      <c r="N47" s="199"/>
      <c r="O47" s="199"/>
      <c r="P47" s="204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147"/>
      <c r="C48" s="200"/>
      <c r="D48" s="200"/>
      <c r="E48" s="200"/>
      <c r="F48" s="72" t="s">
        <v>73</v>
      </c>
      <c r="G48" s="73">
        <f t="shared" ref="G48" si="37">+E44</f>
        <v>0.13800000000000001</v>
      </c>
      <c r="H48" s="74"/>
      <c r="I48" s="75"/>
      <c r="J48" s="76">
        <v>0.34799999999999998</v>
      </c>
      <c r="K48" s="200"/>
      <c r="L48" s="200"/>
      <c r="M48" s="200"/>
      <c r="N48" s="200"/>
      <c r="O48" s="200"/>
      <c r="P48" s="205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06">
        <v>7</v>
      </c>
      <c r="C49" s="208">
        <f>+C44+$N$12</f>
        <v>4.7699999999999996</v>
      </c>
      <c r="D49" s="198">
        <v>0.156</v>
      </c>
      <c r="E49" s="198">
        <v>0.17199999999999999</v>
      </c>
      <c r="F49" s="62" t="s">
        <v>69</v>
      </c>
      <c r="G49" s="63">
        <v>0</v>
      </c>
      <c r="H49" s="64"/>
      <c r="I49" s="65"/>
      <c r="J49" s="66">
        <v>0.312</v>
      </c>
      <c r="K49" s="198">
        <f t="shared" ref="K49" si="38">+IF(E49&lt;=0.12,(J51),(IF(E49&lt;0.16,((J50+2*J51+J52)/4),IF(E49&gt;=0.16,((J49+3*J50+2*J51+3*J52+J53)/10)))))</f>
        <v>0.43890000000000001</v>
      </c>
      <c r="L49" s="198">
        <f t="shared" ref="L49" si="39">ROUND(+(D44+D49)/2*(C49-C44),3)</f>
        <v>9.7000000000000003E-2</v>
      </c>
      <c r="M49" s="198">
        <f t="shared" ref="M49" si="40">ROUND(+K49*L49,4)</f>
        <v>4.2599999999999999E-2</v>
      </c>
      <c r="N49" s="201">
        <f t="shared" ref="N49" si="41">ROUND(+M49/$M$113*100,2)</f>
        <v>7.37</v>
      </c>
      <c r="O49" s="202"/>
      <c r="P49" s="20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07"/>
      <c r="C50" s="199"/>
      <c r="D50" s="199"/>
      <c r="E50" s="199"/>
      <c r="F50" s="67" t="s">
        <v>70</v>
      </c>
      <c r="G50" s="68">
        <f t="shared" ref="G50" si="42">IF(E49&lt;0.125,"NA",IF(0.125&lt;=E49,(0.2*E49)))</f>
        <v>3.44E-2</v>
      </c>
      <c r="H50" s="69"/>
      <c r="I50" s="70"/>
      <c r="J50" s="71">
        <v>0.42199999999999999</v>
      </c>
      <c r="K50" s="199"/>
      <c r="L50" s="199"/>
      <c r="M50" s="199"/>
      <c r="N50" s="199"/>
      <c r="O50" s="199"/>
      <c r="P50" s="204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07"/>
      <c r="C51" s="199"/>
      <c r="D51" s="199"/>
      <c r="E51" s="199"/>
      <c r="F51" s="67" t="s">
        <v>71</v>
      </c>
      <c r="G51" s="68">
        <f t="shared" ref="G51" si="43">+E49*0.4</f>
        <v>6.88E-2</v>
      </c>
      <c r="H51" s="69"/>
      <c r="I51" s="70"/>
      <c r="J51" s="71">
        <v>0.45700000000000002</v>
      </c>
      <c r="K51" s="199"/>
      <c r="L51" s="199"/>
      <c r="M51" s="199"/>
      <c r="N51" s="199"/>
      <c r="O51" s="199"/>
      <c r="P51" s="204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07"/>
      <c r="C52" s="199"/>
      <c r="D52" s="199"/>
      <c r="E52" s="199"/>
      <c r="F52" s="67" t="s">
        <v>72</v>
      </c>
      <c r="G52" s="68">
        <f t="shared" ref="G52" si="44">IF(E49&lt;0.125,"NA",IF(0.125&lt;=E49,(0.8*E49)))</f>
        <v>0.1376</v>
      </c>
      <c r="H52" s="69"/>
      <c r="I52" s="70"/>
      <c r="J52" s="71">
        <v>0.47799999999999998</v>
      </c>
      <c r="K52" s="199"/>
      <c r="L52" s="199"/>
      <c r="M52" s="199"/>
      <c r="N52" s="199"/>
      <c r="O52" s="199"/>
      <c r="P52" s="204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147"/>
      <c r="C53" s="200"/>
      <c r="D53" s="200"/>
      <c r="E53" s="200"/>
      <c r="F53" s="72" t="s">
        <v>73</v>
      </c>
      <c r="G53" s="73">
        <f t="shared" ref="G53" si="45">+E49</f>
        <v>0.17199999999999999</v>
      </c>
      <c r="H53" s="74"/>
      <c r="I53" s="75"/>
      <c r="J53" s="76">
        <v>0.46300000000000002</v>
      </c>
      <c r="K53" s="200"/>
      <c r="L53" s="200"/>
      <c r="M53" s="200"/>
      <c r="N53" s="200"/>
      <c r="O53" s="200"/>
      <c r="P53" s="205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06">
        <v>8</v>
      </c>
      <c r="C54" s="208">
        <f>+C49+$N$12</f>
        <v>5.3699999999999992</v>
      </c>
      <c r="D54" s="198">
        <v>0.22600000000000001</v>
      </c>
      <c r="E54" s="198">
        <v>0.20799999999999999</v>
      </c>
      <c r="F54" s="62" t="s">
        <v>69</v>
      </c>
      <c r="G54" s="63">
        <v>0</v>
      </c>
      <c r="H54" s="64"/>
      <c r="I54" s="65"/>
      <c r="J54" s="66">
        <v>0.128</v>
      </c>
      <c r="K54" s="198">
        <f t="shared" ref="K54" si="46">+IF(E54&lt;=0.12,(J56),(IF(E54&lt;0.16,((J55+2*J56+J57)/4),IF(E54&gt;=0.16,((J54+3*J55+2*J56+3*J57+J58)/10)))))</f>
        <v>0.37860000000000005</v>
      </c>
      <c r="L54" s="198">
        <f t="shared" ref="L54" si="47">ROUND(+(D49+D54)/2*(C54-C49),3)</f>
        <v>0.115</v>
      </c>
      <c r="M54" s="198">
        <f t="shared" ref="M54" si="48">ROUND(+K54*L54,4)</f>
        <v>4.3499999999999997E-2</v>
      </c>
      <c r="N54" s="201">
        <f t="shared" ref="N54" si="49">ROUND(+M54/$M$113*100,2)</f>
        <v>7.52</v>
      </c>
      <c r="O54" s="202"/>
      <c r="P54" s="20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07"/>
      <c r="C55" s="199"/>
      <c r="D55" s="199"/>
      <c r="E55" s="199"/>
      <c r="F55" s="67" t="s">
        <v>70</v>
      </c>
      <c r="G55" s="68">
        <f t="shared" ref="G55" si="50">IF(E54&lt;0.125,"NA",IF(0.125&lt;=E54,(0.2*E54)))</f>
        <v>4.1599999999999998E-2</v>
      </c>
      <c r="H55" s="69"/>
      <c r="I55" s="70"/>
      <c r="J55" s="71">
        <v>0.32900000000000001</v>
      </c>
      <c r="K55" s="199"/>
      <c r="L55" s="199"/>
      <c r="M55" s="199"/>
      <c r="N55" s="199"/>
      <c r="O55" s="199"/>
      <c r="P55" s="204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07"/>
      <c r="C56" s="199"/>
      <c r="D56" s="199"/>
      <c r="E56" s="199"/>
      <c r="F56" s="67" t="s">
        <v>71</v>
      </c>
      <c r="G56" s="68">
        <f t="shared" ref="G56" si="51">+E54*0.4</f>
        <v>8.3199999999999996E-2</v>
      </c>
      <c r="H56" s="69"/>
      <c r="I56" s="70"/>
      <c r="J56" s="71">
        <v>0.45</v>
      </c>
      <c r="K56" s="199"/>
      <c r="L56" s="199"/>
      <c r="M56" s="199"/>
      <c r="N56" s="199"/>
      <c r="O56" s="199"/>
      <c r="P56" s="204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07"/>
      <c r="C57" s="199"/>
      <c r="D57" s="199"/>
      <c r="E57" s="199"/>
      <c r="F57" s="67" t="s">
        <v>72</v>
      </c>
      <c r="G57" s="68">
        <f t="shared" ref="G57" si="52">IF(E54&lt;0.125,"NA",IF(0.125&lt;=E54,(0.8*E54)))</f>
        <v>0.16639999999999999</v>
      </c>
      <c r="H57" s="69"/>
      <c r="I57" s="70"/>
      <c r="J57" s="71">
        <v>0.40400000000000003</v>
      </c>
      <c r="K57" s="199"/>
      <c r="L57" s="199"/>
      <c r="M57" s="199"/>
      <c r="N57" s="199"/>
      <c r="O57" s="199"/>
      <c r="P57" s="204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147"/>
      <c r="C58" s="200"/>
      <c r="D58" s="200"/>
      <c r="E58" s="200"/>
      <c r="F58" s="72" t="s">
        <v>73</v>
      </c>
      <c r="G58" s="73">
        <f t="shared" ref="G58" si="53">+E54</f>
        <v>0.20799999999999999</v>
      </c>
      <c r="H58" s="74"/>
      <c r="I58" s="75"/>
      <c r="J58" s="76">
        <v>0.55900000000000005</v>
      </c>
      <c r="K58" s="200"/>
      <c r="L58" s="200"/>
      <c r="M58" s="200"/>
      <c r="N58" s="200"/>
      <c r="O58" s="200"/>
      <c r="P58" s="205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06">
        <v>9</v>
      </c>
      <c r="C59" s="208">
        <f>+C54+$N$12</f>
        <v>5.9699999999999989</v>
      </c>
      <c r="D59" s="198">
        <v>0.29099999999999998</v>
      </c>
      <c r="E59" s="198">
        <v>0.23499999999999999</v>
      </c>
      <c r="F59" s="62" t="s">
        <v>69</v>
      </c>
      <c r="G59" s="63">
        <v>0</v>
      </c>
      <c r="H59" s="64"/>
      <c r="I59" s="65"/>
      <c r="J59" s="66">
        <v>0.33600000000000002</v>
      </c>
      <c r="K59" s="198">
        <f t="shared" ref="K59" si="54">+IF(E59&lt;=0.12,(J61),(IF(E59&lt;0.16,((J60+2*J61+J62)/4),IF(E59&gt;=0.16,((J59+3*J60+2*J61+3*J62+J63)/10)))))</f>
        <v>0.45310000000000006</v>
      </c>
      <c r="L59" s="198">
        <f t="shared" ref="L59" si="55">ROUND(+(D54+D59)/2*(C59-C54),3)</f>
        <v>0.155</v>
      </c>
      <c r="M59" s="198">
        <f t="shared" ref="M59" si="56">ROUND(+K59*L59,4)</f>
        <v>7.0199999999999999E-2</v>
      </c>
      <c r="N59" s="201">
        <f t="shared" ref="N59" si="57">ROUND(+M59/$M$113*100,2)</f>
        <v>12.14</v>
      </c>
      <c r="O59" s="202"/>
      <c r="P59" s="20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07"/>
      <c r="C60" s="199"/>
      <c r="D60" s="199"/>
      <c r="E60" s="199"/>
      <c r="F60" s="67" t="s">
        <v>70</v>
      </c>
      <c r="G60" s="68">
        <f t="shared" ref="G60" si="58">IF(E59&lt;0.125,"NA",IF(0.125&lt;=E59,(0.2*E59)))</f>
        <v>4.7E-2</v>
      </c>
      <c r="H60" s="69"/>
      <c r="I60" s="70"/>
      <c r="J60" s="71">
        <v>0.4</v>
      </c>
      <c r="K60" s="199"/>
      <c r="L60" s="199"/>
      <c r="M60" s="199"/>
      <c r="N60" s="199"/>
      <c r="O60" s="199"/>
      <c r="P60" s="204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07"/>
      <c r="C61" s="199"/>
      <c r="D61" s="199"/>
      <c r="E61" s="199"/>
      <c r="F61" s="67" t="s">
        <v>71</v>
      </c>
      <c r="G61" s="68">
        <f t="shared" ref="G61" si="59">+E59*0.4</f>
        <v>9.4E-2</v>
      </c>
      <c r="H61" s="69"/>
      <c r="I61" s="70"/>
      <c r="J61" s="71">
        <v>0.42599999999999999</v>
      </c>
      <c r="K61" s="199"/>
      <c r="L61" s="199"/>
      <c r="M61" s="199"/>
      <c r="N61" s="199"/>
      <c r="O61" s="199"/>
      <c r="P61" s="204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07"/>
      <c r="C62" s="199"/>
      <c r="D62" s="199"/>
      <c r="E62" s="199"/>
      <c r="F62" s="67" t="s">
        <v>72</v>
      </c>
      <c r="G62" s="68">
        <f t="shared" ref="G62" si="60">IF(E59&lt;0.125,"NA",IF(0.125&lt;=E59,(0.8*E59)))</f>
        <v>0.188</v>
      </c>
      <c r="H62" s="69"/>
      <c r="I62" s="70"/>
      <c r="J62" s="71">
        <v>0.53</v>
      </c>
      <c r="K62" s="199"/>
      <c r="L62" s="199"/>
      <c r="M62" s="199"/>
      <c r="N62" s="199"/>
      <c r="O62" s="199"/>
      <c r="P62" s="204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147"/>
      <c r="C63" s="200"/>
      <c r="D63" s="200"/>
      <c r="E63" s="200"/>
      <c r="F63" s="72" t="s">
        <v>73</v>
      </c>
      <c r="G63" s="73">
        <f t="shared" ref="G63" si="61">+E59</f>
        <v>0.23499999999999999</v>
      </c>
      <c r="H63" s="74"/>
      <c r="I63" s="75"/>
      <c r="J63" s="76">
        <v>0.55300000000000005</v>
      </c>
      <c r="K63" s="200"/>
      <c r="L63" s="200"/>
      <c r="M63" s="200"/>
      <c r="N63" s="200"/>
      <c r="O63" s="200"/>
      <c r="P63" s="205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06">
        <v>10</v>
      </c>
      <c r="C64" s="208">
        <f>+C59+$N$12</f>
        <v>6.5699999999999985</v>
      </c>
      <c r="D64" s="198">
        <v>0.27900000000000003</v>
      </c>
      <c r="E64" s="198">
        <v>0.28799999999999998</v>
      </c>
      <c r="F64" s="62" t="s">
        <v>69</v>
      </c>
      <c r="G64" s="63">
        <v>0</v>
      </c>
      <c r="H64" s="64"/>
      <c r="I64" s="65"/>
      <c r="J64" s="66">
        <v>0.47099999999999997</v>
      </c>
      <c r="K64" s="198">
        <f t="shared" ref="K64" si="62">+IF(E64&lt;=0.12,(J66),(IF(E64&lt;0.16,((J65+2*J66+J67)/4),IF(E64&gt;=0.16,((J64+3*J65+2*J66+3*J67+J68)/10)))))</f>
        <v>0.52810000000000001</v>
      </c>
      <c r="L64" s="198">
        <f t="shared" ref="L64" si="63">ROUND(+(D59+D64)/2*(C64-C59),3)</f>
        <v>0.17100000000000001</v>
      </c>
      <c r="M64" s="198">
        <f t="shared" ref="M64" si="64">ROUND(+K64*L64,4)</f>
        <v>9.0300000000000005E-2</v>
      </c>
      <c r="N64" s="201">
        <f t="shared" ref="N64" si="65">ROUND(+M64/$M$113*100,2)</f>
        <v>15.62</v>
      </c>
      <c r="O64" s="202"/>
      <c r="P64" s="20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07"/>
      <c r="C65" s="199"/>
      <c r="D65" s="199"/>
      <c r="E65" s="199"/>
      <c r="F65" s="67" t="s">
        <v>70</v>
      </c>
      <c r="G65" s="68">
        <f t="shared" ref="G65" si="66">IF(E64&lt;0.125,"NA",IF(0.125&lt;=E64,(0.2*E64)))</f>
        <v>5.7599999999999998E-2</v>
      </c>
      <c r="H65" s="69"/>
      <c r="I65" s="70"/>
      <c r="J65" s="71">
        <v>0.42</v>
      </c>
      <c r="K65" s="199"/>
      <c r="L65" s="199"/>
      <c r="M65" s="199"/>
      <c r="N65" s="199"/>
      <c r="O65" s="199"/>
      <c r="P65" s="204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07"/>
      <c r="C66" s="199"/>
      <c r="D66" s="199"/>
      <c r="E66" s="199"/>
      <c r="F66" s="67" t="s">
        <v>71</v>
      </c>
      <c r="G66" s="68">
        <f t="shared" ref="G66" si="67">+E64*0.4</f>
        <v>0.1152</v>
      </c>
      <c r="H66" s="69"/>
      <c r="I66" s="70"/>
      <c r="J66" s="71">
        <v>0.504</v>
      </c>
      <c r="K66" s="199"/>
      <c r="L66" s="199"/>
      <c r="M66" s="199"/>
      <c r="N66" s="199"/>
      <c r="O66" s="199"/>
      <c r="P66" s="204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07"/>
      <c r="C67" s="199"/>
      <c r="D67" s="199"/>
      <c r="E67" s="199"/>
      <c r="F67" s="67" t="s">
        <v>72</v>
      </c>
      <c r="G67" s="68">
        <f t="shared" ref="G67" si="68">IF(E64&lt;0.125,"NA",IF(0.125&lt;=E64,(0.8*E64)))</f>
        <v>0.23039999999999999</v>
      </c>
      <c r="H67" s="69"/>
      <c r="I67" s="70"/>
      <c r="J67" s="71">
        <v>0.63300000000000001</v>
      </c>
      <c r="K67" s="199"/>
      <c r="L67" s="199"/>
      <c r="M67" s="199"/>
      <c r="N67" s="199"/>
      <c r="O67" s="199"/>
      <c r="P67" s="204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147"/>
      <c r="C68" s="200"/>
      <c r="D68" s="200"/>
      <c r="E68" s="200"/>
      <c r="F68" s="72" t="s">
        <v>73</v>
      </c>
      <c r="G68" s="73">
        <f t="shared" ref="G68" si="69">+E64</f>
        <v>0.28799999999999998</v>
      </c>
      <c r="H68" s="74"/>
      <c r="I68" s="75"/>
      <c r="J68" s="76">
        <v>0.64300000000000002</v>
      </c>
      <c r="K68" s="200"/>
      <c r="L68" s="200"/>
      <c r="M68" s="200"/>
      <c r="N68" s="200"/>
      <c r="O68" s="200"/>
      <c r="P68" s="205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06">
        <v>11</v>
      </c>
      <c r="C69" s="208">
        <f>+C64+$N$12</f>
        <v>7.1699999999999982</v>
      </c>
      <c r="D69" s="198">
        <v>0.316</v>
      </c>
      <c r="E69" s="198">
        <v>0.28999999999999998</v>
      </c>
      <c r="F69" s="62" t="s">
        <v>69</v>
      </c>
      <c r="G69" s="63">
        <v>0</v>
      </c>
      <c r="H69" s="64"/>
      <c r="I69" s="65"/>
      <c r="J69" s="66">
        <v>0.35899999999999999</v>
      </c>
      <c r="K69" s="198">
        <f t="shared" ref="K69" si="70">+IF(E69&lt;=0.12,(J71),(IF(E69&lt;0.16,((J70+2*J71+J72)/4),IF(E69&gt;=0.16,((J69+3*J70+2*J71+3*J72+J73)/10)))))</f>
        <v>0.53820000000000001</v>
      </c>
      <c r="L69" s="198">
        <f t="shared" ref="L69" si="71">ROUND(+(D64+D69)/2*(C69-C64),3)</f>
        <v>0.17899999999999999</v>
      </c>
      <c r="M69" s="198">
        <f t="shared" ref="M69" si="72">ROUND(+K69*L69,4)</f>
        <v>9.6299999999999997E-2</v>
      </c>
      <c r="N69" s="201">
        <f t="shared" ref="N69" si="73">ROUND(+M69/$M$113*100,2)</f>
        <v>16.66</v>
      </c>
      <c r="O69" s="202"/>
      <c r="P69" s="20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07"/>
      <c r="C70" s="199"/>
      <c r="D70" s="199"/>
      <c r="E70" s="199"/>
      <c r="F70" s="67" t="s">
        <v>70</v>
      </c>
      <c r="G70" s="68">
        <f t="shared" ref="G70" si="74">IF(E69&lt;0.125,"NA",IF(0.125&lt;=E69,(0.2*E69)))</f>
        <v>5.7999999999999996E-2</v>
      </c>
      <c r="H70" s="69"/>
      <c r="I70" s="70"/>
      <c r="J70" s="71">
        <v>0.434</v>
      </c>
      <c r="K70" s="199"/>
      <c r="L70" s="199"/>
      <c r="M70" s="199"/>
      <c r="N70" s="199"/>
      <c r="O70" s="199"/>
      <c r="P70" s="204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07"/>
      <c r="C71" s="199"/>
      <c r="D71" s="199"/>
      <c r="E71" s="199"/>
      <c r="F71" s="67" t="s">
        <v>71</v>
      </c>
      <c r="G71" s="68">
        <f t="shared" ref="G71" si="75">+E69*0.4</f>
        <v>0.11599999999999999</v>
      </c>
      <c r="H71" s="69"/>
      <c r="I71" s="70"/>
      <c r="J71" s="71">
        <v>0.60199999999999998</v>
      </c>
      <c r="K71" s="199"/>
      <c r="L71" s="199"/>
      <c r="M71" s="199"/>
      <c r="N71" s="199"/>
      <c r="O71" s="199"/>
      <c r="P71" s="204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07"/>
      <c r="C72" s="199"/>
      <c r="D72" s="199"/>
      <c r="E72" s="199"/>
      <c r="F72" s="67" t="s">
        <v>72</v>
      </c>
      <c r="G72" s="68">
        <f t="shared" ref="G72" si="76">IF(E69&lt;0.125,"NA",IF(0.125&lt;=E69,(0.8*E69)))</f>
        <v>0.23199999999999998</v>
      </c>
      <c r="H72" s="69"/>
      <c r="I72" s="70"/>
      <c r="J72" s="71">
        <v>0.64200000000000002</v>
      </c>
      <c r="K72" s="199"/>
      <c r="L72" s="199"/>
      <c r="M72" s="199"/>
      <c r="N72" s="199"/>
      <c r="O72" s="199"/>
      <c r="P72" s="204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147"/>
      <c r="C73" s="200"/>
      <c r="D73" s="200"/>
      <c r="E73" s="200"/>
      <c r="F73" s="72" t="s">
        <v>73</v>
      </c>
      <c r="G73" s="73">
        <f t="shared" ref="G73" si="77">+E69</f>
        <v>0.28999999999999998</v>
      </c>
      <c r="H73" s="74"/>
      <c r="I73" s="75"/>
      <c r="J73" s="76">
        <v>0.59099999999999997</v>
      </c>
      <c r="K73" s="200"/>
      <c r="L73" s="200"/>
      <c r="M73" s="200"/>
      <c r="N73" s="200"/>
      <c r="O73" s="200"/>
      <c r="P73" s="205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06">
        <v>12</v>
      </c>
      <c r="C74" s="208">
        <f>+C69+$N$12</f>
        <v>7.7699999999999978</v>
      </c>
      <c r="D74" s="198">
        <v>0.317</v>
      </c>
      <c r="E74" s="198">
        <v>0.32</v>
      </c>
      <c r="F74" s="62" t="s">
        <v>69</v>
      </c>
      <c r="G74" s="63">
        <v>0</v>
      </c>
      <c r="H74" s="64"/>
      <c r="I74" s="65"/>
      <c r="J74" s="66"/>
      <c r="K74" s="198"/>
      <c r="L74" s="198"/>
      <c r="M74" s="198"/>
      <c r="N74" s="201"/>
      <c r="O74" s="202"/>
      <c r="P74" s="20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07"/>
      <c r="C75" s="199"/>
      <c r="D75" s="199"/>
      <c r="E75" s="199"/>
      <c r="F75" s="67" t="s">
        <v>70</v>
      </c>
      <c r="G75" s="68">
        <f t="shared" ref="G75" si="78">IF(E74&lt;0.125,"NA",IF(0.125&lt;=E74,(0.2*E74)))</f>
        <v>6.4000000000000001E-2</v>
      </c>
      <c r="H75" s="69"/>
      <c r="I75" s="70"/>
      <c r="J75" s="71"/>
      <c r="K75" s="199"/>
      <c r="L75" s="199"/>
      <c r="M75" s="199"/>
      <c r="N75" s="199"/>
      <c r="O75" s="199"/>
      <c r="P75" s="204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07"/>
      <c r="C76" s="199"/>
      <c r="D76" s="199"/>
      <c r="E76" s="199"/>
      <c r="F76" s="67" t="s">
        <v>71</v>
      </c>
      <c r="G76" s="68">
        <f t="shared" ref="G76" si="79">+E74*0.4</f>
        <v>0.128</v>
      </c>
      <c r="H76" s="69"/>
      <c r="I76" s="70"/>
      <c r="J76" s="71"/>
      <c r="K76" s="199"/>
      <c r="L76" s="199"/>
      <c r="M76" s="199"/>
      <c r="N76" s="199"/>
      <c r="O76" s="199"/>
      <c r="P76" s="204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07"/>
      <c r="C77" s="199"/>
      <c r="D77" s="199"/>
      <c r="E77" s="199"/>
      <c r="F77" s="67" t="s">
        <v>72</v>
      </c>
      <c r="G77" s="68">
        <f t="shared" ref="G77" si="80">IF(E74&lt;0.125,"NA",IF(0.125&lt;=E74,(0.8*E74)))</f>
        <v>0.25600000000000001</v>
      </c>
      <c r="H77" s="69"/>
      <c r="I77" s="70"/>
      <c r="J77" s="71"/>
      <c r="K77" s="199"/>
      <c r="L77" s="199"/>
      <c r="M77" s="199"/>
      <c r="N77" s="199"/>
      <c r="O77" s="199"/>
      <c r="P77" s="204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147"/>
      <c r="C78" s="200"/>
      <c r="D78" s="200"/>
      <c r="E78" s="200"/>
      <c r="F78" s="72" t="s">
        <v>73</v>
      </c>
      <c r="G78" s="73">
        <f t="shared" ref="G78" si="81">+E74</f>
        <v>0.32</v>
      </c>
      <c r="H78" s="74"/>
      <c r="I78" s="75"/>
      <c r="J78" s="76"/>
      <c r="K78" s="200"/>
      <c r="L78" s="200"/>
      <c r="M78" s="200"/>
      <c r="N78" s="200"/>
      <c r="O78" s="200"/>
      <c r="P78" s="205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06">
        <v>13</v>
      </c>
      <c r="C79" s="208">
        <f>+C74+$N$12</f>
        <v>8.3699999999999974</v>
      </c>
      <c r="D79" s="198">
        <v>0.30399999999999999</v>
      </c>
      <c r="E79" s="198">
        <v>0.317</v>
      </c>
      <c r="F79" s="62" t="s">
        <v>69</v>
      </c>
      <c r="G79" s="63">
        <v>0</v>
      </c>
      <c r="H79" s="64"/>
      <c r="I79" s="65"/>
      <c r="J79" s="66">
        <v>0.122</v>
      </c>
      <c r="K79" s="198">
        <f t="shared" ref="K79" si="82">+IF(E79&lt;=0.12,(J81),(IF(E79&lt;0.16,((J80+2*J81+J82)/4),IF(E79&gt;=0.16,((J79+3*J80+2*J81+3*J82+J83)/10)))))</f>
        <v>0.22380000000000005</v>
      </c>
      <c r="L79" s="198">
        <f t="shared" ref="L79" si="83">ROUND(+(D74+D79)/2*(C79-C74),3)</f>
        <v>0.186</v>
      </c>
      <c r="M79" s="198">
        <f t="shared" ref="M79" si="84">ROUND(+K79*L79,4)</f>
        <v>4.1599999999999998E-2</v>
      </c>
      <c r="N79" s="201">
        <f t="shared" ref="N79" si="85">ROUND(+M79/$M$113*100,2)</f>
        <v>7.2</v>
      </c>
      <c r="O79" s="202"/>
      <c r="P79" s="20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07"/>
      <c r="C80" s="199"/>
      <c r="D80" s="199"/>
      <c r="E80" s="199"/>
      <c r="F80" s="67" t="s">
        <v>70</v>
      </c>
      <c r="G80" s="68">
        <f t="shared" ref="G80" si="86">IF(E79&lt;0.125,"NA",IF(0.125&lt;=E79,(0.2*E79)))</f>
        <v>6.3399999999999998E-2</v>
      </c>
      <c r="H80" s="69"/>
      <c r="I80" s="70"/>
      <c r="J80" s="71">
        <v>0.218</v>
      </c>
      <c r="K80" s="199"/>
      <c r="L80" s="199"/>
      <c r="M80" s="199"/>
      <c r="N80" s="199"/>
      <c r="O80" s="199"/>
      <c r="P80" s="204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07"/>
      <c r="C81" s="199"/>
      <c r="D81" s="199"/>
      <c r="E81" s="199"/>
      <c r="F81" s="67" t="s">
        <v>71</v>
      </c>
      <c r="G81" s="68">
        <f t="shared" ref="G81" si="87">+E79*0.4</f>
        <v>0.1268</v>
      </c>
      <c r="H81" s="69"/>
      <c r="I81" s="70"/>
      <c r="J81" s="71">
        <v>0.19600000000000001</v>
      </c>
      <c r="K81" s="199"/>
      <c r="L81" s="199"/>
      <c r="M81" s="199"/>
      <c r="N81" s="199"/>
      <c r="O81" s="199"/>
      <c r="P81" s="204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07"/>
      <c r="C82" s="199"/>
      <c r="D82" s="199"/>
      <c r="E82" s="199"/>
      <c r="F82" s="67" t="s">
        <v>72</v>
      </c>
      <c r="G82" s="68">
        <f t="shared" ref="G82" si="88">IF(E79&lt;0.125,"NA",IF(0.125&lt;=E79,(0.8*E79)))</f>
        <v>0.25359999999999999</v>
      </c>
      <c r="H82" s="69"/>
      <c r="I82" s="70"/>
      <c r="J82" s="71">
        <v>0.23200000000000001</v>
      </c>
      <c r="K82" s="199"/>
      <c r="L82" s="199"/>
      <c r="M82" s="199"/>
      <c r="N82" s="199"/>
      <c r="O82" s="199"/>
      <c r="P82" s="204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147"/>
      <c r="C83" s="200"/>
      <c r="D83" s="200"/>
      <c r="E83" s="200"/>
      <c r="F83" s="72" t="s">
        <v>73</v>
      </c>
      <c r="G83" s="73">
        <f t="shared" ref="G83" si="89">+E79</f>
        <v>0.317</v>
      </c>
      <c r="H83" s="74"/>
      <c r="I83" s="75"/>
      <c r="J83" s="76">
        <v>0.374</v>
      </c>
      <c r="K83" s="200"/>
      <c r="L83" s="200"/>
      <c r="M83" s="200"/>
      <c r="N83" s="200"/>
      <c r="O83" s="200"/>
      <c r="P83" s="205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06">
        <v>14</v>
      </c>
      <c r="C84" s="208">
        <f>+C79+$N$12</f>
        <v>8.9699999999999971</v>
      </c>
      <c r="D84" s="198">
        <v>0.20799999999999999</v>
      </c>
      <c r="E84" s="198">
        <v>0.20699999999999999</v>
      </c>
      <c r="F84" s="62" t="s">
        <v>69</v>
      </c>
      <c r="G84" s="63">
        <v>0</v>
      </c>
      <c r="H84" s="64"/>
      <c r="I84" s="65"/>
      <c r="J84" s="66">
        <v>0.09</v>
      </c>
      <c r="K84" s="198">
        <f t="shared" ref="K84" si="90">+IF(E84&lt;=0.12,(J86),(IF(E84&lt;0.16,((J85+2*J86+J87)/4),IF(E84&gt;=0.16,((J84+3*J85+2*J86+3*J87+J88)/10)))))</f>
        <v>5.4200000000000005E-2</v>
      </c>
      <c r="L84" s="198">
        <f t="shared" ref="L84" si="91">ROUND(+(D79+D84)/2*(C84-C79),3)</f>
        <v>0.154</v>
      </c>
      <c r="M84" s="198">
        <f t="shared" ref="M84" si="92">ROUND(+K84*L84,4)</f>
        <v>8.3000000000000001E-3</v>
      </c>
      <c r="N84" s="201">
        <f t="shared" ref="N84" si="93">ROUND(+M84/$M$113*100,2)</f>
        <v>1.44</v>
      </c>
      <c r="O84" s="202"/>
      <c r="P84" s="20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07"/>
      <c r="C85" s="199"/>
      <c r="D85" s="199"/>
      <c r="E85" s="199"/>
      <c r="F85" s="67" t="s">
        <v>70</v>
      </c>
      <c r="G85" s="68">
        <f t="shared" ref="G85" si="94">IF(E84&lt;0.125,"NA",IF(0.125&lt;=E84,(0.2*E84)))</f>
        <v>4.1399999999999999E-2</v>
      </c>
      <c r="H85" s="69"/>
      <c r="I85" s="70"/>
      <c r="J85" s="71">
        <v>4.1000000000000002E-2</v>
      </c>
      <c r="K85" s="199"/>
      <c r="L85" s="199"/>
      <c r="M85" s="199"/>
      <c r="N85" s="199"/>
      <c r="O85" s="199"/>
      <c r="P85" s="204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07"/>
      <c r="C86" s="199"/>
      <c r="D86" s="199"/>
      <c r="E86" s="199"/>
      <c r="F86" s="67" t="s">
        <v>71</v>
      </c>
      <c r="G86" s="68">
        <f t="shared" ref="G86" si="95">+E84*0.4</f>
        <v>8.2799999999999999E-2</v>
      </c>
      <c r="H86" s="69"/>
      <c r="I86" s="70"/>
      <c r="J86" s="71">
        <v>5.5E-2</v>
      </c>
      <c r="K86" s="199"/>
      <c r="L86" s="199"/>
      <c r="M86" s="199"/>
      <c r="N86" s="199"/>
      <c r="O86" s="199"/>
      <c r="P86" s="204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07"/>
      <c r="C87" s="199"/>
      <c r="D87" s="199"/>
      <c r="E87" s="199"/>
      <c r="F87" s="67" t="s">
        <v>72</v>
      </c>
      <c r="G87" s="68">
        <f t="shared" ref="G87" si="96">IF(E84&lt;0.125,"NA",IF(0.125&lt;=E84,(0.8*E84)))</f>
        <v>0.1656</v>
      </c>
      <c r="H87" s="69"/>
      <c r="I87" s="70"/>
      <c r="J87" s="71">
        <v>4.9000000000000002E-2</v>
      </c>
      <c r="K87" s="199"/>
      <c r="L87" s="199"/>
      <c r="M87" s="199"/>
      <c r="N87" s="199"/>
      <c r="O87" s="199"/>
      <c r="P87" s="204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147"/>
      <c r="C88" s="200"/>
      <c r="D88" s="200"/>
      <c r="E88" s="200"/>
      <c r="F88" s="72" t="s">
        <v>73</v>
      </c>
      <c r="G88" s="73">
        <f t="shared" ref="G88" si="97">+E84</f>
        <v>0.20699999999999999</v>
      </c>
      <c r="H88" s="74"/>
      <c r="I88" s="75"/>
      <c r="J88" s="76">
        <v>7.1999999999999995E-2</v>
      </c>
      <c r="K88" s="200"/>
      <c r="L88" s="200"/>
      <c r="M88" s="200"/>
      <c r="N88" s="200"/>
      <c r="O88" s="200"/>
      <c r="P88" s="205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06">
        <v>15</v>
      </c>
      <c r="C89" s="208">
        <f>+C84+$N$12</f>
        <v>9.5699999999999967</v>
      </c>
      <c r="D89" s="198">
        <v>0</v>
      </c>
      <c r="E89" s="198">
        <v>0.22900000000000001</v>
      </c>
      <c r="F89" s="62" t="s">
        <v>69</v>
      </c>
      <c r="G89" s="63">
        <v>0</v>
      </c>
      <c r="H89" s="64"/>
      <c r="I89" s="65"/>
      <c r="J89" s="66">
        <v>8.4000000000000005E-2</v>
      </c>
      <c r="K89" s="198">
        <f t="shared" ref="K89" si="98">+IF(E89&lt;=0.12,(J91),(IF(E89&lt;0.16,((J90+2*J91+J92)/4),IF(E89&gt;=0.16,((J89+3*J90+2*J91+3*J92+J93)/10)))))</f>
        <v>4.2900000000000001E-2</v>
      </c>
      <c r="L89" s="198">
        <f>ROUND(+(D84+D89)/2*(C89-C84),3)</f>
        <v>6.2E-2</v>
      </c>
      <c r="M89" s="198">
        <f t="shared" ref="M89" si="99">ROUND(+K89*L89,4)</f>
        <v>2.7000000000000001E-3</v>
      </c>
      <c r="N89" s="201">
        <f t="shared" ref="N89" si="100">ROUND(+M89/$M$113*100,2)</f>
        <v>0.47</v>
      </c>
      <c r="O89" s="202"/>
      <c r="P89" s="20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07"/>
      <c r="C90" s="199"/>
      <c r="D90" s="199"/>
      <c r="E90" s="199"/>
      <c r="F90" s="67" t="s">
        <v>70</v>
      </c>
      <c r="G90" s="68">
        <f t="shared" ref="G90" si="101">IF(E89&lt;0.125,"NA",IF(0.125&lt;=E89,(0.2*E89)))</f>
        <v>4.5800000000000007E-2</v>
      </c>
      <c r="H90" s="69"/>
      <c r="I90" s="70"/>
      <c r="J90" s="71">
        <v>3.5000000000000003E-2</v>
      </c>
      <c r="K90" s="199"/>
      <c r="L90" s="199"/>
      <c r="M90" s="199"/>
      <c r="N90" s="199"/>
      <c r="O90" s="199"/>
      <c r="P90" s="204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07"/>
      <c r="C91" s="199"/>
      <c r="D91" s="199"/>
      <c r="E91" s="199"/>
      <c r="F91" s="67" t="s">
        <v>71</v>
      </c>
      <c r="G91" s="68">
        <f t="shared" ref="G91" si="102">+E89*0.4</f>
        <v>9.1600000000000015E-2</v>
      </c>
      <c r="H91" s="69"/>
      <c r="I91" s="70"/>
      <c r="J91" s="71">
        <v>2.8000000000000001E-2</v>
      </c>
      <c r="K91" s="199"/>
      <c r="L91" s="199"/>
      <c r="M91" s="199"/>
      <c r="N91" s="199"/>
      <c r="O91" s="199"/>
      <c r="P91" s="204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07"/>
      <c r="C92" s="199"/>
      <c r="D92" s="199"/>
      <c r="E92" s="199"/>
      <c r="F92" s="67" t="s">
        <v>72</v>
      </c>
      <c r="G92" s="68">
        <f t="shared" ref="G92" si="103">IF(E89&lt;0.125,"NA",IF(0.125&lt;=E89,(0.8*E89)))</f>
        <v>0.18320000000000003</v>
      </c>
      <c r="H92" s="69"/>
      <c r="I92" s="70"/>
      <c r="J92" s="71">
        <v>4.5999999999999999E-2</v>
      </c>
      <c r="K92" s="199"/>
      <c r="L92" s="199"/>
      <c r="M92" s="199"/>
      <c r="N92" s="199"/>
      <c r="O92" s="199"/>
      <c r="P92" s="204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147"/>
      <c r="C93" s="200"/>
      <c r="D93" s="200"/>
      <c r="E93" s="200"/>
      <c r="F93" s="72" t="s">
        <v>73</v>
      </c>
      <c r="G93" s="73">
        <f t="shared" ref="G93" si="104">+E89</f>
        <v>0.22900000000000001</v>
      </c>
      <c r="H93" s="74"/>
      <c r="I93" s="75"/>
      <c r="J93" s="76">
        <v>4.5999999999999999E-2</v>
      </c>
      <c r="K93" s="200"/>
      <c r="L93" s="200"/>
      <c r="M93" s="200"/>
      <c r="N93" s="200"/>
      <c r="O93" s="200"/>
      <c r="P93" s="205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3" customFormat="1" ht="14.1" customHeight="1" x14ac:dyDescent="0.2">
      <c r="B94" s="209" t="s">
        <v>29</v>
      </c>
      <c r="C94" s="212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4"/>
    </row>
    <row r="95" spans="1:26" s="3" customFormat="1" ht="14.1" customHeight="1" x14ac:dyDescent="0.2">
      <c r="B95" s="210"/>
      <c r="C95" s="215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7"/>
    </row>
    <row r="96" spans="1:26" s="3" customFormat="1" ht="14.1" customHeight="1" x14ac:dyDescent="0.2">
      <c r="B96" s="210"/>
      <c r="C96" s="215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7"/>
    </row>
    <row r="97" spans="1:26" s="3" customFormat="1" ht="14.1" customHeight="1" x14ac:dyDescent="0.2">
      <c r="B97" s="210"/>
      <c r="C97" s="215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7"/>
    </row>
    <row r="98" spans="1:26" s="3" customFormat="1" ht="14.1" customHeight="1" x14ac:dyDescent="0.2">
      <c r="B98" s="210"/>
      <c r="C98" s="215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7"/>
    </row>
    <row r="99" spans="1:26" s="3" customFormat="1" ht="14.1" customHeight="1" thickBot="1" x14ac:dyDescent="0.25">
      <c r="B99" s="211"/>
      <c r="C99" s="218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20"/>
    </row>
    <row r="100" spans="1:26" s="3" customFormat="1" ht="28.5" customHeight="1" thickBot="1" x14ac:dyDescent="0.25">
      <c r="A100" s="77"/>
      <c r="B100" s="78" t="s">
        <v>74</v>
      </c>
      <c r="C100" s="221" t="s">
        <v>103</v>
      </c>
      <c r="D100" s="221"/>
      <c r="E100" s="221"/>
      <c r="F100" s="221"/>
      <c r="G100" s="221"/>
      <c r="H100" s="222"/>
      <c r="I100" s="223"/>
      <c r="J100" s="78" t="s">
        <v>75</v>
      </c>
      <c r="K100" s="221" t="s">
        <v>76</v>
      </c>
      <c r="L100" s="221"/>
      <c r="M100" s="221"/>
      <c r="N100" s="221"/>
      <c r="O100" s="221"/>
      <c r="P100" s="222"/>
    </row>
    <row r="101" spans="1:26" s="3" customFormat="1" ht="28.5" customHeight="1" thickBot="1" x14ac:dyDescent="0.25">
      <c r="B101" s="79" t="s">
        <v>77</v>
      </c>
      <c r="C101" s="225" t="s">
        <v>78</v>
      </c>
      <c r="D101" s="225"/>
      <c r="E101" s="225"/>
      <c r="F101" s="225"/>
      <c r="G101" s="225"/>
      <c r="H101" s="226"/>
      <c r="I101" s="224"/>
      <c r="J101" s="79" t="s">
        <v>79</v>
      </c>
      <c r="K101" s="225" t="s">
        <v>80</v>
      </c>
      <c r="L101" s="225"/>
      <c r="M101" s="225"/>
      <c r="N101" s="225"/>
      <c r="O101" s="225"/>
      <c r="P101" s="226"/>
    </row>
    <row r="102" spans="1:26" s="19" customFormat="1" ht="13.5" customHeight="1" x14ac:dyDescent="0.25">
      <c r="A102" s="80"/>
      <c r="B102" s="227">
        <f>+B74</f>
        <v>12</v>
      </c>
      <c r="C102" s="230">
        <f>+C69</f>
        <v>7.1699999999999982</v>
      </c>
      <c r="D102" s="233">
        <f>+D69</f>
        <v>0.316</v>
      </c>
      <c r="E102" s="233">
        <f>+E74</f>
        <v>0.32</v>
      </c>
      <c r="F102" s="81" t="s">
        <v>69</v>
      </c>
      <c r="G102" s="81">
        <v>0.01</v>
      </c>
      <c r="H102" s="82"/>
      <c r="I102" s="83"/>
      <c r="J102" s="84">
        <v>0.34</v>
      </c>
      <c r="K102" s="235">
        <f>+AVERAGE(J102:J112)</f>
        <v>0.48963636363636359</v>
      </c>
      <c r="L102" s="248">
        <f>ROUND(+(D102+D107)/2*(C107-C102),3)</f>
        <v>0.19</v>
      </c>
      <c r="M102" s="249">
        <f>ROUND(+K102*L102,4)</f>
        <v>9.2999999999999999E-2</v>
      </c>
      <c r="N102" s="248">
        <f>ROUND(+M102/$M$113*100,2)</f>
        <v>16.09</v>
      </c>
      <c r="O102" s="248"/>
      <c r="P102" s="250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s="19" customFormat="1" ht="13.5" customHeight="1" x14ac:dyDescent="0.25">
      <c r="A103" s="80"/>
      <c r="B103" s="228"/>
      <c r="C103" s="231"/>
      <c r="D103" s="231"/>
      <c r="E103" s="231"/>
      <c r="F103" s="86" t="s">
        <v>81</v>
      </c>
      <c r="G103" s="87">
        <f>+E102*0.1</f>
        <v>3.2000000000000001E-2</v>
      </c>
      <c r="H103" s="88"/>
      <c r="I103" s="89"/>
      <c r="J103" s="90">
        <v>0.20200000000000001</v>
      </c>
      <c r="K103" s="231"/>
      <c r="L103" s="231"/>
      <c r="M103" s="231"/>
      <c r="N103" s="231"/>
      <c r="O103" s="231"/>
      <c r="P103" s="251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s="19" customFormat="1" ht="13.5" customHeight="1" x14ac:dyDescent="0.25">
      <c r="A104" s="80"/>
      <c r="B104" s="228"/>
      <c r="C104" s="231"/>
      <c r="D104" s="231"/>
      <c r="E104" s="231"/>
      <c r="F104" s="86" t="s">
        <v>82</v>
      </c>
      <c r="G104" s="87">
        <f>+E102*0.2</f>
        <v>6.4000000000000001E-2</v>
      </c>
      <c r="H104" s="88"/>
      <c r="I104" s="89"/>
      <c r="J104" s="90">
        <v>0.30099999999999999</v>
      </c>
      <c r="K104" s="231"/>
      <c r="L104" s="231"/>
      <c r="M104" s="231"/>
      <c r="N104" s="231"/>
      <c r="O104" s="231"/>
      <c r="P104" s="251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s="19" customFormat="1" ht="13.5" customHeight="1" x14ac:dyDescent="0.25">
      <c r="A105" s="80"/>
      <c r="B105" s="228"/>
      <c r="C105" s="231"/>
      <c r="D105" s="231"/>
      <c r="E105" s="231"/>
      <c r="F105" s="86" t="s">
        <v>83</v>
      </c>
      <c r="G105" s="87">
        <f>+E102*0.3</f>
        <v>9.6000000000000002E-2</v>
      </c>
      <c r="H105" s="88"/>
      <c r="I105" s="89"/>
      <c r="J105" s="90">
        <v>0.39600000000000002</v>
      </c>
      <c r="K105" s="231"/>
      <c r="L105" s="231"/>
      <c r="M105" s="231"/>
      <c r="N105" s="231"/>
      <c r="O105" s="231"/>
      <c r="P105" s="251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s="19" customFormat="1" ht="13.5" customHeight="1" x14ac:dyDescent="0.25">
      <c r="A106" s="80"/>
      <c r="B106" s="228"/>
      <c r="C106" s="232"/>
      <c r="D106" s="232"/>
      <c r="E106" s="231"/>
      <c r="F106" s="86" t="s">
        <v>84</v>
      </c>
      <c r="G106" s="87">
        <f>+E102*0.4</f>
        <v>0.128</v>
      </c>
      <c r="H106" s="88"/>
      <c r="I106" s="89"/>
      <c r="J106" s="90">
        <v>0.41799999999999998</v>
      </c>
      <c r="K106" s="231"/>
      <c r="L106" s="231"/>
      <c r="M106" s="231"/>
      <c r="N106" s="231"/>
      <c r="O106" s="231"/>
      <c r="P106" s="251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s="19" customFormat="1" ht="13.5" customHeight="1" x14ac:dyDescent="0.25">
      <c r="A107" s="80"/>
      <c r="B107" s="228"/>
      <c r="C107" s="253">
        <f>+C74</f>
        <v>7.7699999999999978</v>
      </c>
      <c r="D107" s="254">
        <f>+D74</f>
        <v>0.317</v>
      </c>
      <c r="E107" s="231"/>
      <c r="F107" s="86" t="s">
        <v>30</v>
      </c>
      <c r="G107" s="87">
        <f>+E102*0.5</f>
        <v>0.16</v>
      </c>
      <c r="H107" s="88"/>
      <c r="I107" s="89"/>
      <c r="J107" s="90">
        <v>0.53200000000000003</v>
      </c>
      <c r="K107" s="231"/>
      <c r="L107" s="231"/>
      <c r="M107" s="231"/>
      <c r="N107" s="231"/>
      <c r="O107" s="231"/>
      <c r="P107" s="251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s="19" customFormat="1" ht="13.5" customHeight="1" x14ac:dyDescent="0.25">
      <c r="A108" s="80"/>
      <c r="B108" s="228"/>
      <c r="C108" s="231"/>
      <c r="D108" s="231"/>
      <c r="E108" s="231"/>
      <c r="F108" s="86" t="s">
        <v>85</v>
      </c>
      <c r="G108" s="87">
        <f>+E102*0.6</f>
        <v>0.192</v>
      </c>
      <c r="H108" s="88"/>
      <c r="I108" s="89"/>
      <c r="J108" s="90">
        <v>0.60199999999999998</v>
      </c>
      <c r="K108" s="231"/>
      <c r="L108" s="231"/>
      <c r="M108" s="231"/>
      <c r="N108" s="231"/>
      <c r="O108" s="231"/>
      <c r="P108" s="251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s="19" customFormat="1" ht="13.5" customHeight="1" x14ac:dyDescent="0.25">
      <c r="A109" s="80"/>
      <c r="B109" s="228"/>
      <c r="C109" s="231"/>
      <c r="D109" s="231"/>
      <c r="E109" s="231"/>
      <c r="F109" s="86" t="s">
        <v>86</v>
      </c>
      <c r="G109" s="87">
        <f>+E102*0.7</f>
        <v>0.22399999999999998</v>
      </c>
      <c r="H109" s="88"/>
      <c r="I109" s="89"/>
      <c r="J109" s="90">
        <v>0.63600000000000001</v>
      </c>
      <c r="K109" s="231"/>
      <c r="L109" s="231"/>
      <c r="M109" s="231"/>
      <c r="N109" s="231"/>
      <c r="O109" s="231"/>
      <c r="P109" s="251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s="19" customFormat="1" ht="13.5" customHeight="1" x14ac:dyDescent="0.25">
      <c r="A110" s="80"/>
      <c r="B110" s="228"/>
      <c r="C110" s="231"/>
      <c r="D110" s="231"/>
      <c r="E110" s="231"/>
      <c r="F110" s="86" t="s">
        <v>87</v>
      </c>
      <c r="G110" s="87">
        <f>+E102*0.8</f>
        <v>0.25600000000000001</v>
      </c>
      <c r="H110" s="88"/>
      <c r="I110" s="89"/>
      <c r="J110" s="90">
        <v>0.63600000000000001</v>
      </c>
      <c r="K110" s="231"/>
      <c r="L110" s="231"/>
      <c r="M110" s="231"/>
      <c r="N110" s="231"/>
      <c r="O110" s="231"/>
      <c r="P110" s="251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s="19" customFormat="1" ht="13.5" customHeight="1" x14ac:dyDescent="0.25">
      <c r="A111" s="80"/>
      <c r="B111" s="228"/>
      <c r="C111" s="231"/>
      <c r="D111" s="231"/>
      <c r="E111" s="231"/>
      <c r="F111" s="86" t="s">
        <v>88</v>
      </c>
      <c r="G111" s="87">
        <f>+E102*0.9</f>
        <v>0.28800000000000003</v>
      </c>
      <c r="H111" s="88"/>
      <c r="I111" s="89"/>
      <c r="J111" s="90">
        <v>0.70099999999999996</v>
      </c>
      <c r="K111" s="231"/>
      <c r="L111" s="231"/>
      <c r="M111" s="231"/>
      <c r="N111" s="231"/>
      <c r="O111" s="231"/>
      <c r="P111" s="251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s="19" customFormat="1" ht="15.75" thickBot="1" x14ac:dyDescent="0.3">
      <c r="A112" s="80"/>
      <c r="B112" s="229"/>
      <c r="C112" s="234"/>
      <c r="D112" s="234"/>
      <c r="E112" s="234"/>
      <c r="F112" s="91" t="s">
        <v>31</v>
      </c>
      <c r="G112" s="91">
        <f>+E102</f>
        <v>0.32</v>
      </c>
      <c r="H112" s="92"/>
      <c r="I112" s="93"/>
      <c r="J112" s="94">
        <v>0.622</v>
      </c>
      <c r="K112" s="234"/>
      <c r="L112" s="234"/>
      <c r="M112" s="234"/>
      <c r="N112" s="234"/>
      <c r="O112" s="234"/>
      <c r="P112" s="252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16" s="3" customFormat="1" ht="12.75" x14ac:dyDescent="0.2">
      <c r="A113" s="11"/>
      <c r="B113" s="236" t="s">
        <v>32</v>
      </c>
      <c r="C113" s="236"/>
      <c r="D113" s="236"/>
      <c r="E113" s="236"/>
      <c r="F113" s="236"/>
      <c r="G113" s="236"/>
      <c r="H113" s="236"/>
      <c r="I113" s="236"/>
      <c r="J113" s="236"/>
      <c r="K113" s="12">
        <f>ROUND(+M113/L113,3)</f>
        <v>0.32</v>
      </c>
      <c r="L113" s="16">
        <f>SUM(L19:L112)</f>
        <v>1.8049999999999999</v>
      </c>
      <c r="M113" s="15">
        <f>SUM(M19:M112)</f>
        <v>0.57809999999999995</v>
      </c>
      <c r="N113" s="13">
        <f>ROUND(SUM(N19:N112),0)</f>
        <v>100</v>
      </c>
      <c r="O113" s="238" t="s">
        <v>33</v>
      </c>
      <c r="P113" s="240"/>
    </row>
    <row r="114" spans="1:16" s="3" customFormat="1" ht="15" customHeight="1" thickBot="1" x14ac:dyDescent="0.25">
      <c r="A114" s="11"/>
      <c r="B114" s="237"/>
      <c r="C114" s="237"/>
      <c r="D114" s="237"/>
      <c r="E114" s="237"/>
      <c r="F114" s="237"/>
      <c r="G114" s="237"/>
      <c r="H114" s="237"/>
      <c r="I114" s="237"/>
      <c r="J114" s="237"/>
      <c r="K114" s="14" t="s">
        <v>34</v>
      </c>
      <c r="L114" s="14" t="s">
        <v>50</v>
      </c>
      <c r="M114" s="14" t="s">
        <v>51</v>
      </c>
      <c r="N114" s="14" t="s">
        <v>35</v>
      </c>
      <c r="O114" s="239"/>
      <c r="P114" s="241"/>
    </row>
    <row r="115" spans="1:16" ht="15" customHeight="1" thickBot="1" x14ac:dyDescent="0.3">
      <c r="A115" s="5"/>
      <c r="B115" s="242" t="s">
        <v>89</v>
      </c>
      <c r="C115" s="243"/>
      <c r="D115" s="243"/>
      <c r="E115" s="243"/>
      <c r="F115" s="244"/>
      <c r="G115" s="242" t="s">
        <v>90</v>
      </c>
      <c r="H115" s="243"/>
      <c r="I115" s="243"/>
      <c r="J115" s="243"/>
      <c r="K115" s="244"/>
      <c r="L115" s="245" t="s">
        <v>53</v>
      </c>
      <c r="M115" s="246"/>
      <c r="N115" s="246"/>
      <c r="O115" s="246"/>
      <c r="P115" s="247"/>
    </row>
    <row r="116" spans="1:16" ht="15" customHeight="1" x14ac:dyDescent="0.25">
      <c r="A116" s="5"/>
      <c r="B116" s="255"/>
      <c r="C116" s="256"/>
      <c r="D116" s="256"/>
      <c r="E116" s="256"/>
      <c r="F116" s="257"/>
      <c r="G116" s="255"/>
      <c r="H116" s="256"/>
      <c r="I116" s="256"/>
      <c r="J116" s="256"/>
      <c r="K116" s="257"/>
      <c r="L116" s="264" t="s">
        <v>91</v>
      </c>
      <c r="M116" s="265"/>
      <c r="N116" s="265"/>
      <c r="O116" s="266">
        <f>+AVERAGE(E18:E93)</f>
        <v>0.20986666666666665</v>
      </c>
      <c r="P116" s="267"/>
    </row>
    <row r="117" spans="1:16" ht="15" customHeight="1" thickBot="1" x14ac:dyDescent="0.3">
      <c r="A117" s="5"/>
      <c r="B117" s="258"/>
      <c r="C117" s="259"/>
      <c r="D117" s="259"/>
      <c r="E117" s="259"/>
      <c r="F117" s="260"/>
      <c r="G117" s="258"/>
      <c r="H117" s="259"/>
      <c r="I117" s="259"/>
      <c r="J117" s="259"/>
      <c r="K117" s="260"/>
      <c r="L117" s="268" t="s">
        <v>92</v>
      </c>
      <c r="M117" s="269"/>
      <c r="N117" s="269"/>
      <c r="O117" s="270">
        <f>+MAX(E18:E93)</f>
        <v>0.32</v>
      </c>
      <c r="P117" s="271"/>
    </row>
    <row r="118" spans="1:16" ht="18.600000000000001" customHeight="1" x14ac:dyDescent="0.25">
      <c r="A118" s="6"/>
      <c r="B118" s="258"/>
      <c r="C118" s="259"/>
      <c r="D118" s="259"/>
      <c r="E118" s="259"/>
      <c r="F118" s="260"/>
      <c r="G118" s="258"/>
      <c r="H118" s="259"/>
      <c r="I118" s="259"/>
      <c r="J118" s="259"/>
      <c r="K118" s="260"/>
      <c r="L118" s="272" t="s">
        <v>111</v>
      </c>
      <c r="M118" s="273"/>
      <c r="N118" s="273"/>
      <c r="O118" s="273"/>
      <c r="P118" s="274"/>
    </row>
    <row r="119" spans="1:16" ht="61.5" customHeight="1" x14ac:dyDescent="0.25">
      <c r="A119" s="10"/>
      <c r="B119" s="258"/>
      <c r="C119" s="259"/>
      <c r="D119" s="259"/>
      <c r="E119" s="259"/>
      <c r="F119" s="260"/>
      <c r="G119" s="258"/>
      <c r="H119" s="259"/>
      <c r="I119" s="259"/>
      <c r="J119" s="259"/>
      <c r="K119" s="260"/>
      <c r="L119" s="275"/>
      <c r="M119" s="276"/>
      <c r="N119" s="276"/>
      <c r="O119" s="276"/>
      <c r="P119" s="277"/>
    </row>
    <row r="120" spans="1:16" ht="15" customHeight="1" thickBot="1" x14ac:dyDescent="0.3">
      <c r="A120" s="5"/>
      <c r="B120" s="258"/>
      <c r="C120" s="259"/>
      <c r="D120" s="259"/>
      <c r="E120" s="259"/>
      <c r="F120" s="260"/>
      <c r="G120" s="258"/>
      <c r="H120" s="259"/>
      <c r="I120" s="259"/>
      <c r="J120" s="259"/>
      <c r="K120" s="260"/>
      <c r="L120" s="278"/>
      <c r="M120" s="279"/>
      <c r="N120" s="279"/>
      <c r="O120" s="279"/>
      <c r="P120" s="280"/>
    </row>
    <row r="121" spans="1:16" ht="22.5" customHeight="1" thickBot="1" x14ac:dyDescent="0.3">
      <c r="A121" s="5"/>
      <c r="B121" s="258"/>
      <c r="C121" s="259"/>
      <c r="D121" s="259"/>
      <c r="E121" s="259"/>
      <c r="F121" s="260"/>
      <c r="G121" s="258"/>
      <c r="H121" s="259"/>
      <c r="I121" s="259"/>
      <c r="J121" s="259"/>
      <c r="K121" s="260"/>
      <c r="L121" s="281" t="s">
        <v>36</v>
      </c>
      <c r="M121" s="282"/>
      <c r="N121" s="282"/>
      <c r="O121" s="282"/>
      <c r="P121" s="95">
        <v>3.65</v>
      </c>
    </row>
    <row r="122" spans="1:16" ht="32.25" customHeight="1" thickBot="1" x14ac:dyDescent="0.3">
      <c r="A122" s="5"/>
      <c r="B122" s="261"/>
      <c r="C122" s="262"/>
      <c r="D122" s="262"/>
      <c r="E122" s="262"/>
      <c r="F122" s="263"/>
      <c r="G122" s="261"/>
      <c r="H122" s="262"/>
      <c r="I122" s="262"/>
      <c r="J122" s="262"/>
      <c r="K122" s="263"/>
      <c r="L122" s="283" t="s">
        <v>52</v>
      </c>
      <c r="M122" s="284"/>
      <c r="N122" s="284"/>
      <c r="O122" s="284"/>
      <c r="P122" s="95">
        <v>0.23930000000000001</v>
      </c>
    </row>
    <row r="123" spans="1:16" ht="23.45" customHeight="1" thickBot="1" x14ac:dyDescent="0.3">
      <c r="A123" s="7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</row>
    <row r="124" spans="1:16" ht="15.75" thickBot="1" x14ac:dyDescent="0.3">
      <c r="A124" s="291" t="s">
        <v>37</v>
      </c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3"/>
    </row>
    <row r="125" spans="1:16" ht="159" customHeight="1" thickBot="1" x14ac:dyDescent="0.3">
      <c r="A125" s="4"/>
      <c r="B125" s="294"/>
      <c r="C125" s="295"/>
      <c r="D125" s="295"/>
      <c r="E125" s="295"/>
      <c r="F125" s="295"/>
      <c r="G125" s="295"/>
      <c r="H125" s="295"/>
      <c r="I125" s="296"/>
      <c r="J125" s="297"/>
      <c r="K125" s="295"/>
      <c r="L125" s="295"/>
      <c r="M125" s="295"/>
      <c r="N125" s="295"/>
      <c r="O125" s="295"/>
      <c r="P125" s="298"/>
    </row>
    <row r="126" spans="1:16" ht="21.75" customHeight="1" thickBot="1" x14ac:dyDescent="0.3">
      <c r="A126" s="4"/>
      <c r="B126" s="299" t="s">
        <v>112</v>
      </c>
      <c r="C126" s="300"/>
      <c r="D126" s="300"/>
      <c r="E126" s="300"/>
      <c r="F126" s="300"/>
      <c r="G126" s="300"/>
      <c r="H126" s="300"/>
      <c r="I126" s="301"/>
      <c r="J126" s="302" t="s">
        <v>113</v>
      </c>
      <c r="K126" s="300"/>
      <c r="L126" s="300"/>
      <c r="M126" s="300"/>
      <c r="N126" s="300"/>
      <c r="O126" s="300"/>
      <c r="P126" s="303"/>
    </row>
    <row r="127" spans="1:16" s="9" customFormat="1" ht="16.899999999999999" customHeight="1" thickBot="1" x14ac:dyDescent="0.3">
      <c r="A127" s="8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6"/>
    </row>
    <row r="128" spans="1:16" s="3" customFormat="1" ht="15.75" customHeight="1" thickBot="1" x14ac:dyDescent="0.25">
      <c r="A128" s="287" t="s">
        <v>38</v>
      </c>
      <c r="B128" s="288"/>
      <c r="C128" s="288"/>
      <c r="D128" s="288"/>
      <c r="E128" s="288"/>
      <c r="F128" s="288"/>
      <c r="G128" s="288"/>
      <c r="H128" s="288"/>
      <c r="I128" s="288"/>
      <c r="J128" s="288" t="s">
        <v>39</v>
      </c>
      <c r="K128" s="288"/>
      <c r="L128" s="288"/>
      <c r="M128" s="288"/>
      <c r="N128" s="288"/>
      <c r="O128" s="288"/>
      <c r="P128" s="289"/>
    </row>
  </sheetData>
  <mergeCells count="253">
    <mergeCell ref="B127:P127"/>
    <mergeCell ref="A128:C128"/>
    <mergeCell ref="D128:I128"/>
    <mergeCell ref="J128:K128"/>
    <mergeCell ref="L128:P128"/>
    <mergeCell ref="B123:P123"/>
    <mergeCell ref="A124:P124"/>
    <mergeCell ref="B125:I125"/>
    <mergeCell ref="J125:P125"/>
    <mergeCell ref="B126:I126"/>
    <mergeCell ref="J126:P126"/>
    <mergeCell ref="B116:F122"/>
    <mergeCell ref="G116:K122"/>
    <mergeCell ref="L116:N116"/>
    <mergeCell ref="O116:P116"/>
    <mergeCell ref="L117:N117"/>
    <mergeCell ref="O117:P117"/>
    <mergeCell ref="L118:P120"/>
    <mergeCell ref="L121:O121"/>
    <mergeCell ref="L122:O122"/>
    <mergeCell ref="B113:J114"/>
    <mergeCell ref="O113:O114"/>
    <mergeCell ref="P113:P114"/>
    <mergeCell ref="B115:F115"/>
    <mergeCell ref="G115:K115"/>
    <mergeCell ref="L115:P115"/>
    <mergeCell ref="L102:L112"/>
    <mergeCell ref="M102:M112"/>
    <mergeCell ref="N102:N112"/>
    <mergeCell ref="O102:O112"/>
    <mergeCell ref="P102:P112"/>
    <mergeCell ref="C107:C112"/>
    <mergeCell ref="D107:D112"/>
    <mergeCell ref="C100:H100"/>
    <mergeCell ref="I100:I101"/>
    <mergeCell ref="K100:P100"/>
    <mergeCell ref="C101:H101"/>
    <mergeCell ref="K101:P101"/>
    <mergeCell ref="B102:B112"/>
    <mergeCell ref="C102:C106"/>
    <mergeCell ref="D102:D106"/>
    <mergeCell ref="E102:E112"/>
    <mergeCell ref="K102:K112"/>
    <mergeCell ref="B94:B99"/>
    <mergeCell ref="C94:P99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P79:P83"/>
    <mergeCell ref="B84:B88"/>
    <mergeCell ref="C84:C88"/>
    <mergeCell ref="D84:D88"/>
    <mergeCell ref="E84:E88"/>
    <mergeCell ref="K84:K88"/>
    <mergeCell ref="L84:L88"/>
    <mergeCell ref="M89:M93"/>
    <mergeCell ref="N89:N93"/>
    <mergeCell ref="O89:O93"/>
    <mergeCell ref="P89:P93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6:C6"/>
    <mergeCell ref="D6:I6"/>
    <mergeCell ref="K6:L6"/>
    <mergeCell ref="M6:N6"/>
    <mergeCell ref="B2:D3"/>
    <mergeCell ref="E2:N3"/>
    <mergeCell ref="O2:P3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124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4.7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1">
        <v>43061</v>
      </c>
      <c r="D5" s="112"/>
      <c r="E5" s="22" t="s">
        <v>1</v>
      </c>
      <c r="F5" s="23">
        <v>2</v>
      </c>
      <c r="G5" s="24" t="s">
        <v>2</v>
      </c>
      <c r="H5" s="113" t="s">
        <v>125</v>
      </c>
      <c r="I5" s="114"/>
      <c r="J5" s="114"/>
      <c r="K5" s="114"/>
      <c r="L5" s="114"/>
      <c r="M5" s="114"/>
      <c r="N5" s="114"/>
      <c r="O5" s="114"/>
      <c r="P5" s="11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16" t="s">
        <v>3</v>
      </c>
      <c r="C6" s="117"/>
      <c r="D6" s="118" t="s">
        <v>108</v>
      </c>
      <c r="E6" s="119"/>
      <c r="F6" s="119"/>
      <c r="G6" s="119"/>
      <c r="H6" s="119"/>
      <c r="I6" s="120"/>
      <c r="J6" s="28" t="s">
        <v>4</v>
      </c>
      <c r="K6" s="121" t="s">
        <v>109</v>
      </c>
      <c r="L6" s="120"/>
      <c r="M6" s="121" t="s">
        <v>110</v>
      </c>
      <c r="N6" s="122"/>
      <c r="O6" s="29" t="s">
        <v>54</v>
      </c>
      <c r="P6" s="30">
        <v>2078</v>
      </c>
    </row>
    <row r="7" spans="1:26" s="26" customFormat="1" ht="21.75" customHeight="1" x14ac:dyDescent="0.25">
      <c r="B7" s="123" t="s">
        <v>55</v>
      </c>
      <c r="C7" s="125" t="s">
        <v>56</v>
      </c>
      <c r="D7" s="126"/>
      <c r="E7" s="32"/>
      <c r="F7" s="127" t="s">
        <v>57</v>
      </c>
      <c r="G7" s="128"/>
      <c r="H7" s="128"/>
      <c r="I7" s="128"/>
      <c r="J7" s="129" t="s">
        <v>58</v>
      </c>
      <c r="K7" s="130"/>
      <c r="L7" s="130"/>
      <c r="M7" s="131"/>
      <c r="N7" s="132" t="s">
        <v>93</v>
      </c>
      <c r="O7" s="133"/>
      <c r="P7" s="33" t="s">
        <v>59</v>
      </c>
    </row>
    <row r="8" spans="1:26" s="26" customFormat="1" ht="21.75" customHeight="1" thickBot="1" x14ac:dyDescent="0.3">
      <c r="B8" s="124"/>
      <c r="C8" s="134" t="s">
        <v>60</v>
      </c>
      <c r="D8" s="135"/>
      <c r="E8" s="34"/>
      <c r="F8" s="136" t="s">
        <v>6</v>
      </c>
      <c r="G8" s="137"/>
      <c r="H8" s="137"/>
      <c r="I8" s="137"/>
      <c r="J8" s="138"/>
      <c r="K8" s="139"/>
      <c r="L8" s="139"/>
      <c r="M8" s="140"/>
      <c r="N8" s="141"/>
      <c r="O8" s="142"/>
      <c r="P8" s="35"/>
    </row>
    <row r="9" spans="1:26" s="26" customFormat="1" ht="21.75" customHeight="1" x14ac:dyDescent="0.25">
      <c r="B9" s="143" t="s">
        <v>7</v>
      </c>
      <c r="C9" s="146" t="s">
        <v>61</v>
      </c>
      <c r="D9" s="148" t="s">
        <v>62</v>
      </c>
      <c r="E9" s="149"/>
      <c r="F9" s="36"/>
      <c r="G9" s="150" t="s">
        <v>8</v>
      </c>
      <c r="H9" s="151" t="s">
        <v>9</v>
      </c>
      <c r="I9" s="126"/>
      <c r="J9" s="37"/>
      <c r="K9" s="146" t="s">
        <v>63</v>
      </c>
      <c r="L9" s="152" t="s">
        <v>106</v>
      </c>
      <c r="M9" s="153"/>
      <c r="N9" s="154"/>
      <c r="O9" s="154"/>
      <c r="P9" s="155"/>
    </row>
    <row r="10" spans="1:26" s="26" customFormat="1" ht="21.75" customHeight="1" thickBot="1" x14ac:dyDescent="0.3">
      <c r="B10" s="144"/>
      <c r="C10" s="147"/>
      <c r="D10" s="165" t="s">
        <v>64</v>
      </c>
      <c r="E10" s="135"/>
      <c r="F10" s="38" t="s">
        <v>5</v>
      </c>
      <c r="G10" s="147"/>
      <c r="H10" s="165" t="s">
        <v>10</v>
      </c>
      <c r="I10" s="135"/>
      <c r="J10" s="39" t="s">
        <v>5</v>
      </c>
      <c r="K10" s="147"/>
      <c r="L10" s="156"/>
      <c r="M10" s="157"/>
      <c r="N10" s="157"/>
      <c r="O10" s="157"/>
      <c r="P10" s="158"/>
    </row>
    <row r="11" spans="1:26" s="26" customFormat="1" ht="21.75" customHeight="1" x14ac:dyDescent="0.25">
      <c r="A11" s="20"/>
      <c r="B11" s="144"/>
      <c r="C11" s="166" t="s">
        <v>11</v>
      </c>
      <c r="D11" s="149"/>
      <c r="E11" s="40">
        <v>0.54513888888888895</v>
      </c>
      <c r="F11" s="167" t="s">
        <v>12</v>
      </c>
      <c r="G11" s="149"/>
      <c r="H11" s="98">
        <v>0.57999999999999996</v>
      </c>
      <c r="I11" s="168" t="s">
        <v>13</v>
      </c>
      <c r="J11" s="126"/>
      <c r="K11" s="41">
        <v>17</v>
      </c>
      <c r="L11" s="166" t="s">
        <v>14</v>
      </c>
      <c r="M11" s="149"/>
      <c r="N11" s="42">
        <v>8.6999999999999993</v>
      </c>
      <c r="O11" s="159" t="s">
        <v>65</v>
      </c>
      <c r="P11" s="160"/>
    </row>
    <row r="12" spans="1:26" s="26" customFormat="1" ht="21.75" customHeight="1" thickBot="1" x14ac:dyDescent="0.3">
      <c r="A12" s="20"/>
      <c r="B12" s="145"/>
      <c r="C12" s="161" t="s">
        <v>15</v>
      </c>
      <c r="D12" s="135"/>
      <c r="E12" s="40">
        <v>0.62847222222222221</v>
      </c>
      <c r="F12" s="134" t="s">
        <v>16</v>
      </c>
      <c r="G12" s="135"/>
      <c r="H12" s="98">
        <v>0.57999999999999996</v>
      </c>
      <c r="I12" s="162" t="s">
        <v>17</v>
      </c>
      <c r="J12" s="135"/>
      <c r="K12" s="40">
        <v>0.54999999999999993</v>
      </c>
      <c r="L12" s="161" t="s">
        <v>18</v>
      </c>
      <c r="M12" s="135"/>
      <c r="N12" s="43">
        <v>0.5</v>
      </c>
      <c r="O12" s="163">
        <v>0.65</v>
      </c>
      <c r="P12" s="164"/>
    </row>
    <row r="13" spans="1:26" s="26" customFormat="1" ht="21.75" customHeight="1" x14ac:dyDescent="0.25">
      <c r="A13" s="20"/>
      <c r="B13" s="184" t="s">
        <v>19</v>
      </c>
      <c r="C13" s="186" t="s">
        <v>94</v>
      </c>
      <c r="D13" s="187"/>
      <c r="E13" s="187"/>
      <c r="F13" s="188" t="s">
        <v>95</v>
      </c>
      <c r="G13" s="187"/>
      <c r="H13" s="187"/>
      <c r="I13" s="187"/>
      <c r="J13" s="188" t="s">
        <v>96</v>
      </c>
      <c r="K13" s="187"/>
      <c r="L13" s="187"/>
      <c r="M13" s="187"/>
      <c r="N13" s="189" t="s">
        <v>97</v>
      </c>
      <c r="O13" s="187"/>
      <c r="P13" s="190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185"/>
      <c r="C14" s="191" t="s">
        <v>98</v>
      </c>
      <c r="D14" s="192"/>
      <c r="E14" s="192"/>
      <c r="F14" s="193" t="s">
        <v>99</v>
      </c>
      <c r="G14" s="192"/>
      <c r="H14" s="192"/>
      <c r="I14" s="192"/>
      <c r="J14" s="194" t="s">
        <v>100</v>
      </c>
      <c r="K14" s="192"/>
      <c r="L14" s="192"/>
      <c r="M14" s="192"/>
      <c r="N14" s="195"/>
      <c r="O14" s="181"/>
      <c r="P14" s="19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24"/>
      <c r="C15" s="197" t="s">
        <v>101</v>
      </c>
      <c r="D15" s="169"/>
      <c r="E15" s="169"/>
      <c r="F15" s="169" t="s">
        <v>102</v>
      </c>
      <c r="G15" s="170"/>
      <c r="H15" s="170"/>
      <c r="I15" s="170"/>
      <c r="J15" s="169" t="s">
        <v>66</v>
      </c>
      <c r="K15" s="170"/>
      <c r="L15" s="170"/>
      <c r="M15" s="170"/>
      <c r="N15" s="171"/>
      <c r="O15" s="172"/>
      <c r="P15" s="17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74" t="s">
        <v>20</v>
      </c>
      <c r="C16" s="176" t="s">
        <v>21</v>
      </c>
      <c r="D16" s="176" t="s">
        <v>42</v>
      </c>
      <c r="E16" s="178" t="s">
        <v>22</v>
      </c>
      <c r="F16" s="179" t="s">
        <v>43</v>
      </c>
      <c r="G16" s="110"/>
      <c r="H16" s="176" t="s">
        <v>67</v>
      </c>
      <c r="I16" s="182" t="s">
        <v>68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175"/>
      <c r="C17" s="177"/>
      <c r="D17" s="177"/>
      <c r="E17" s="177"/>
      <c r="F17" s="180"/>
      <c r="G17" s="181"/>
      <c r="H17" s="177"/>
      <c r="I17" s="183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0.65</v>
      </c>
      <c r="D18" s="55">
        <v>0</v>
      </c>
      <c r="E18" s="56"/>
      <c r="F18" s="57"/>
      <c r="G18" s="97"/>
      <c r="H18" s="58"/>
      <c r="I18" s="59"/>
      <c r="J18" s="96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06">
        <v>1</v>
      </c>
      <c r="C19" s="208">
        <f>+C18+$N$12</f>
        <v>1.1499999999999999</v>
      </c>
      <c r="D19" s="198">
        <v>0.16800000000000001</v>
      </c>
      <c r="E19" s="198">
        <v>0.108</v>
      </c>
      <c r="F19" s="62" t="s">
        <v>69</v>
      </c>
      <c r="G19" s="63">
        <v>0</v>
      </c>
      <c r="H19" s="64"/>
      <c r="I19" s="65"/>
      <c r="J19" s="66">
        <v>0.41399999999999998</v>
      </c>
      <c r="K19" s="198">
        <f>+IF(E19&lt;=0.12,(J21),(IF(E19&lt;0.16,((J20+2*J21+J22)/4),IF(E19&gt;=0.16,((J19+3*J20+2*J21+3*J22+J23)/10)))))</f>
        <v>0.373</v>
      </c>
      <c r="L19" s="198">
        <f>ROUND(+(D18+D19)/2*(C19-C18),3)</f>
        <v>4.2000000000000003E-2</v>
      </c>
      <c r="M19" s="198">
        <f>ROUND(+K19*L19,4)</f>
        <v>1.5699999999999999E-2</v>
      </c>
      <c r="N19" s="201">
        <f>ROUND(+M19/$M$128*100,2)</f>
        <v>0.96</v>
      </c>
      <c r="O19" s="202"/>
      <c r="P19" s="20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07"/>
      <c r="C20" s="199"/>
      <c r="D20" s="199"/>
      <c r="E20" s="199"/>
      <c r="F20" s="67" t="s">
        <v>70</v>
      </c>
      <c r="G20" s="68" t="str">
        <f>IF(E19&lt;0.125,"NA",IF(0.125&lt;=E19,(0.2*E19)))</f>
        <v>NA</v>
      </c>
      <c r="H20" s="69"/>
      <c r="I20" s="70"/>
      <c r="J20" s="71"/>
      <c r="K20" s="199"/>
      <c r="L20" s="199"/>
      <c r="M20" s="199"/>
      <c r="N20" s="199"/>
      <c r="O20" s="199"/>
      <c r="P20" s="204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07"/>
      <c r="C21" s="199"/>
      <c r="D21" s="199"/>
      <c r="E21" s="199"/>
      <c r="F21" s="67" t="s">
        <v>71</v>
      </c>
      <c r="G21" s="68">
        <f>+E19*0.4</f>
        <v>4.3200000000000002E-2</v>
      </c>
      <c r="H21" s="69"/>
      <c r="I21" s="70"/>
      <c r="J21" s="71">
        <v>0.373</v>
      </c>
      <c r="K21" s="199"/>
      <c r="L21" s="199"/>
      <c r="M21" s="199"/>
      <c r="N21" s="199"/>
      <c r="O21" s="199"/>
      <c r="P21" s="204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07"/>
      <c r="C22" s="199"/>
      <c r="D22" s="199"/>
      <c r="E22" s="199"/>
      <c r="F22" s="67" t="s">
        <v>72</v>
      </c>
      <c r="G22" s="68" t="str">
        <f>IF(E19&lt;0.125,"NA",IF(0.125&lt;=E19,(0.8*E19)))</f>
        <v>NA</v>
      </c>
      <c r="H22" s="69"/>
      <c r="I22" s="70"/>
      <c r="J22" s="71"/>
      <c r="K22" s="199"/>
      <c r="L22" s="199"/>
      <c r="M22" s="199"/>
      <c r="N22" s="199"/>
      <c r="O22" s="199"/>
      <c r="P22" s="204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147"/>
      <c r="C23" s="200"/>
      <c r="D23" s="200"/>
      <c r="E23" s="200"/>
      <c r="F23" s="72" t="s">
        <v>73</v>
      </c>
      <c r="G23" s="73">
        <f>+E19</f>
        <v>0.108</v>
      </c>
      <c r="H23" s="74"/>
      <c r="I23" s="75"/>
      <c r="J23" s="76">
        <v>0.39400000000000002</v>
      </c>
      <c r="K23" s="200"/>
      <c r="L23" s="200"/>
      <c r="M23" s="200"/>
      <c r="N23" s="200"/>
      <c r="O23" s="200"/>
      <c r="P23" s="205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06">
        <v>2</v>
      </c>
      <c r="C24" s="208">
        <f>+C19+$N$12</f>
        <v>1.65</v>
      </c>
      <c r="D24" s="198">
        <v>0.15</v>
      </c>
      <c r="E24" s="198">
        <v>0.13500000000000001</v>
      </c>
      <c r="F24" s="62" t="s">
        <v>69</v>
      </c>
      <c r="G24" s="63">
        <v>0</v>
      </c>
      <c r="H24" s="64"/>
      <c r="I24" s="65"/>
      <c r="J24" s="66">
        <v>0.52700000000000002</v>
      </c>
      <c r="K24" s="198">
        <f t="shared" ref="K24" si="0">+IF(E24&lt;=0.12,(J26),(IF(E24&lt;0.16,((J25+2*J26+J27)/4),IF(E24&gt;=0.16,((J24+3*J25+2*J26+3*J27+J28)/10)))))</f>
        <v>0.59575</v>
      </c>
      <c r="L24" s="198">
        <f>ROUND(+(D19+D24)/2*(C24-C19),3)</f>
        <v>0.08</v>
      </c>
      <c r="M24" s="198">
        <f>ROUND(+K24*L24,4)</f>
        <v>4.7699999999999999E-2</v>
      </c>
      <c r="N24" s="201">
        <f>ROUND(+M24/$M$128*100,2)</f>
        <v>2.9</v>
      </c>
      <c r="O24" s="202"/>
      <c r="P24" s="20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07"/>
      <c r="C25" s="199"/>
      <c r="D25" s="199"/>
      <c r="E25" s="199"/>
      <c r="F25" s="67" t="s">
        <v>70</v>
      </c>
      <c r="G25" s="68">
        <f t="shared" ref="G25" si="1">IF(E24&lt;0.125,"NA",IF(0.125&lt;=E24,(0.2*E24)))</f>
        <v>2.7000000000000003E-2</v>
      </c>
      <c r="H25" s="69"/>
      <c r="I25" s="70"/>
      <c r="J25" s="71">
        <v>0.53100000000000003</v>
      </c>
      <c r="K25" s="199"/>
      <c r="L25" s="199"/>
      <c r="M25" s="199"/>
      <c r="N25" s="199"/>
      <c r="O25" s="199"/>
      <c r="P25" s="204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07"/>
      <c r="C26" s="199"/>
      <c r="D26" s="199"/>
      <c r="E26" s="199"/>
      <c r="F26" s="67" t="s">
        <v>71</v>
      </c>
      <c r="G26" s="68">
        <f t="shared" ref="G26" si="2">+E24*0.4</f>
        <v>5.4000000000000006E-2</v>
      </c>
      <c r="H26" s="69"/>
      <c r="I26" s="70"/>
      <c r="J26" s="71">
        <v>0.59399999999999997</v>
      </c>
      <c r="K26" s="199"/>
      <c r="L26" s="199"/>
      <c r="M26" s="199"/>
      <c r="N26" s="199"/>
      <c r="O26" s="199"/>
      <c r="P26" s="204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07"/>
      <c r="C27" s="199"/>
      <c r="D27" s="199"/>
      <c r="E27" s="199"/>
      <c r="F27" s="67" t="s">
        <v>72</v>
      </c>
      <c r="G27" s="68">
        <f t="shared" ref="G27" si="3">IF(E24&lt;0.125,"NA",IF(0.125&lt;=E24,(0.8*E24)))</f>
        <v>0.10800000000000001</v>
      </c>
      <c r="H27" s="69"/>
      <c r="I27" s="70"/>
      <c r="J27" s="71">
        <v>0.66400000000000003</v>
      </c>
      <c r="K27" s="199"/>
      <c r="L27" s="199"/>
      <c r="M27" s="199"/>
      <c r="N27" s="199"/>
      <c r="O27" s="199"/>
      <c r="P27" s="204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147"/>
      <c r="C28" s="200"/>
      <c r="D28" s="200"/>
      <c r="E28" s="200"/>
      <c r="F28" s="72" t="s">
        <v>73</v>
      </c>
      <c r="G28" s="73">
        <f t="shared" ref="G28" si="4">+E24</f>
        <v>0.13500000000000001</v>
      </c>
      <c r="H28" s="74"/>
      <c r="I28" s="75"/>
      <c r="J28" s="76"/>
      <c r="K28" s="200"/>
      <c r="L28" s="200"/>
      <c r="M28" s="200"/>
      <c r="N28" s="200"/>
      <c r="O28" s="200"/>
      <c r="P28" s="205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06">
        <v>3</v>
      </c>
      <c r="C29" s="208">
        <f>+C24+$N$12</f>
        <v>2.15</v>
      </c>
      <c r="D29" s="198">
        <v>0.14000000000000001</v>
      </c>
      <c r="E29" s="198">
        <v>0.14699999999999999</v>
      </c>
      <c r="F29" s="62" t="s">
        <v>69</v>
      </c>
      <c r="G29" s="63">
        <v>0</v>
      </c>
      <c r="H29" s="64"/>
      <c r="I29" s="65"/>
      <c r="J29" s="66">
        <v>0.57199999999999995</v>
      </c>
      <c r="K29" s="198">
        <f t="shared" ref="K29" si="5">+IF(E29&lt;=0.12,(J31),(IF(E29&lt;0.16,((J30+2*J31+J32)/4),IF(E29&gt;=0.16,((J29+3*J30+2*J31+3*J32+J33)/10)))))</f>
        <v>0.69925000000000004</v>
      </c>
      <c r="L29" s="198">
        <f t="shared" ref="L29" si="6">ROUND(+(D24+D29)/2*(C29-C24),3)</f>
        <v>7.2999999999999995E-2</v>
      </c>
      <c r="M29" s="198">
        <f t="shared" ref="M29" si="7">ROUND(+K29*L29,4)</f>
        <v>5.0999999999999997E-2</v>
      </c>
      <c r="N29" s="201">
        <f>ROUND(+M29/$M$128*100,2)</f>
        <v>3.11</v>
      </c>
      <c r="O29" s="202"/>
      <c r="P29" s="20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07"/>
      <c r="C30" s="199"/>
      <c r="D30" s="199"/>
      <c r="E30" s="199"/>
      <c r="F30" s="67" t="s">
        <v>70</v>
      </c>
      <c r="G30" s="68">
        <f t="shared" ref="G30" si="8">IF(E29&lt;0.125,"NA",IF(0.125&lt;=E29,(0.2*E29)))</f>
        <v>2.9399999999999999E-2</v>
      </c>
      <c r="H30" s="69"/>
      <c r="I30" s="70"/>
      <c r="J30" s="71">
        <v>0.59299999999999997</v>
      </c>
      <c r="K30" s="199"/>
      <c r="L30" s="199"/>
      <c r="M30" s="199"/>
      <c r="N30" s="199"/>
      <c r="O30" s="199"/>
      <c r="P30" s="204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07"/>
      <c r="C31" s="199"/>
      <c r="D31" s="199"/>
      <c r="E31" s="199"/>
      <c r="F31" s="67" t="s">
        <v>71</v>
      </c>
      <c r="G31" s="68">
        <f t="shared" ref="G31" si="9">+E29*0.4</f>
        <v>5.8799999999999998E-2</v>
      </c>
      <c r="H31" s="69"/>
      <c r="I31" s="70"/>
      <c r="J31" s="71">
        <v>0.71699999999999997</v>
      </c>
      <c r="K31" s="199"/>
      <c r="L31" s="199"/>
      <c r="M31" s="199"/>
      <c r="N31" s="199"/>
      <c r="O31" s="199"/>
      <c r="P31" s="204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07"/>
      <c r="C32" s="199"/>
      <c r="D32" s="199"/>
      <c r="E32" s="199"/>
      <c r="F32" s="67" t="s">
        <v>72</v>
      </c>
      <c r="G32" s="68">
        <f t="shared" ref="G32" si="10">IF(E29&lt;0.125,"NA",IF(0.125&lt;=E29,(0.8*E29)))</f>
        <v>0.1176</v>
      </c>
      <c r="H32" s="69"/>
      <c r="I32" s="70"/>
      <c r="J32" s="71">
        <v>0.77</v>
      </c>
      <c r="K32" s="199"/>
      <c r="L32" s="199"/>
      <c r="M32" s="199"/>
      <c r="N32" s="199"/>
      <c r="O32" s="199"/>
      <c r="P32" s="204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147"/>
      <c r="C33" s="200"/>
      <c r="D33" s="200"/>
      <c r="E33" s="200"/>
      <c r="F33" s="72" t="s">
        <v>73</v>
      </c>
      <c r="G33" s="73">
        <f t="shared" ref="G33" si="11">+E29</f>
        <v>0.14699999999999999</v>
      </c>
      <c r="H33" s="74"/>
      <c r="I33" s="75"/>
      <c r="J33" s="76"/>
      <c r="K33" s="200"/>
      <c r="L33" s="200"/>
      <c r="M33" s="200"/>
      <c r="N33" s="200"/>
      <c r="O33" s="200"/>
      <c r="P33" s="205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06">
        <f>+B29+1</f>
        <v>4</v>
      </c>
      <c r="C34" s="208">
        <f>+C29+$N$12</f>
        <v>2.65</v>
      </c>
      <c r="D34" s="198">
        <v>0.20799999999999999</v>
      </c>
      <c r="E34" s="198">
        <v>0.16500000000000001</v>
      </c>
      <c r="F34" s="62" t="s">
        <v>69</v>
      </c>
      <c r="G34" s="63">
        <v>0</v>
      </c>
      <c r="H34" s="64"/>
      <c r="I34" s="65"/>
      <c r="J34" s="66">
        <v>0.61799999999999999</v>
      </c>
      <c r="K34" s="198">
        <f t="shared" ref="K34" si="12">+IF(E34&lt;=0.12,(J36),(IF(E34&lt;0.16,((J35+2*J36+J37)/4),IF(E34&gt;=0.16,((J34+3*J35+2*J36+3*J37+J38)/10)))))</f>
        <v>0.64459999999999995</v>
      </c>
      <c r="L34" s="198">
        <f t="shared" ref="L34" si="13">ROUND(+(D29+D34)/2*(C34-C29),3)</f>
        <v>8.6999999999999994E-2</v>
      </c>
      <c r="M34" s="198">
        <f t="shared" ref="M34" si="14">ROUND(+K34*L34,4)</f>
        <v>5.6099999999999997E-2</v>
      </c>
      <c r="N34" s="201">
        <f>ROUND(+M34/$M$128*100,2)</f>
        <v>3.42</v>
      </c>
      <c r="O34" s="202"/>
      <c r="P34" s="20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07"/>
      <c r="C35" s="199"/>
      <c r="D35" s="199"/>
      <c r="E35" s="199"/>
      <c r="F35" s="67" t="s">
        <v>70</v>
      </c>
      <c r="G35" s="68">
        <f t="shared" ref="G35" si="15">IF(E34&lt;0.125,"NA",IF(0.125&lt;=E34,(0.2*E34)))</f>
        <v>3.3000000000000002E-2</v>
      </c>
      <c r="H35" s="69"/>
      <c r="I35" s="70"/>
      <c r="J35" s="71">
        <v>0.59699999999999998</v>
      </c>
      <c r="K35" s="199"/>
      <c r="L35" s="199"/>
      <c r="M35" s="199"/>
      <c r="N35" s="199"/>
      <c r="O35" s="199"/>
      <c r="P35" s="204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07"/>
      <c r="C36" s="199"/>
      <c r="D36" s="199"/>
      <c r="E36" s="199"/>
      <c r="F36" s="67" t="s">
        <v>71</v>
      </c>
      <c r="G36" s="68">
        <f t="shared" ref="G36" si="16">+E34*0.4</f>
        <v>6.6000000000000003E-2</v>
      </c>
      <c r="H36" s="69"/>
      <c r="I36" s="70"/>
      <c r="J36" s="71">
        <v>0.75700000000000001</v>
      </c>
      <c r="K36" s="199"/>
      <c r="L36" s="199"/>
      <c r="M36" s="199"/>
      <c r="N36" s="199"/>
      <c r="O36" s="199"/>
      <c r="P36" s="204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07"/>
      <c r="C37" s="199"/>
      <c r="D37" s="199"/>
      <c r="E37" s="199"/>
      <c r="F37" s="67" t="s">
        <v>72</v>
      </c>
      <c r="G37" s="68">
        <f t="shared" ref="G37" si="17">IF(E34&lt;0.125,"NA",IF(0.125&lt;=E34,(0.8*E34)))</f>
        <v>0.13200000000000001</v>
      </c>
      <c r="H37" s="69"/>
      <c r="I37" s="70"/>
      <c r="J37" s="71">
        <v>0.84099999999999997</v>
      </c>
      <c r="K37" s="199"/>
      <c r="L37" s="199"/>
      <c r="M37" s="199"/>
      <c r="N37" s="199"/>
      <c r="O37" s="199"/>
      <c r="P37" s="204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147"/>
      <c r="C38" s="200"/>
      <c r="D38" s="200"/>
      <c r="E38" s="200"/>
      <c r="F38" s="72" t="s">
        <v>73</v>
      </c>
      <c r="G38" s="73">
        <f t="shared" ref="G38" si="18">+E34</f>
        <v>0.16500000000000001</v>
      </c>
      <c r="H38" s="74"/>
      <c r="I38" s="75"/>
      <c r="J38" s="76"/>
      <c r="K38" s="200"/>
      <c r="L38" s="200"/>
      <c r="M38" s="200"/>
      <c r="N38" s="200"/>
      <c r="O38" s="200"/>
      <c r="P38" s="205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06">
        <f t="shared" ref="B39" si="19">+B34+1</f>
        <v>5</v>
      </c>
      <c r="C39" s="208">
        <f t="shared" ref="C39" si="20">+C34+$N$12</f>
        <v>3.15</v>
      </c>
      <c r="D39" s="198">
        <v>0.25</v>
      </c>
      <c r="E39" s="198">
        <v>0.20799999999999999</v>
      </c>
      <c r="F39" s="62" t="s">
        <v>69</v>
      </c>
      <c r="G39" s="63">
        <v>0</v>
      </c>
      <c r="H39" s="64"/>
      <c r="I39" s="65"/>
      <c r="J39" s="66">
        <v>0.52600000000000002</v>
      </c>
      <c r="K39" s="198">
        <f t="shared" ref="K39" si="21">+IF(E39&lt;=0.12,(J41),(IF(E39&lt;0.16,((J40+2*J41+J42)/4),IF(E39&gt;=0.16,((J39+3*J40+2*J41+3*J42+J43)/10)))))</f>
        <v>0.73319999999999996</v>
      </c>
      <c r="L39" s="198">
        <f t="shared" ref="L39" si="22">ROUND(+(D34+D39)/2*(C39-C34),3)</f>
        <v>0.115</v>
      </c>
      <c r="M39" s="198">
        <f t="shared" ref="M39" si="23">ROUND(+K39*L39,4)</f>
        <v>8.43E-2</v>
      </c>
      <c r="N39" s="201">
        <f>ROUND(+M39/$M$128*100,2)</f>
        <v>5.13</v>
      </c>
      <c r="O39" s="202"/>
      <c r="P39" s="20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07"/>
      <c r="C40" s="199"/>
      <c r="D40" s="199"/>
      <c r="E40" s="199"/>
      <c r="F40" s="67" t="s">
        <v>70</v>
      </c>
      <c r="G40" s="68">
        <f t="shared" ref="G40" si="24">IF(E39&lt;0.125,"NA",IF(0.125&lt;=E39,(0.2*E39)))</f>
        <v>4.1599999999999998E-2</v>
      </c>
      <c r="H40" s="69"/>
      <c r="I40" s="70"/>
      <c r="J40" s="71">
        <v>0.61</v>
      </c>
      <c r="K40" s="199"/>
      <c r="L40" s="199"/>
      <c r="M40" s="199"/>
      <c r="N40" s="199"/>
      <c r="O40" s="199"/>
      <c r="P40" s="204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07"/>
      <c r="C41" s="199"/>
      <c r="D41" s="199"/>
      <c r="E41" s="199"/>
      <c r="F41" s="67" t="s">
        <v>71</v>
      </c>
      <c r="G41" s="68">
        <f t="shared" ref="G41" si="25">+E39*0.4</f>
        <v>8.3199999999999996E-2</v>
      </c>
      <c r="H41" s="69"/>
      <c r="I41" s="70"/>
      <c r="J41" s="71">
        <v>0.69</v>
      </c>
      <c r="K41" s="199"/>
      <c r="L41" s="199"/>
      <c r="M41" s="199"/>
      <c r="N41" s="199"/>
      <c r="O41" s="199"/>
      <c r="P41" s="204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07"/>
      <c r="C42" s="199"/>
      <c r="D42" s="199"/>
      <c r="E42" s="199"/>
      <c r="F42" s="67" t="s">
        <v>72</v>
      </c>
      <c r="G42" s="68">
        <f t="shared" ref="G42" si="26">IF(E39&lt;0.125,"NA",IF(0.125&lt;=E39,(0.8*E39)))</f>
        <v>0.16639999999999999</v>
      </c>
      <c r="H42" s="69"/>
      <c r="I42" s="70"/>
      <c r="J42" s="71">
        <v>0.90900000000000003</v>
      </c>
      <c r="K42" s="199"/>
      <c r="L42" s="199"/>
      <c r="M42" s="199"/>
      <c r="N42" s="199"/>
      <c r="O42" s="199"/>
      <c r="P42" s="204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147"/>
      <c r="C43" s="200"/>
      <c r="D43" s="200"/>
      <c r="E43" s="200"/>
      <c r="F43" s="72" t="s">
        <v>73</v>
      </c>
      <c r="G43" s="73">
        <f t="shared" ref="G43" si="27">+E39</f>
        <v>0.20799999999999999</v>
      </c>
      <c r="H43" s="74"/>
      <c r="I43" s="75"/>
      <c r="J43" s="76">
        <v>0.86899999999999999</v>
      </c>
      <c r="K43" s="200"/>
      <c r="L43" s="200"/>
      <c r="M43" s="200"/>
      <c r="N43" s="200"/>
      <c r="O43" s="200"/>
      <c r="P43" s="205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06">
        <f t="shared" ref="B44" si="28">+B39+1</f>
        <v>6</v>
      </c>
      <c r="C44" s="208">
        <f t="shared" ref="C44" si="29">+C39+$N$12</f>
        <v>3.65</v>
      </c>
      <c r="D44" s="198">
        <v>0.25800000000000001</v>
      </c>
      <c r="E44" s="198">
        <v>0.2</v>
      </c>
      <c r="F44" s="62" t="s">
        <v>69</v>
      </c>
      <c r="G44" s="63">
        <v>0</v>
      </c>
      <c r="H44" s="64"/>
      <c r="I44" s="65"/>
      <c r="J44" s="66">
        <v>1.6E-2</v>
      </c>
      <c r="K44" s="198">
        <f t="shared" ref="K44" si="30">+IF(E44&lt;=0.12,(J46),(IF(E44&lt;0.16,((J45+2*J46+J47)/4),IF(E44&gt;=0.16,((J44+3*J45+2*J46+3*J47+J48)/10)))))</f>
        <v>0.43869999999999998</v>
      </c>
      <c r="L44" s="198">
        <f t="shared" ref="L44" si="31">ROUND(+(D39+D44)/2*(C44-C39),3)</f>
        <v>0.127</v>
      </c>
      <c r="M44" s="198">
        <f t="shared" ref="M44" si="32">ROUND(+K44*L44,4)</f>
        <v>5.57E-2</v>
      </c>
      <c r="N44" s="201">
        <f>ROUND(+M44/$M$128*100,2)</f>
        <v>3.39</v>
      </c>
      <c r="O44" s="202"/>
      <c r="P44" s="20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07"/>
      <c r="C45" s="199"/>
      <c r="D45" s="199"/>
      <c r="E45" s="199"/>
      <c r="F45" s="67" t="s">
        <v>70</v>
      </c>
      <c r="G45" s="68">
        <f t="shared" ref="G45" si="33">IF(E44&lt;0.125,"NA",IF(0.125&lt;=E44,(0.2*E44)))</f>
        <v>4.0000000000000008E-2</v>
      </c>
      <c r="H45" s="69"/>
      <c r="I45" s="70"/>
      <c r="J45" s="71">
        <v>2.5000000000000001E-2</v>
      </c>
      <c r="K45" s="199"/>
      <c r="L45" s="199"/>
      <c r="M45" s="199"/>
      <c r="N45" s="199"/>
      <c r="O45" s="199"/>
      <c r="P45" s="204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07"/>
      <c r="C46" s="199"/>
      <c r="D46" s="199"/>
      <c r="E46" s="199"/>
      <c r="F46" s="67" t="s">
        <v>71</v>
      </c>
      <c r="G46" s="68">
        <f t="shared" ref="G46" si="34">+E44*0.4</f>
        <v>8.0000000000000016E-2</v>
      </c>
      <c r="H46" s="69"/>
      <c r="I46" s="70"/>
      <c r="J46" s="71">
        <v>0.59899999999999998</v>
      </c>
      <c r="K46" s="199"/>
      <c r="L46" s="199"/>
      <c r="M46" s="199"/>
      <c r="N46" s="199"/>
      <c r="O46" s="199"/>
      <c r="P46" s="204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07"/>
      <c r="C47" s="199"/>
      <c r="D47" s="199"/>
      <c r="E47" s="199"/>
      <c r="F47" s="67" t="s">
        <v>72</v>
      </c>
      <c r="G47" s="68">
        <f t="shared" ref="G47" si="35">IF(E44&lt;0.125,"NA",IF(0.125&lt;=E44,(0.8*E44)))</f>
        <v>0.16000000000000003</v>
      </c>
      <c r="H47" s="69"/>
      <c r="I47" s="70"/>
      <c r="J47" s="71">
        <v>0.74299999999999999</v>
      </c>
      <c r="K47" s="199"/>
      <c r="L47" s="199"/>
      <c r="M47" s="199"/>
      <c r="N47" s="199"/>
      <c r="O47" s="199"/>
      <c r="P47" s="204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147"/>
      <c r="C48" s="200"/>
      <c r="D48" s="200"/>
      <c r="E48" s="200"/>
      <c r="F48" s="72" t="s">
        <v>73</v>
      </c>
      <c r="G48" s="73">
        <f t="shared" ref="G48" si="36">+E44</f>
        <v>0.2</v>
      </c>
      <c r="H48" s="74"/>
      <c r="I48" s="75"/>
      <c r="J48" s="76">
        <v>0.86899999999999999</v>
      </c>
      <c r="K48" s="200"/>
      <c r="L48" s="200"/>
      <c r="M48" s="200"/>
      <c r="N48" s="200"/>
      <c r="O48" s="200"/>
      <c r="P48" s="205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06">
        <f t="shared" ref="B49" si="37">+B44+1</f>
        <v>7</v>
      </c>
      <c r="C49" s="208">
        <f t="shared" ref="C49" si="38">+C44+$N$12</f>
        <v>4.1500000000000004</v>
      </c>
      <c r="D49" s="198">
        <v>0.22700000000000001</v>
      </c>
      <c r="E49" s="198">
        <v>0.22700000000000001</v>
      </c>
      <c r="F49" s="62" t="s">
        <v>69</v>
      </c>
      <c r="G49" s="63">
        <v>0</v>
      </c>
      <c r="H49" s="64"/>
      <c r="I49" s="65"/>
      <c r="J49" s="66">
        <v>0.86199999999999999</v>
      </c>
      <c r="K49" s="198">
        <f t="shared" ref="K49" si="39">+IF(E49&lt;=0.12,(J51),(IF(E49&lt;0.16,((J50+2*J51+J52)/4),IF(E49&gt;=0.16,((J49+3*J50+2*J51+3*J52+J53)/10)))))</f>
        <v>0.86950000000000005</v>
      </c>
      <c r="L49" s="198">
        <f t="shared" ref="L49" si="40">ROUND(+(D44+D49)/2*(C49-C44),3)</f>
        <v>0.121</v>
      </c>
      <c r="M49" s="198">
        <f t="shared" ref="M49" si="41">ROUND(+K49*L49,4)</f>
        <v>0.1052</v>
      </c>
      <c r="N49" s="201">
        <f>ROUND(+M49/$M$128*100,2)</f>
        <v>6.41</v>
      </c>
      <c r="O49" s="202"/>
      <c r="P49" s="20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07"/>
      <c r="C50" s="199"/>
      <c r="D50" s="199"/>
      <c r="E50" s="199"/>
      <c r="F50" s="67" t="s">
        <v>70</v>
      </c>
      <c r="G50" s="68">
        <f t="shared" ref="G50" si="42">IF(E49&lt;0.125,"NA",IF(0.125&lt;=E49,(0.2*E49)))</f>
        <v>4.5400000000000003E-2</v>
      </c>
      <c r="H50" s="69"/>
      <c r="I50" s="70"/>
      <c r="J50" s="71">
        <v>0.94499999999999995</v>
      </c>
      <c r="K50" s="199"/>
      <c r="L50" s="199"/>
      <c r="M50" s="199"/>
      <c r="N50" s="199"/>
      <c r="O50" s="199"/>
      <c r="P50" s="204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07"/>
      <c r="C51" s="199"/>
      <c r="D51" s="199"/>
      <c r="E51" s="199"/>
      <c r="F51" s="67" t="s">
        <v>71</v>
      </c>
      <c r="G51" s="68">
        <f t="shared" ref="G51" si="43">+E49*0.4</f>
        <v>9.0800000000000006E-2</v>
      </c>
      <c r="H51" s="69"/>
      <c r="I51" s="70"/>
      <c r="J51" s="71">
        <v>1.0169999999999999</v>
      </c>
      <c r="K51" s="199"/>
      <c r="L51" s="199"/>
      <c r="M51" s="199"/>
      <c r="N51" s="199"/>
      <c r="O51" s="199"/>
      <c r="P51" s="204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07"/>
      <c r="C52" s="199"/>
      <c r="D52" s="199"/>
      <c r="E52" s="199"/>
      <c r="F52" s="67" t="s">
        <v>72</v>
      </c>
      <c r="G52" s="68">
        <f t="shared" ref="G52" si="44">IF(E49&lt;0.125,"NA",IF(0.125&lt;=E49,(0.8*E49)))</f>
        <v>0.18160000000000001</v>
      </c>
      <c r="H52" s="69"/>
      <c r="I52" s="70"/>
      <c r="J52" s="71">
        <v>0.98799999999999999</v>
      </c>
      <c r="K52" s="199"/>
      <c r="L52" s="199"/>
      <c r="M52" s="199"/>
      <c r="N52" s="199"/>
      <c r="O52" s="199"/>
      <c r="P52" s="204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147"/>
      <c r="C53" s="200"/>
      <c r="D53" s="200"/>
      <c r="E53" s="200"/>
      <c r="F53" s="72" t="s">
        <v>73</v>
      </c>
      <c r="G53" s="73">
        <f t="shared" ref="G53" si="45">+E49</f>
        <v>0.22700000000000001</v>
      </c>
      <c r="H53" s="74"/>
      <c r="I53" s="75"/>
      <c r="J53" s="76"/>
      <c r="K53" s="200"/>
      <c r="L53" s="200"/>
      <c r="M53" s="200"/>
      <c r="N53" s="200"/>
      <c r="O53" s="200"/>
      <c r="P53" s="205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06">
        <f t="shared" ref="B54" si="46">+B49+1</f>
        <v>8</v>
      </c>
      <c r="C54" s="208">
        <f t="shared" ref="C54" si="47">+C49+$N$12</f>
        <v>4.6500000000000004</v>
      </c>
      <c r="D54" s="198">
        <v>0.29799999999999999</v>
      </c>
      <c r="E54" s="198">
        <v>0.313</v>
      </c>
      <c r="F54" s="62" t="s">
        <v>69</v>
      </c>
      <c r="G54" s="63">
        <v>0</v>
      </c>
      <c r="H54" s="64"/>
      <c r="I54" s="65"/>
      <c r="J54" s="66">
        <v>0.34</v>
      </c>
      <c r="K54" s="198">
        <f t="shared" ref="K54" si="48">+IF(E54&lt;=0.12,(J56),(IF(E54&lt;0.16,((J55+2*J56+J57)/4),IF(E54&gt;=0.16,((J54+3*J55+2*J56+3*J57+J58)/10)))))</f>
        <v>0.88450000000000006</v>
      </c>
      <c r="L54" s="198">
        <f t="shared" ref="L54" si="49">ROUND(+(D49+D54)/2*(C54-C49),3)</f>
        <v>0.13100000000000001</v>
      </c>
      <c r="M54" s="198">
        <f t="shared" ref="M54" si="50">ROUND(+K54*L54,4)</f>
        <v>0.1159</v>
      </c>
      <c r="N54" s="201">
        <f>ROUND(+M54/$M$128*100,2)</f>
        <v>7.06</v>
      </c>
      <c r="O54" s="202"/>
      <c r="P54" s="20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07"/>
      <c r="C55" s="199"/>
      <c r="D55" s="199"/>
      <c r="E55" s="199"/>
      <c r="F55" s="67" t="s">
        <v>70</v>
      </c>
      <c r="G55" s="68">
        <f t="shared" ref="G55" si="51">IF(E54&lt;0.125,"NA",IF(0.125&lt;=E54,(0.2*E54)))</f>
        <v>6.2600000000000003E-2</v>
      </c>
      <c r="H55" s="69"/>
      <c r="I55" s="70"/>
      <c r="J55" s="71">
        <v>0.73199999999999998</v>
      </c>
      <c r="K55" s="199"/>
      <c r="L55" s="199"/>
      <c r="M55" s="199"/>
      <c r="N55" s="199"/>
      <c r="O55" s="199"/>
      <c r="P55" s="204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07"/>
      <c r="C56" s="199"/>
      <c r="D56" s="199"/>
      <c r="E56" s="199"/>
      <c r="F56" s="67" t="s">
        <v>71</v>
      </c>
      <c r="G56" s="68">
        <f t="shared" ref="G56" si="52">+E54*0.4</f>
        <v>0.12520000000000001</v>
      </c>
      <c r="H56" s="69"/>
      <c r="I56" s="70"/>
      <c r="J56" s="71">
        <v>0.78800000000000003</v>
      </c>
      <c r="K56" s="199"/>
      <c r="L56" s="199"/>
      <c r="M56" s="199"/>
      <c r="N56" s="199"/>
      <c r="O56" s="199"/>
      <c r="P56" s="204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07"/>
      <c r="C57" s="199"/>
      <c r="D57" s="199"/>
      <c r="E57" s="199"/>
      <c r="F57" s="67" t="s">
        <v>72</v>
      </c>
      <c r="G57" s="68">
        <f t="shared" ref="G57" si="53">IF(E54&lt;0.125,"NA",IF(0.125&lt;=E54,(0.8*E54)))</f>
        <v>0.25040000000000001</v>
      </c>
      <c r="H57" s="69"/>
      <c r="I57" s="70"/>
      <c r="J57" s="71">
        <v>1.212</v>
      </c>
      <c r="K57" s="199"/>
      <c r="L57" s="199"/>
      <c r="M57" s="199"/>
      <c r="N57" s="199"/>
      <c r="O57" s="199"/>
      <c r="P57" s="204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147"/>
      <c r="C58" s="200"/>
      <c r="D58" s="200"/>
      <c r="E58" s="200"/>
      <c r="F58" s="72" t="s">
        <v>73</v>
      </c>
      <c r="G58" s="73">
        <f t="shared" ref="G58" si="54">+E54</f>
        <v>0.313</v>
      </c>
      <c r="H58" s="74"/>
      <c r="I58" s="75"/>
      <c r="J58" s="76">
        <v>1.097</v>
      </c>
      <c r="K58" s="200"/>
      <c r="L58" s="200"/>
      <c r="M58" s="200"/>
      <c r="N58" s="200"/>
      <c r="O58" s="200"/>
      <c r="P58" s="205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06">
        <f t="shared" ref="B59" si="55">+B54+1</f>
        <v>9</v>
      </c>
      <c r="C59" s="208">
        <f t="shared" ref="C59" si="56">+C54+$N$12</f>
        <v>5.15</v>
      </c>
      <c r="D59" s="198">
        <v>0.25900000000000001</v>
      </c>
      <c r="E59" s="198">
        <v>0.28699999999999998</v>
      </c>
      <c r="F59" s="62" t="s">
        <v>69</v>
      </c>
      <c r="G59" s="63">
        <v>0</v>
      </c>
      <c r="H59" s="64"/>
      <c r="I59" s="65"/>
      <c r="J59" s="66">
        <v>0.78</v>
      </c>
      <c r="K59" s="198">
        <f t="shared" ref="K59" si="57">+IF(E59&lt;=0.12,(J61),(IF(E59&lt;0.16,((J60+2*J61+J62)/4),IF(E59&gt;=0.16,((J59+3*J60+2*J61+3*J62+J63)/10)))))</f>
        <v>1.2303999999999999</v>
      </c>
      <c r="L59" s="198">
        <f t="shared" ref="L59" si="58">ROUND(+(D54+D59)/2*(C59-C54),3)</f>
        <v>0.13900000000000001</v>
      </c>
      <c r="M59" s="198">
        <f t="shared" ref="M59" si="59">ROUND(+K59*L59,4)</f>
        <v>0.17100000000000001</v>
      </c>
      <c r="N59" s="201">
        <f>ROUND(+M59/$M$128*100,2)</f>
        <v>10.41</v>
      </c>
      <c r="O59" s="202"/>
      <c r="P59" s="20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07"/>
      <c r="C60" s="199"/>
      <c r="D60" s="199"/>
      <c r="E60" s="199"/>
      <c r="F60" s="67" t="s">
        <v>70</v>
      </c>
      <c r="G60" s="68">
        <f t="shared" ref="G60" si="60">IF(E59&lt;0.125,"NA",IF(0.125&lt;=E59,(0.2*E59)))</f>
        <v>5.74E-2</v>
      </c>
      <c r="H60" s="69"/>
      <c r="I60" s="70"/>
      <c r="J60" s="71">
        <v>1.1819999999999999</v>
      </c>
      <c r="K60" s="199"/>
      <c r="L60" s="199"/>
      <c r="M60" s="199"/>
      <c r="N60" s="199"/>
      <c r="O60" s="199"/>
      <c r="P60" s="204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07"/>
      <c r="C61" s="199"/>
      <c r="D61" s="199"/>
      <c r="E61" s="199"/>
      <c r="F61" s="67" t="s">
        <v>71</v>
      </c>
      <c r="G61" s="68">
        <f t="shared" ref="G61" si="61">+E59*0.4</f>
        <v>0.1148</v>
      </c>
      <c r="H61" s="69"/>
      <c r="I61" s="70"/>
      <c r="J61" s="71">
        <v>1.2490000000000001</v>
      </c>
      <c r="K61" s="199"/>
      <c r="L61" s="199"/>
      <c r="M61" s="199"/>
      <c r="N61" s="199"/>
      <c r="O61" s="199"/>
      <c r="P61" s="204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07"/>
      <c r="C62" s="199"/>
      <c r="D62" s="199"/>
      <c r="E62" s="199"/>
      <c r="F62" s="67" t="s">
        <v>72</v>
      </c>
      <c r="G62" s="68">
        <f t="shared" ref="G62" si="62">IF(E59&lt;0.125,"NA",IF(0.125&lt;=E59,(0.8*E59)))</f>
        <v>0.2296</v>
      </c>
      <c r="H62" s="69"/>
      <c r="I62" s="70"/>
      <c r="J62" s="71">
        <v>1.4159999999999999</v>
      </c>
      <c r="K62" s="199"/>
      <c r="L62" s="199"/>
      <c r="M62" s="199"/>
      <c r="N62" s="199"/>
      <c r="O62" s="199"/>
      <c r="P62" s="204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147"/>
      <c r="C63" s="200"/>
      <c r="D63" s="200"/>
      <c r="E63" s="200"/>
      <c r="F63" s="72" t="s">
        <v>73</v>
      </c>
      <c r="G63" s="73">
        <f t="shared" ref="G63" si="63">+E59</f>
        <v>0.28699999999999998</v>
      </c>
      <c r="H63" s="74"/>
      <c r="I63" s="75"/>
      <c r="J63" s="76">
        <v>1.232</v>
      </c>
      <c r="K63" s="200"/>
      <c r="L63" s="200"/>
      <c r="M63" s="200"/>
      <c r="N63" s="200"/>
      <c r="O63" s="200"/>
      <c r="P63" s="205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06">
        <f t="shared" ref="B64" si="64">+B59+1</f>
        <v>10</v>
      </c>
      <c r="C64" s="208">
        <f t="shared" ref="C64" si="65">+C59+$N$12</f>
        <v>5.65</v>
      </c>
      <c r="D64" s="198">
        <v>0.35899999999999999</v>
      </c>
      <c r="E64" s="198">
        <v>0.39100000000000001</v>
      </c>
      <c r="F64" s="62" t="s">
        <v>69</v>
      </c>
      <c r="G64" s="63">
        <v>0</v>
      </c>
      <c r="H64" s="64"/>
      <c r="I64" s="65"/>
      <c r="J64" s="66"/>
      <c r="K64" s="198"/>
      <c r="L64" s="198"/>
      <c r="M64" s="198"/>
      <c r="N64" s="201"/>
      <c r="O64" s="202"/>
      <c r="P64" s="20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07"/>
      <c r="C65" s="199"/>
      <c r="D65" s="199"/>
      <c r="E65" s="199"/>
      <c r="F65" s="67" t="s">
        <v>70</v>
      </c>
      <c r="G65" s="68">
        <f t="shared" ref="G65" si="66">IF(E64&lt;0.125,"NA",IF(0.125&lt;=E64,(0.2*E64)))</f>
        <v>7.8200000000000006E-2</v>
      </c>
      <c r="H65" s="69"/>
      <c r="I65" s="70"/>
      <c r="J65" s="71"/>
      <c r="K65" s="199"/>
      <c r="L65" s="199"/>
      <c r="M65" s="199"/>
      <c r="N65" s="199"/>
      <c r="O65" s="199"/>
      <c r="P65" s="204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07"/>
      <c r="C66" s="199"/>
      <c r="D66" s="199"/>
      <c r="E66" s="199"/>
      <c r="F66" s="67" t="s">
        <v>71</v>
      </c>
      <c r="G66" s="68">
        <f t="shared" ref="G66" si="67">+E64*0.4</f>
        <v>0.15640000000000001</v>
      </c>
      <c r="H66" s="69"/>
      <c r="I66" s="70"/>
      <c r="J66" s="71"/>
      <c r="K66" s="199"/>
      <c r="L66" s="199"/>
      <c r="M66" s="199"/>
      <c r="N66" s="199"/>
      <c r="O66" s="199"/>
      <c r="P66" s="204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07"/>
      <c r="C67" s="199"/>
      <c r="D67" s="199"/>
      <c r="E67" s="199"/>
      <c r="F67" s="67" t="s">
        <v>72</v>
      </c>
      <c r="G67" s="68">
        <f t="shared" ref="G67" si="68">IF(E64&lt;0.125,"NA",IF(0.125&lt;=E64,(0.8*E64)))</f>
        <v>0.31280000000000002</v>
      </c>
      <c r="H67" s="69"/>
      <c r="I67" s="70"/>
      <c r="J67" s="71"/>
      <c r="K67" s="199"/>
      <c r="L67" s="199"/>
      <c r="M67" s="199"/>
      <c r="N67" s="199"/>
      <c r="O67" s="199"/>
      <c r="P67" s="204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147"/>
      <c r="C68" s="200"/>
      <c r="D68" s="200"/>
      <c r="E68" s="200"/>
      <c r="F68" s="72" t="s">
        <v>73</v>
      </c>
      <c r="G68" s="73">
        <f t="shared" ref="G68" si="69">+E64</f>
        <v>0.39100000000000001</v>
      </c>
      <c r="H68" s="74"/>
      <c r="I68" s="75"/>
      <c r="J68" s="76"/>
      <c r="K68" s="200"/>
      <c r="L68" s="200"/>
      <c r="M68" s="200"/>
      <c r="N68" s="200"/>
      <c r="O68" s="200"/>
      <c r="P68" s="205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06">
        <f t="shared" ref="B69" si="70">+B64+1</f>
        <v>11</v>
      </c>
      <c r="C69" s="208">
        <f t="shared" ref="C69" si="71">+C64+$N$12</f>
        <v>6.15</v>
      </c>
      <c r="D69" s="198">
        <v>0.30099999999999999</v>
      </c>
      <c r="E69" s="198">
        <v>0.32600000000000001</v>
      </c>
      <c r="F69" s="62" t="s">
        <v>69</v>
      </c>
      <c r="G69" s="63">
        <v>0</v>
      </c>
      <c r="H69" s="64"/>
      <c r="I69" s="65"/>
      <c r="J69" s="66">
        <v>0.70799999999999996</v>
      </c>
      <c r="K69" s="198">
        <f t="shared" ref="K69" si="72">+IF(E69&lt;=0.12,(J71),(IF(E69&lt;0.16,((J70+2*J71+J72)/4),IF(E69&gt;=0.16,((J69+3*J70+2*J71+3*J72+J73)/10)))))</f>
        <v>1.2802</v>
      </c>
      <c r="L69" s="198">
        <f t="shared" ref="L69" si="73">ROUND(+(D64+D69)/2*(C69-C64),3)</f>
        <v>0.16500000000000001</v>
      </c>
      <c r="M69" s="198">
        <f t="shared" ref="M69" si="74">ROUND(+K69*L69,4)</f>
        <v>0.2112</v>
      </c>
      <c r="N69" s="201">
        <f>ROUND(+M69/$M$128*100,2)</f>
        <v>12.86</v>
      </c>
      <c r="O69" s="202"/>
      <c r="P69" s="20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07"/>
      <c r="C70" s="199"/>
      <c r="D70" s="199"/>
      <c r="E70" s="199"/>
      <c r="F70" s="67" t="s">
        <v>70</v>
      </c>
      <c r="G70" s="68">
        <f t="shared" ref="G70" si="75">IF(E69&lt;0.125,"NA",IF(0.125&lt;=E69,(0.2*E69)))</f>
        <v>6.5200000000000008E-2</v>
      </c>
      <c r="H70" s="69"/>
      <c r="I70" s="70"/>
      <c r="J70" s="71">
        <v>1.0389999999999999</v>
      </c>
      <c r="K70" s="199"/>
      <c r="L70" s="199"/>
      <c r="M70" s="199"/>
      <c r="N70" s="199"/>
      <c r="O70" s="199"/>
      <c r="P70" s="204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07"/>
      <c r="C71" s="199"/>
      <c r="D71" s="199"/>
      <c r="E71" s="199"/>
      <c r="F71" s="67" t="s">
        <v>71</v>
      </c>
      <c r="G71" s="68">
        <f t="shared" ref="G71" si="76">+E69*0.4</f>
        <v>0.13040000000000002</v>
      </c>
      <c r="H71" s="69"/>
      <c r="I71" s="70"/>
      <c r="J71" s="71">
        <v>1.4350000000000001</v>
      </c>
      <c r="K71" s="199"/>
      <c r="L71" s="199"/>
      <c r="M71" s="199"/>
      <c r="N71" s="199"/>
      <c r="O71" s="199"/>
      <c r="P71" s="204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07"/>
      <c r="C72" s="199"/>
      <c r="D72" s="199"/>
      <c r="E72" s="199"/>
      <c r="F72" s="67" t="s">
        <v>72</v>
      </c>
      <c r="G72" s="68">
        <f t="shared" ref="G72" si="77">IF(E69&lt;0.125,"NA",IF(0.125&lt;=E69,(0.8*E69)))</f>
        <v>0.26080000000000003</v>
      </c>
      <c r="H72" s="69"/>
      <c r="I72" s="70"/>
      <c r="J72" s="71">
        <v>1.53</v>
      </c>
      <c r="K72" s="199"/>
      <c r="L72" s="199"/>
      <c r="M72" s="199"/>
      <c r="N72" s="199"/>
      <c r="O72" s="199"/>
      <c r="P72" s="204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147"/>
      <c r="C73" s="200"/>
      <c r="D73" s="200"/>
      <c r="E73" s="200"/>
      <c r="F73" s="72" t="s">
        <v>73</v>
      </c>
      <c r="G73" s="73">
        <f t="shared" ref="G73" si="78">+E69</f>
        <v>0.32600000000000001</v>
      </c>
      <c r="H73" s="74"/>
      <c r="I73" s="75"/>
      <c r="J73" s="76">
        <v>1.5169999999999999</v>
      </c>
      <c r="K73" s="200"/>
      <c r="L73" s="200"/>
      <c r="M73" s="200"/>
      <c r="N73" s="200"/>
      <c r="O73" s="200"/>
      <c r="P73" s="205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06">
        <f t="shared" ref="B74" si="79">+B69+1</f>
        <v>12</v>
      </c>
      <c r="C74" s="208">
        <f t="shared" ref="C74" si="80">+C69+$N$12</f>
        <v>6.65</v>
      </c>
      <c r="D74" s="198">
        <v>0.378</v>
      </c>
      <c r="E74" s="198">
        <v>0.28299999999999997</v>
      </c>
      <c r="F74" s="62" t="s">
        <v>69</v>
      </c>
      <c r="G74" s="63">
        <v>0</v>
      </c>
      <c r="H74" s="64"/>
      <c r="I74" s="65"/>
      <c r="J74" s="66">
        <v>1.071</v>
      </c>
      <c r="K74" s="198">
        <f t="shared" ref="K74" si="81">+IF(E74&lt;=0.12,(J76),(IF(E74&lt;0.16,((J75+2*J76+J77)/4),IF(E74&gt;=0.16,((J74+3*J75+2*J76+3*J77+J78)/10)))))</f>
        <v>1.1297000000000001</v>
      </c>
      <c r="L74" s="198">
        <f t="shared" ref="L74" si="82">ROUND(+(D69+D74)/2*(C74-C69),3)</f>
        <v>0.17</v>
      </c>
      <c r="M74" s="198">
        <f t="shared" ref="M74" si="83">ROUND(+K74*L74,4)</f>
        <v>0.192</v>
      </c>
      <c r="N74" s="201">
        <f>ROUND(+M74/$M$128*100,2)</f>
        <v>11.69</v>
      </c>
      <c r="O74" s="202"/>
      <c r="P74" s="20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07"/>
      <c r="C75" s="199"/>
      <c r="D75" s="199"/>
      <c r="E75" s="199"/>
      <c r="F75" s="67" t="s">
        <v>70</v>
      </c>
      <c r="G75" s="68">
        <f t="shared" ref="G75" si="84">IF(E74&lt;0.125,"NA",IF(0.125&lt;=E74,(0.2*E74)))</f>
        <v>5.6599999999999998E-2</v>
      </c>
      <c r="H75" s="69"/>
      <c r="I75" s="70"/>
      <c r="J75" s="71">
        <v>1.04</v>
      </c>
      <c r="K75" s="199"/>
      <c r="L75" s="199"/>
      <c r="M75" s="199"/>
      <c r="N75" s="199"/>
      <c r="O75" s="199"/>
      <c r="P75" s="204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07"/>
      <c r="C76" s="199"/>
      <c r="D76" s="199"/>
      <c r="E76" s="199"/>
      <c r="F76" s="67" t="s">
        <v>71</v>
      </c>
      <c r="G76" s="68">
        <f t="shared" ref="G76" si="85">+E74*0.4</f>
        <v>0.1132</v>
      </c>
      <c r="H76" s="69"/>
      <c r="I76" s="70"/>
      <c r="J76" s="71">
        <v>1.21</v>
      </c>
      <c r="K76" s="199"/>
      <c r="L76" s="199"/>
      <c r="M76" s="199"/>
      <c r="N76" s="199"/>
      <c r="O76" s="199"/>
      <c r="P76" s="204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07"/>
      <c r="C77" s="199"/>
      <c r="D77" s="199"/>
      <c r="E77" s="199"/>
      <c r="F77" s="67" t="s">
        <v>72</v>
      </c>
      <c r="G77" s="68">
        <f t="shared" ref="G77" si="86">IF(E74&lt;0.125,"NA",IF(0.125&lt;=E74,(0.8*E74)))</f>
        <v>0.22639999999999999</v>
      </c>
      <c r="H77" s="69"/>
      <c r="I77" s="70"/>
      <c r="J77" s="71">
        <v>1.2230000000000001</v>
      </c>
      <c r="K77" s="199"/>
      <c r="L77" s="199"/>
      <c r="M77" s="199"/>
      <c r="N77" s="199"/>
      <c r="O77" s="199"/>
      <c r="P77" s="204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147"/>
      <c r="C78" s="200"/>
      <c r="D78" s="200"/>
      <c r="E78" s="200"/>
      <c r="F78" s="72" t="s">
        <v>73</v>
      </c>
      <c r="G78" s="73">
        <f t="shared" ref="G78" si="87">+E74</f>
        <v>0.28299999999999997</v>
      </c>
      <c r="H78" s="74"/>
      <c r="I78" s="75"/>
      <c r="J78" s="76">
        <v>1.0169999999999999</v>
      </c>
      <c r="K78" s="200"/>
      <c r="L78" s="200"/>
      <c r="M78" s="200"/>
      <c r="N78" s="200"/>
      <c r="O78" s="200"/>
      <c r="P78" s="205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06">
        <f>B74+1</f>
        <v>13</v>
      </c>
      <c r="C79" s="208">
        <f t="shared" ref="C79" si="88">+C74+$N$12</f>
        <v>7.15</v>
      </c>
      <c r="D79" s="198">
        <v>0.35799999999999998</v>
      </c>
      <c r="E79" s="198">
        <v>0.32500000000000001</v>
      </c>
      <c r="F79" s="62" t="s">
        <v>69</v>
      </c>
      <c r="G79" s="63">
        <v>0</v>
      </c>
      <c r="H79" s="64"/>
      <c r="I79" s="65"/>
      <c r="J79" s="66">
        <v>0.74399999999999999</v>
      </c>
      <c r="K79" s="198">
        <f t="shared" ref="K79" si="89">+IF(E79&lt;=0.12,(J81),(IF(E79&lt;0.16,((J80+2*J81+J82)/4),IF(E79&gt;=0.16,((J79+3*J80+2*J81+3*J82+J83)/10)))))</f>
        <v>0.86940000000000006</v>
      </c>
      <c r="L79" s="198">
        <f t="shared" ref="L79" si="90">ROUND(+(D74+D79)/2*(C79-C74),3)</f>
        <v>0.184</v>
      </c>
      <c r="M79" s="198">
        <f t="shared" ref="M79" si="91">ROUND(+K79*L79,4)</f>
        <v>0.16</v>
      </c>
      <c r="N79" s="201">
        <f>ROUND(+M79/$M$128*100,2)</f>
        <v>9.74</v>
      </c>
      <c r="O79" s="202"/>
      <c r="P79" s="20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07"/>
      <c r="C80" s="199"/>
      <c r="D80" s="199"/>
      <c r="E80" s="199"/>
      <c r="F80" s="67" t="s">
        <v>70</v>
      </c>
      <c r="G80" s="68">
        <f t="shared" ref="G80" si="92">IF(E79&lt;0.125,"NA",IF(0.125&lt;=E79,(0.2*E79)))</f>
        <v>6.5000000000000002E-2</v>
      </c>
      <c r="H80" s="69"/>
      <c r="I80" s="70"/>
      <c r="J80" s="71">
        <v>0.65500000000000003</v>
      </c>
      <c r="K80" s="199"/>
      <c r="L80" s="199"/>
      <c r="M80" s="199"/>
      <c r="N80" s="199"/>
      <c r="O80" s="199"/>
      <c r="P80" s="204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07"/>
      <c r="C81" s="199"/>
      <c r="D81" s="199"/>
      <c r="E81" s="199"/>
      <c r="F81" s="67" t="s">
        <v>71</v>
      </c>
      <c r="G81" s="68">
        <f t="shared" ref="G81" si="93">+E79*0.4</f>
        <v>0.13</v>
      </c>
      <c r="H81" s="69"/>
      <c r="I81" s="70"/>
      <c r="J81" s="71">
        <v>0.88500000000000001</v>
      </c>
      <c r="K81" s="199"/>
      <c r="L81" s="199"/>
      <c r="M81" s="199"/>
      <c r="N81" s="199"/>
      <c r="O81" s="199"/>
      <c r="P81" s="204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07"/>
      <c r="C82" s="199"/>
      <c r="D82" s="199"/>
      <c r="E82" s="199"/>
      <c r="F82" s="67" t="s">
        <v>72</v>
      </c>
      <c r="G82" s="68">
        <f t="shared" ref="G82" si="94">IF(E79&lt;0.125,"NA",IF(0.125&lt;=E79,(0.8*E79)))</f>
        <v>0.26</v>
      </c>
      <c r="H82" s="69"/>
      <c r="I82" s="70"/>
      <c r="J82" s="71">
        <v>1.042</v>
      </c>
      <c r="K82" s="199"/>
      <c r="L82" s="199"/>
      <c r="M82" s="199"/>
      <c r="N82" s="199"/>
      <c r="O82" s="199"/>
      <c r="P82" s="204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147"/>
      <c r="C83" s="200"/>
      <c r="D83" s="200"/>
      <c r="E83" s="200"/>
      <c r="F83" s="72" t="s">
        <v>73</v>
      </c>
      <c r="G83" s="73">
        <f t="shared" ref="G83" si="95">+E79</f>
        <v>0.32500000000000001</v>
      </c>
      <c r="H83" s="74"/>
      <c r="I83" s="75"/>
      <c r="J83" s="76">
        <v>1.089</v>
      </c>
      <c r="K83" s="200"/>
      <c r="L83" s="200"/>
      <c r="M83" s="200"/>
      <c r="N83" s="200"/>
      <c r="O83" s="200"/>
      <c r="P83" s="205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06">
        <f>B79+1</f>
        <v>14</v>
      </c>
      <c r="C84" s="208">
        <f t="shared" ref="C84" si="96">+C79+$N$12</f>
        <v>7.65</v>
      </c>
      <c r="D84" s="198">
        <v>0.23</v>
      </c>
      <c r="E84" s="198">
        <v>0.29899999999999999</v>
      </c>
      <c r="F84" s="62" t="s">
        <v>69</v>
      </c>
      <c r="G84" s="63">
        <v>0</v>
      </c>
      <c r="H84" s="64"/>
      <c r="I84" s="65"/>
      <c r="J84" s="66">
        <v>0.20799999999999999</v>
      </c>
      <c r="K84" s="198">
        <f t="shared" ref="K84" si="97">+IF(E84&lt;=0.12,(J86),(IF(E84&lt;0.16,((J85+2*J86+J87)/4),IF(E84&gt;=0.16,((J84+3*J85+2*J86+3*J87+J88)/10)))))</f>
        <v>0.84809999999999997</v>
      </c>
      <c r="L84" s="198">
        <f t="shared" ref="L84" si="98">ROUND(+(D79+D84)/2*(C84-C79),3)</f>
        <v>0.14699999999999999</v>
      </c>
      <c r="M84" s="198">
        <f t="shared" ref="M84" si="99">ROUND(+K84*L84,4)</f>
        <v>0.12470000000000001</v>
      </c>
      <c r="N84" s="201">
        <f>ROUND(+M84/$M$128*100,2)</f>
        <v>7.59</v>
      </c>
      <c r="O84" s="202"/>
      <c r="P84" s="20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07"/>
      <c r="C85" s="199"/>
      <c r="D85" s="199"/>
      <c r="E85" s="199"/>
      <c r="F85" s="67" t="s">
        <v>70</v>
      </c>
      <c r="G85" s="68">
        <f t="shared" ref="G85" si="100">IF(E84&lt;0.125,"NA",IF(0.125&lt;=E84,(0.2*E84)))</f>
        <v>5.9799999999999999E-2</v>
      </c>
      <c r="H85" s="69"/>
      <c r="I85" s="70"/>
      <c r="J85" s="71">
        <v>0.70299999999999996</v>
      </c>
      <c r="K85" s="199"/>
      <c r="L85" s="199"/>
      <c r="M85" s="199"/>
      <c r="N85" s="199"/>
      <c r="O85" s="199"/>
      <c r="P85" s="204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07"/>
      <c r="C86" s="199"/>
      <c r="D86" s="199"/>
      <c r="E86" s="199"/>
      <c r="F86" s="67" t="s">
        <v>71</v>
      </c>
      <c r="G86" s="68">
        <f t="shared" ref="G86" si="101">+E84*0.4</f>
        <v>0.1196</v>
      </c>
      <c r="H86" s="69"/>
      <c r="I86" s="70"/>
      <c r="J86" s="71">
        <v>0.94399999999999995</v>
      </c>
      <c r="K86" s="199"/>
      <c r="L86" s="199"/>
      <c r="M86" s="199"/>
      <c r="N86" s="199"/>
      <c r="O86" s="199"/>
      <c r="P86" s="204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07"/>
      <c r="C87" s="199"/>
      <c r="D87" s="199"/>
      <c r="E87" s="199"/>
      <c r="F87" s="67" t="s">
        <v>72</v>
      </c>
      <c r="G87" s="68">
        <f t="shared" ref="G87" si="102">IF(E84&lt;0.125,"NA",IF(0.125&lt;=E84,(0.8*E84)))</f>
        <v>0.2392</v>
      </c>
      <c r="H87" s="69"/>
      <c r="I87" s="70"/>
      <c r="J87" s="71">
        <v>1.026</v>
      </c>
      <c r="K87" s="199"/>
      <c r="L87" s="199"/>
      <c r="M87" s="199"/>
      <c r="N87" s="199"/>
      <c r="O87" s="199"/>
      <c r="P87" s="204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147"/>
      <c r="C88" s="200"/>
      <c r="D88" s="200"/>
      <c r="E88" s="200"/>
      <c r="F88" s="72" t="s">
        <v>73</v>
      </c>
      <c r="G88" s="73">
        <f t="shared" ref="G88" si="103">+E84</f>
        <v>0.29899999999999999</v>
      </c>
      <c r="H88" s="74"/>
      <c r="I88" s="75"/>
      <c r="J88" s="76">
        <v>1.198</v>
      </c>
      <c r="K88" s="200"/>
      <c r="L88" s="200"/>
      <c r="M88" s="200"/>
      <c r="N88" s="200"/>
      <c r="O88" s="200"/>
      <c r="P88" s="205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06">
        <f>B84+1</f>
        <v>15</v>
      </c>
      <c r="C89" s="208">
        <f t="shared" ref="C89" si="104">+C84+$N$12</f>
        <v>8.15</v>
      </c>
      <c r="D89" s="198">
        <v>0.19500000000000001</v>
      </c>
      <c r="E89" s="198">
        <v>0.21299999999999999</v>
      </c>
      <c r="F89" s="62" t="s">
        <v>69</v>
      </c>
      <c r="G89" s="63">
        <v>0</v>
      </c>
      <c r="H89" s="64"/>
      <c r="I89" s="65"/>
      <c r="J89" s="66">
        <v>0.31</v>
      </c>
      <c r="K89" s="198">
        <f t="shared" ref="K89" si="105">+IF(E89&lt;=0.12,(J91),(IF(E89&lt;0.16,((J90+2*J91+J92)/4),IF(E89&gt;=0.16,((J89+3*J90+2*J91+3*J92+J93)/10)))))</f>
        <v>0.64910000000000001</v>
      </c>
      <c r="L89" s="198">
        <f t="shared" ref="L89" si="106">ROUND(+(D84+D89)/2*(C89-C84),3)</f>
        <v>0.106</v>
      </c>
      <c r="M89" s="198">
        <f t="shared" ref="M89" si="107">ROUND(+K89*L89,4)</f>
        <v>6.88E-2</v>
      </c>
      <c r="N89" s="201">
        <f>ROUND(+M89/$M$128*100,2)</f>
        <v>4.1900000000000004</v>
      </c>
      <c r="O89" s="202"/>
      <c r="P89" s="20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07"/>
      <c r="C90" s="199"/>
      <c r="D90" s="199"/>
      <c r="E90" s="199"/>
      <c r="F90" s="67" t="s">
        <v>70</v>
      </c>
      <c r="G90" s="68">
        <f t="shared" ref="G90" si="108">IF(E89&lt;0.125,"NA",IF(0.125&lt;=E89,(0.2*E89)))</f>
        <v>4.2599999999999999E-2</v>
      </c>
      <c r="H90" s="69"/>
      <c r="I90" s="70"/>
      <c r="J90" s="71">
        <v>0.57299999999999995</v>
      </c>
      <c r="K90" s="199"/>
      <c r="L90" s="199"/>
      <c r="M90" s="199"/>
      <c r="N90" s="199"/>
      <c r="O90" s="199"/>
      <c r="P90" s="204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07"/>
      <c r="C91" s="199"/>
      <c r="D91" s="199"/>
      <c r="E91" s="199"/>
      <c r="F91" s="67" t="s">
        <v>71</v>
      </c>
      <c r="G91" s="68">
        <f t="shared" ref="G91" si="109">+E89*0.4</f>
        <v>8.5199999999999998E-2</v>
      </c>
      <c r="H91" s="69"/>
      <c r="I91" s="70"/>
      <c r="J91" s="71">
        <v>0.69899999999999995</v>
      </c>
      <c r="K91" s="199"/>
      <c r="L91" s="199"/>
      <c r="M91" s="199"/>
      <c r="N91" s="199"/>
      <c r="O91" s="199"/>
      <c r="P91" s="204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07"/>
      <c r="C92" s="199"/>
      <c r="D92" s="199"/>
      <c r="E92" s="199"/>
      <c r="F92" s="67" t="s">
        <v>72</v>
      </c>
      <c r="G92" s="68">
        <f t="shared" ref="G92" si="110">IF(E89&lt;0.125,"NA",IF(0.125&lt;=E89,(0.8*E89)))</f>
        <v>0.1704</v>
      </c>
      <c r="H92" s="69"/>
      <c r="I92" s="70"/>
      <c r="J92" s="71">
        <v>0.79200000000000004</v>
      </c>
      <c r="K92" s="199"/>
      <c r="L92" s="199"/>
      <c r="M92" s="199"/>
      <c r="N92" s="199"/>
      <c r="O92" s="199"/>
      <c r="P92" s="204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147"/>
      <c r="C93" s="200"/>
      <c r="D93" s="200"/>
      <c r="E93" s="200"/>
      <c r="F93" s="72" t="s">
        <v>73</v>
      </c>
      <c r="G93" s="73">
        <f t="shared" ref="G93" si="111">+E89</f>
        <v>0.21299999999999999</v>
      </c>
      <c r="H93" s="74"/>
      <c r="I93" s="75"/>
      <c r="J93" s="76">
        <v>0.68799999999999994</v>
      </c>
      <c r="K93" s="200"/>
      <c r="L93" s="200"/>
      <c r="M93" s="200"/>
      <c r="N93" s="200"/>
      <c r="O93" s="200"/>
      <c r="P93" s="205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61" customFormat="1" ht="13.5" customHeight="1" x14ac:dyDescent="0.25">
      <c r="A94" s="53"/>
      <c r="B94" s="206">
        <f>B89+1</f>
        <v>16</v>
      </c>
      <c r="C94" s="208">
        <f t="shared" ref="C94" si="112">+C89+$N$12</f>
        <v>8.65</v>
      </c>
      <c r="D94" s="198">
        <v>0.157</v>
      </c>
      <c r="E94" s="198">
        <v>0.16200000000000001</v>
      </c>
      <c r="F94" s="62" t="s">
        <v>69</v>
      </c>
      <c r="G94" s="63">
        <v>0</v>
      </c>
      <c r="H94" s="64"/>
      <c r="I94" s="65"/>
      <c r="J94" s="66">
        <v>0.19400000000000001</v>
      </c>
      <c r="K94" s="198">
        <f t="shared" ref="K94" si="113">+IF(E94&lt;=0.12,(J96),(IF(E94&lt;0.16,((J95+2*J96+J97)/4),IF(E94&gt;=0.16,((J94+3*J95+2*J96+3*J97+J98)/10)))))</f>
        <v>0.18190000000000001</v>
      </c>
      <c r="L94" s="198">
        <f t="shared" ref="L94" si="114">ROUND(+(D89+D94)/2*(C94-C89),3)</f>
        <v>8.7999999999999995E-2</v>
      </c>
      <c r="M94" s="198">
        <f t="shared" ref="M94" si="115">ROUND(+K94*L94,4)</f>
        <v>1.6E-2</v>
      </c>
      <c r="N94" s="201">
        <f>ROUND(+M94/$M$128*100,2)</f>
        <v>0.97</v>
      </c>
      <c r="O94" s="202"/>
      <c r="P94" s="20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s="61" customFormat="1" ht="13.5" customHeight="1" x14ac:dyDescent="0.25">
      <c r="A95" s="53"/>
      <c r="B95" s="207"/>
      <c r="C95" s="199"/>
      <c r="D95" s="199"/>
      <c r="E95" s="199"/>
      <c r="F95" s="67" t="s">
        <v>70</v>
      </c>
      <c r="G95" s="68">
        <f t="shared" ref="G95" si="116">IF(E94&lt;0.125,"NA",IF(0.125&lt;=E94,(0.2*E94)))</f>
        <v>3.2400000000000005E-2</v>
      </c>
      <c r="H95" s="69"/>
      <c r="I95" s="70"/>
      <c r="J95" s="71">
        <v>0.192</v>
      </c>
      <c r="K95" s="199"/>
      <c r="L95" s="199"/>
      <c r="M95" s="199"/>
      <c r="N95" s="199"/>
      <c r="O95" s="199"/>
      <c r="P95" s="204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s="61" customFormat="1" ht="13.5" customHeight="1" x14ac:dyDescent="0.25">
      <c r="A96" s="53"/>
      <c r="B96" s="207"/>
      <c r="C96" s="199"/>
      <c r="D96" s="199"/>
      <c r="E96" s="199"/>
      <c r="F96" s="67" t="s">
        <v>71</v>
      </c>
      <c r="G96" s="68">
        <f t="shared" ref="G96" si="117">+E94*0.4</f>
        <v>6.480000000000001E-2</v>
      </c>
      <c r="H96" s="69"/>
      <c r="I96" s="70"/>
      <c r="J96" s="71">
        <v>0.23200000000000001</v>
      </c>
      <c r="K96" s="199"/>
      <c r="L96" s="199"/>
      <c r="M96" s="199"/>
      <c r="N96" s="199"/>
      <c r="O96" s="199"/>
      <c r="P96" s="204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s="61" customFormat="1" ht="13.5" customHeight="1" x14ac:dyDescent="0.25">
      <c r="A97" s="53"/>
      <c r="B97" s="207"/>
      <c r="C97" s="199"/>
      <c r="D97" s="199"/>
      <c r="E97" s="199"/>
      <c r="F97" s="67" t="s">
        <v>72</v>
      </c>
      <c r="G97" s="68">
        <f t="shared" ref="G97" si="118">IF(E94&lt;0.125,"NA",IF(0.125&lt;=E94,(0.8*E94)))</f>
        <v>0.12960000000000002</v>
      </c>
      <c r="H97" s="69"/>
      <c r="I97" s="70"/>
      <c r="J97" s="71">
        <v>0.19500000000000001</v>
      </c>
      <c r="K97" s="199"/>
      <c r="L97" s="199"/>
      <c r="M97" s="199"/>
      <c r="N97" s="199"/>
      <c r="O97" s="199"/>
      <c r="P97" s="204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s="61" customFormat="1" ht="13.5" customHeight="1" thickBot="1" x14ac:dyDescent="0.3">
      <c r="A98" s="53"/>
      <c r="B98" s="147"/>
      <c r="C98" s="200"/>
      <c r="D98" s="200"/>
      <c r="E98" s="200"/>
      <c r="F98" s="72" t="s">
        <v>73</v>
      </c>
      <c r="G98" s="73">
        <f t="shared" ref="G98" si="119">+E94</f>
        <v>0.16200000000000001</v>
      </c>
      <c r="H98" s="74"/>
      <c r="I98" s="75"/>
      <c r="J98" s="76"/>
      <c r="K98" s="200"/>
      <c r="L98" s="200"/>
      <c r="M98" s="200"/>
      <c r="N98" s="200"/>
      <c r="O98" s="200"/>
      <c r="P98" s="205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s="61" customFormat="1" ht="13.5" customHeight="1" x14ac:dyDescent="0.25">
      <c r="A99" s="53"/>
      <c r="B99" s="206">
        <f>B94+1</f>
        <v>17</v>
      </c>
      <c r="C99" s="208">
        <f t="shared" ref="C99" si="120">+C94+$N$12</f>
        <v>9.15</v>
      </c>
      <c r="D99" s="198">
        <v>5.8000000000000003E-2</v>
      </c>
      <c r="E99" s="198">
        <v>9.5000000000000001E-2</v>
      </c>
      <c r="F99" s="62" t="s">
        <v>69</v>
      </c>
      <c r="G99" s="63">
        <v>0</v>
      </c>
      <c r="H99" s="64"/>
      <c r="I99" s="65"/>
      <c r="J99" s="66">
        <v>0.129</v>
      </c>
      <c r="K99" s="198">
        <f t="shared" ref="K99" si="121">+IF(E99&lt;=0.12,(J101),(IF(E99&lt;0.16,((J100+2*J101+J102)/4),IF(E99&gt;=0.16,((J99+3*J100+2*J101+3*J102+J103)/10)))))</f>
        <v>0.105</v>
      </c>
      <c r="L99" s="198">
        <f t="shared" ref="L99" si="122">ROUND(+(D94+D99)/2*(C99-C94),3)</f>
        <v>5.3999999999999999E-2</v>
      </c>
      <c r="M99" s="198">
        <f t="shared" ref="M99" si="123">ROUND(+K99*L99,4)</f>
        <v>5.7000000000000002E-3</v>
      </c>
      <c r="N99" s="201">
        <f>ROUND(+M99/$M$128*100,2)</f>
        <v>0.35</v>
      </c>
      <c r="O99" s="202"/>
      <c r="P99" s="20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s="61" customFormat="1" ht="13.5" customHeight="1" x14ac:dyDescent="0.25">
      <c r="A100" s="53"/>
      <c r="B100" s="207"/>
      <c r="C100" s="199"/>
      <c r="D100" s="199"/>
      <c r="E100" s="199"/>
      <c r="F100" s="67" t="s">
        <v>70</v>
      </c>
      <c r="G100" s="68" t="str">
        <f t="shared" ref="G100" si="124">IF(E99&lt;0.125,"NA",IF(0.125&lt;=E99,(0.2*E99)))</f>
        <v>NA</v>
      </c>
      <c r="H100" s="69"/>
      <c r="I100" s="70"/>
      <c r="J100" s="71"/>
      <c r="K100" s="199"/>
      <c r="L100" s="199"/>
      <c r="M100" s="199"/>
      <c r="N100" s="199"/>
      <c r="O100" s="199"/>
      <c r="P100" s="204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s="61" customFormat="1" ht="13.5" customHeight="1" x14ac:dyDescent="0.25">
      <c r="A101" s="53"/>
      <c r="B101" s="207"/>
      <c r="C101" s="199"/>
      <c r="D101" s="199"/>
      <c r="E101" s="199"/>
      <c r="F101" s="67" t="s">
        <v>71</v>
      </c>
      <c r="G101" s="68">
        <f t="shared" ref="G101" si="125">+E99*0.4</f>
        <v>3.8000000000000006E-2</v>
      </c>
      <c r="H101" s="69"/>
      <c r="I101" s="70"/>
      <c r="J101" s="71">
        <v>0.105</v>
      </c>
      <c r="K101" s="199"/>
      <c r="L101" s="199"/>
      <c r="M101" s="199"/>
      <c r="N101" s="199"/>
      <c r="O101" s="199"/>
      <c r="P101" s="204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s="61" customFormat="1" ht="13.5" customHeight="1" x14ac:dyDescent="0.25">
      <c r="A102" s="53"/>
      <c r="B102" s="207"/>
      <c r="C102" s="199"/>
      <c r="D102" s="199"/>
      <c r="E102" s="199"/>
      <c r="F102" s="67" t="s">
        <v>72</v>
      </c>
      <c r="G102" s="68" t="str">
        <f t="shared" ref="G102" si="126">IF(E99&lt;0.125,"NA",IF(0.125&lt;=E99,(0.8*E99)))</f>
        <v>NA</v>
      </c>
      <c r="H102" s="69"/>
      <c r="I102" s="70"/>
      <c r="J102" s="71"/>
      <c r="K102" s="199"/>
      <c r="L102" s="199"/>
      <c r="M102" s="199"/>
      <c r="N102" s="199"/>
      <c r="O102" s="199"/>
      <c r="P102" s="204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s="61" customFormat="1" ht="13.5" customHeight="1" thickBot="1" x14ac:dyDescent="0.3">
      <c r="A103" s="53"/>
      <c r="B103" s="147"/>
      <c r="C103" s="200"/>
      <c r="D103" s="200"/>
      <c r="E103" s="200"/>
      <c r="F103" s="72" t="s">
        <v>73</v>
      </c>
      <c r="G103" s="73">
        <f t="shared" ref="G103" si="127">+E99</f>
        <v>9.5000000000000001E-2</v>
      </c>
      <c r="H103" s="74"/>
      <c r="I103" s="75"/>
      <c r="J103" s="76">
        <v>0.26</v>
      </c>
      <c r="K103" s="200"/>
      <c r="L103" s="200"/>
      <c r="M103" s="200"/>
      <c r="N103" s="200"/>
      <c r="O103" s="200"/>
      <c r="P103" s="205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s="61" customFormat="1" ht="13.5" customHeight="1" x14ac:dyDescent="0.25">
      <c r="A104" s="53"/>
      <c r="B104" s="206">
        <f>B99+1</f>
        <v>18</v>
      </c>
      <c r="C104" s="208">
        <f>+C99+0.2</f>
        <v>9.35</v>
      </c>
      <c r="D104" s="198">
        <v>7.3999999999999996E-2</v>
      </c>
      <c r="E104" s="198">
        <v>5.5E-2</v>
      </c>
      <c r="F104" s="62" t="s">
        <v>69</v>
      </c>
      <c r="G104" s="63">
        <v>0</v>
      </c>
      <c r="H104" s="64"/>
      <c r="I104" s="65"/>
      <c r="J104" s="66"/>
      <c r="K104" s="198">
        <f t="shared" ref="K104" si="128">+IF(E104&lt;=0.12,(J106),(IF(E104&lt;0.16,((J105+2*J106+J107)/4),IF(E104&gt;=0.16,((J104+3*J105+2*J106+3*J107+J108)/10)))))</f>
        <v>8.9999999999999993E-3</v>
      </c>
      <c r="L104" s="198">
        <f t="shared" ref="L104" si="129">ROUND(+(D99+D104)/2*(C104-C99),3)</f>
        <v>1.2999999999999999E-2</v>
      </c>
      <c r="M104" s="198">
        <f t="shared" ref="M104" si="130">ROUND(+K104*L104,4)</f>
        <v>1E-4</v>
      </c>
      <c r="N104" s="201">
        <f t="shared" ref="N104" si="131">ROUND(+M104/$M$128*100,2)</f>
        <v>0.01</v>
      </c>
      <c r="O104" s="202"/>
      <c r="P104" s="20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s="61" customFormat="1" ht="13.5" customHeight="1" x14ac:dyDescent="0.25">
      <c r="A105" s="53"/>
      <c r="B105" s="207"/>
      <c r="C105" s="199"/>
      <c r="D105" s="199"/>
      <c r="E105" s="199"/>
      <c r="F105" s="67" t="s">
        <v>70</v>
      </c>
      <c r="G105" s="68" t="str">
        <f t="shared" ref="G105" si="132">IF(E104&lt;0.125,"NA",IF(0.125&lt;=E104,(0.2*E104)))</f>
        <v>NA</v>
      </c>
      <c r="H105" s="69"/>
      <c r="I105" s="70"/>
      <c r="J105" s="71"/>
      <c r="K105" s="199"/>
      <c r="L105" s="199"/>
      <c r="M105" s="199"/>
      <c r="N105" s="199"/>
      <c r="O105" s="199"/>
      <c r="P105" s="204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s="61" customFormat="1" ht="13.5" customHeight="1" x14ac:dyDescent="0.25">
      <c r="A106" s="53"/>
      <c r="B106" s="207"/>
      <c r="C106" s="199"/>
      <c r="D106" s="199"/>
      <c r="E106" s="199"/>
      <c r="F106" s="67" t="s">
        <v>71</v>
      </c>
      <c r="G106" s="68">
        <f t="shared" ref="G106" si="133">+E104*0.4</f>
        <v>2.2000000000000002E-2</v>
      </c>
      <c r="H106" s="69"/>
      <c r="I106" s="70"/>
      <c r="J106" s="71">
        <v>8.9999999999999993E-3</v>
      </c>
      <c r="K106" s="199"/>
      <c r="L106" s="199"/>
      <c r="M106" s="199"/>
      <c r="N106" s="199"/>
      <c r="O106" s="199"/>
      <c r="P106" s="204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s="61" customFormat="1" ht="13.5" customHeight="1" x14ac:dyDescent="0.25">
      <c r="A107" s="53"/>
      <c r="B107" s="207"/>
      <c r="C107" s="199"/>
      <c r="D107" s="199"/>
      <c r="E107" s="199"/>
      <c r="F107" s="67" t="s">
        <v>72</v>
      </c>
      <c r="G107" s="68" t="str">
        <f t="shared" ref="G107" si="134">IF(E104&lt;0.125,"NA",IF(0.125&lt;=E104,(0.8*E104)))</f>
        <v>NA</v>
      </c>
      <c r="H107" s="69"/>
      <c r="I107" s="70"/>
      <c r="J107" s="71"/>
      <c r="K107" s="199"/>
      <c r="L107" s="199"/>
      <c r="M107" s="199"/>
      <c r="N107" s="199"/>
      <c r="O107" s="199"/>
      <c r="P107" s="204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s="61" customFormat="1" ht="13.5" customHeight="1" thickBot="1" x14ac:dyDescent="0.3">
      <c r="A108" s="53"/>
      <c r="B108" s="147"/>
      <c r="C108" s="200"/>
      <c r="D108" s="200"/>
      <c r="E108" s="200"/>
      <c r="F108" s="72" t="s">
        <v>73</v>
      </c>
      <c r="G108" s="73">
        <f t="shared" ref="G108" si="135">+E104</f>
        <v>5.5E-2</v>
      </c>
      <c r="H108" s="74"/>
      <c r="I108" s="75"/>
      <c r="J108" s="76"/>
      <c r="K108" s="200"/>
      <c r="L108" s="200"/>
      <c r="M108" s="200"/>
      <c r="N108" s="200"/>
      <c r="O108" s="200"/>
      <c r="P108" s="205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s="3" customFormat="1" ht="14.1" customHeight="1" x14ac:dyDescent="0.2">
      <c r="B109" s="209" t="s">
        <v>29</v>
      </c>
      <c r="C109" s="212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4"/>
    </row>
    <row r="110" spans="1:26" s="3" customFormat="1" ht="14.1" customHeight="1" x14ac:dyDescent="0.2">
      <c r="B110" s="210"/>
      <c r="C110" s="215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7"/>
    </row>
    <row r="111" spans="1:26" s="3" customFormat="1" ht="14.1" customHeight="1" x14ac:dyDescent="0.2">
      <c r="B111" s="210"/>
      <c r="C111" s="215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7"/>
    </row>
    <row r="112" spans="1:26" s="3" customFormat="1" ht="14.1" customHeight="1" x14ac:dyDescent="0.2">
      <c r="B112" s="210"/>
      <c r="C112" s="215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7"/>
    </row>
    <row r="113" spans="1:26" s="3" customFormat="1" ht="14.1" customHeight="1" x14ac:dyDescent="0.2">
      <c r="B113" s="210"/>
      <c r="C113" s="215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7"/>
    </row>
    <row r="114" spans="1:26" s="3" customFormat="1" ht="14.1" customHeight="1" thickBot="1" x14ac:dyDescent="0.25">
      <c r="B114" s="211"/>
      <c r="C114" s="218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20"/>
    </row>
    <row r="115" spans="1:26" s="3" customFormat="1" ht="28.5" customHeight="1" thickBot="1" x14ac:dyDescent="0.25">
      <c r="A115" s="77"/>
      <c r="B115" s="78" t="s">
        <v>74</v>
      </c>
      <c r="C115" s="221" t="s">
        <v>103</v>
      </c>
      <c r="D115" s="221"/>
      <c r="E115" s="221"/>
      <c r="F115" s="221"/>
      <c r="G115" s="221"/>
      <c r="H115" s="222"/>
      <c r="I115" s="223"/>
      <c r="J115" s="78" t="s">
        <v>75</v>
      </c>
      <c r="K115" s="221" t="s">
        <v>76</v>
      </c>
      <c r="L115" s="221"/>
      <c r="M115" s="221"/>
      <c r="N115" s="221"/>
      <c r="O115" s="221"/>
      <c r="P115" s="222"/>
    </row>
    <row r="116" spans="1:26" s="3" customFormat="1" ht="28.5" customHeight="1" thickBot="1" x14ac:dyDescent="0.25">
      <c r="B116" s="79" t="s">
        <v>77</v>
      </c>
      <c r="C116" s="225" t="s">
        <v>78</v>
      </c>
      <c r="D116" s="225"/>
      <c r="E116" s="225"/>
      <c r="F116" s="225"/>
      <c r="G116" s="225"/>
      <c r="H116" s="226"/>
      <c r="I116" s="224"/>
      <c r="J116" s="79" t="s">
        <v>79</v>
      </c>
      <c r="K116" s="225" t="s">
        <v>80</v>
      </c>
      <c r="L116" s="225"/>
      <c r="M116" s="225"/>
      <c r="N116" s="225"/>
      <c r="O116" s="225"/>
      <c r="P116" s="226"/>
    </row>
    <row r="117" spans="1:26" s="19" customFormat="1" ht="13.5" customHeight="1" x14ac:dyDescent="0.25">
      <c r="A117" s="80"/>
      <c r="B117" s="227">
        <f>+B64</f>
        <v>10</v>
      </c>
      <c r="C117" s="230">
        <f>+C59</f>
        <v>5.15</v>
      </c>
      <c r="D117" s="233">
        <f>+D59</f>
        <v>0.25900000000000001</v>
      </c>
      <c r="E117" s="233">
        <f>E64</f>
        <v>0.39100000000000001</v>
      </c>
      <c r="F117" s="81" t="s">
        <v>69</v>
      </c>
      <c r="G117" s="81">
        <v>0.01</v>
      </c>
      <c r="H117" s="82"/>
      <c r="I117" s="83"/>
      <c r="J117" s="84">
        <v>0.255</v>
      </c>
      <c r="K117" s="235">
        <f>+AVERAGE(J117:J127)</f>
        <v>1.0390909090909088</v>
      </c>
      <c r="L117" s="248">
        <f>ROUND(+(D117+D122)/2*(C122-C117),3)</f>
        <v>0.155</v>
      </c>
      <c r="M117" s="249">
        <f>ROUND(+K117*L117,4)</f>
        <v>0.16109999999999999</v>
      </c>
      <c r="N117" s="248">
        <f>ROUND(+M117/$M$128*100,2)</f>
        <v>9.81</v>
      </c>
      <c r="O117" s="248"/>
      <c r="P117" s="250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s="19" customFormat="1" ht="13.5" customHeight="1" x14ac:dyDescent="0.25">
      <c r="A118" s="80"/>
      <c r="B118" s="228"/>
      <c r="C118" s="231"/>
      <c r="D118" s="231"/>
      <c r="E118" s="231"/>
      <c r="F118" s="86" t="s">
        <v>81</v>
      </c>
      <c r="G118" s="87">
        <f>+E117*0.1</f>
        <v>3.9100000000000003E-2</v>
      </c>
      <c r="H118" s="88"/>
      <c r="I118" s="89"/>
      <c r="J118" s="90">
        <v>0.41499999999999998</v>
      </c>
      <c r="K118" s="231"/>
      <c r="L118" s="231"/>
      <c r="M118" s="231"/>
      <c r="N118" s="231"/>
      <c r="O118" s="231"/>
      <c r="P118" s="251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s="19" customFormat="1" ht="13.5" customHeight="1" x14ac:dyDescent="0.25">
      <c r="A119" s="80"/>
      <c r="B119" s="228"/>
      <c r="C119" s="231"/>
      <c r="D119" s="231"/>
      <c r="E119" s="231"/>
      <c r="F119" s="86" t="s">
        <v>82</v>
      </c>
      <c r="G119" s="87">
        <f>+E117*0.2</f>
        <v>7.8200000000000006E-2</v>
      </c>
      <c r="H119" s="88"/>
      <c r="I119" s="89"/>
      <c r="J119" s="90">
        <v>0.94</v>
      </c>
      <c r="K119" s="231"/>
      <c r="L119" s="231"/>
      <c r="M119" s="231"/>
      <c r="N119" s="231"/>
      <c r="O119" s="231"/>
      <c r="P119" s="251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s="19" customFormat="1" ht="13.5" customHeight="1" x14ac:dyDescent="0.25">
      <c r="A120" s="80"/>
      <c r="B120" s="228"/>
      <c r="C120" s="231"/>
      <c r="D120" s="231"/>
      <c r="E120" s="231"/>
      <c r="F120" s="86" t="s">
        <v>83</v>
      </c>
      <c r="G120" s="87">
        <f>+E117*0.3</f>
        <v>0.1173</v>
      </c>
      <c r="H120" s="88"/>
      <c r="I120" s="89"/>
      <c r="J120" s="90">
        <v>1.0509999999999999</v>
      </c>
      <c r="K120" s="231"/>
      <c r="L120" s="231"/>
      <c r="M120" s="231"/>
      <c r="N120" s="231"/>
      <c r="O120" s="231"/>
      <c r="P120" s="251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s="19" customFormat="1" ht="13.5" customHeight="1" x14ac:dyDescent="0.25">
      <c r="A121" s="80"/>
      <c r="B121" s="228"/>
      <c r="C121" s="232"/>
      <c r="D121" s="232"/>
      <c r="E121" s="231"/>
      <c r="F121" s="86" t="s">
        <v>84</v>
      </c>
      <c r="G121" s="87">
        <f>+E117*0.4</f>
        <v>0.15640000000000001</v>
      </c>
      <c r="H121" s="88"/>
      <c r="I121" s="89"/>
      <c r="J121" s="90">
        <v>1.139</v>
      </c>
      <c r="K121" s="231"/>
      <c r="L121" s="231"/>
      <c r="M121" s="231"/>
      <c r="N121" s="231"/>
      <c r="O121" s="231"/>
      <c r="P121" s="251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s="19" customFormat="1" ht="13.5" customHeight="1" x14ac:dyDescent="0.25">
      <c r="A122" s="80"/>
      <c r="B122" s="228"/>
      <c r="C122" s="253">
        <f>+C64</f>
        <v>5.65</v>
      </c>
      <c r="D122" s="254">
        <f>+D64</f>
        <v>0.35899999999999999</v>
      </c>
      <c r="E122" s="231"/>
      <c r="F122" s="86" t="s">
        <v>30</v>
      </c>
      <c r="G122" s="87">
        <f>+E117*0.5</f>
        <v>0.19550000000000001</v>
      </c>
      <c r="H122" s="88"/>
      <c r="I122" s="89"/>
      <c r="J122" s="90">
        <v>1.2230000000000001</v>
      </c>
      <c r="K122" s="231"/>
      <c r="L122" s="231"/>
      <c r="M122" s="231"/>
      <c r="N122" s="231"/>
      <c r="O122" s="231"/>
      <c r="P122" s="251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s="19" customFormat="1" ht="13.5" customHeight="1" x14ac:dyDescent="0.25">
      <c r="A123" s="80"/>
      <c r="B123" s="228"/>
      <c r="C123" s="231"/>
      <c r="D123" s="231"/>
      <c r="E123" s="231"/>
      <c r="F123" s="86" t="s">
        <v>85</v>
      </c>
      <c r="G123" s="87">
        <f>+E117*0.6</f>
        <v>0.2346</v>
      </c>
      <c r="H123" s="88"/>
      <c r="I123" s="89"/>
      <c r="J123" s="90">
        <v>1.266</v>
      </c>
      <c r="K123" s="231"/>
      <c r="L123" s="231"/>
      <c r="M123" s="231"/>
      <c r="N123" s="231"/>
      <c r="O123" s="231"/>
      <c r="P123" s="251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s="19" customFormat="1" ht="13.5" customHeight="1" x14ac:dyDescent="0.25">
      <c r="A124" s="80"/>
      <c r="B124" s="228"/>
      <c r="C124" s="231"/>
      <c r="D124" s="231"/>
      <c r="E124" s="231"/>
      <c r="F124" s="86" t="s">
        <v>86</v>
      </c>
      <c r="G124" s="87">
        <f>+E117*0.7</f>
        <v>0.2737</v>
      </c>
      <c r="H124" s="88"/>
      <c r="I124" s="89"/>
      <c r="J124" s="90">
        <v>1.266</v>
      </c>
      <c r="K124" s="231"/>
      <c r="L124" s="231"/>
      <c r="M124" s="231"/>
      <c r="N124" s="231"/>
      <c r="O124" s="231"/>
      <c r="P124" s="251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s="19" customFormat="1" ht="13.5" customHeight="1" x14ac:dyDescent="0.25">
      <c r="A125" s="80"/>
      <c r="B125" s="228"/>
      <c r="C125" s="231"/>
      <c r="D125" s="231"/>
      <c r="E125" s="231"/>
      <c r="F125" s="86" t="s">
        <v>87</v>
      </c>
      <c r="G125" s="87">
        <f>+E117*0.8</f>
        <v>0.31280000000000002</v>
      </c>
      <c r="H125" s="88"/>
      <c r="I125" s="89"/>
      <c r="J125" s="90">
        <v>1.2829999999999999</v>
      </c>
      <c r="K125" s="231"/>
      <c r="L125" s="231"/>
      <c r="M125" s="231"/>
      <c r="N125" s="231"/>
      <c r="O125" s="231"/>
      <c r="P125" s="251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s="19" customFormat="1" ht="13.5" customHeight="1" x14ac:dyDescent="0.25">
      <c r="A126" s="80"/>
      <c r="B126" s="228"/>
      <c r="C126" s="231"/>
      <c r="D126" s="231"/>
      <c r="E126" s="231"/>
      <c r="F126" s="86" t="s">
        <v>88</v>
      </c>
      <c r="G126" s="87">
        <f>+E117*0.9</f>
        <v>0.35190000000000005</v>
      </c>
      <c r="H126" s="88"/>
      <c r="I126" s="89"/>
      <c r="J126" s="90">
        <v>1.28</v>
      </c>
      <c r="K126" s="231"/>
      <c r="L126" s="231"/>
      <c r="M126" s="231"/>
      <c r="N126" s="231"/>
      <c r="O126" s="231"/>
      <c r="P126" s="251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s="19" customFormat="1" ht="15.75" thickBot="1" x14ac:dyDescent="0.3">
      <c r="A127" s="80"/>
      <c r="B127" s="229"/>
      <c r="C127" s="234"/>
      <c r="D127" s="234"/>
      <c r="E127" s="234"/>
      <c r="F127" s="91" t="s">
        <v>31</v>
      </c>
      <c r="G127" s="91">
        <f>+E117</f>
        <v>0.39100000000000001</v>
      </c>
      <c r="H127" s="92"/>
      <c r="I127" s="93"/>
      <c r="J127" s="94">
        <v>1.3120000000000001</v>
      </c>
      <c r="K127" s="234"/>
      <c r="L127" s="234"/>
      <c r="M127" s="234"/>
      <c r="N127" s="234"/>
      <c r="O127" s="234"/>
      <c r="P127" s="252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s="3" customFormat="1" ht="12.75" x14ac:dyDescent="0.2">
      <c r="A128" s="11"/>
      <c r="B128" s="236" t="s">
        <v>32</v>
      </c>
      <c r="C128" s="236"/>
      <c r="D128" s="236"/>
      <c r="E128" s="236"/>
      <c r="F128" s="236"/>
      <c r="G128" s="236"/>
      <c r="H128" s="236"/>
      <c r="I128" s="236"/>
      <c r="J128" s="236"/>
      <c r="K128" s="12">
        <f>ROUND(+M128/L128,3)</f>
        <v>0.82199999999999995</v>
      </c>
      <c r="L128" s="16">
        <f>SUM(L19:L127)</f>
        <v>1.9970000000000001</v>
      </c>
      <c r="M128" s="15">
        <f>SUM(M19:M127)</f>
        <v>1.6422000000000001</v>
      </c>
      <c r="N128" s="13">
        <f>ROUND(SUM(N19:N127),0)</f>
        <v>100</v>
      </c>
      <c r="O128" s="238" t="s">
        <v>33</v>
      </c>
      <c r="P128" s="240"/>
    </row>
    <row r="129" spans="1:16" s="3" customFormat="1" ht="15" customHeight="1" thickBot="1" x14ac:dyDescent="0.25">
      <c r="A129" s="11"/>
      <c r="B129" s="237"/>
      <c r="C129" s="237"/>
      <c r="D129" s="237"/>
      <c r="E129" s="237"/>
      <c r="F129" s="237"/>
      <c r="G129" s="237"/>
      <c r="H129" s="237"/>
      <c r="I129" s="237"/>
      <c r="J129" s="237"/>
      <c r="K129" s="14" t="s">
        <v>34</v>
      </c>
      <c r="L129" s="14" t="s">
        <v>50</v>
      </c>
      <c r="M129" s="14" t="s">
        <v>51</v>
      </c>
      <c r="N129" s="14" t="s">
        <v>35</v>
      </c>
      <c r="O129" s="239"/>
      <c r="P129" s="241"/>
    </row>
    <row r="130" spans="1:16" ht="15" customHeight="1" thickBot="1" x14ac:dyDescent="0.3">
      <c r="A130" s="5"/>
      <c r="B130" s="242" t="s">
        <v>89</v>
      </c>
      <c r="C130" s="243"/>
      <c r="D130" s="243"/>
      <c r="E130" s="243"/>
      <c r="F130" s="244"/>
      <c r="G130" s="242" t="s">
        <v>90</v>
      </c>
      <c r="H130" s="243"/>
      <c r="I130" s="243"/>
      <c r="J130" s="243"/>
      <c r="K130" s="244"/>
      <c r="L130" s="245" t="s">
        <v>53</v>
      </c>
      <c r="M130" s="246"/>
      <c r="N130" s="246"/>
      <c r="O130" s="246"/>
      <c r="P130" s="247"/>
    </row>
    <row r="131" spans="1:16" ht="15" customHeight="1" x14ac:dyDescent="0.25">
      <c r="A131" s="5"/>
      <c r="B131" s="255"/>
      <c r="C131" s="256"/>
      <c r="D131" s="256"/>
      <c r="E131" s="256"/>
      <c r="F131" s="257"/>
      <c r="G131" s="255"/>
      <c r="H131" s="256"/>
      <c r="I131" s="256"/>
      <c r="J131" s="256"/>
      <c r="K131" s="257"/>
      <c r="L131" s="264" t="s">
        <v>91</v>
      </c>
      <c r="M131" s="265"/>
      <c r="N131" s="265"/>
      <c r="O131" s="266">
        <f>+AVERAGE(E18:E108)</f>
        <v>0.21883333333333335</v>
      </c>
      <c r="P131" s="267"/>
    </row>
    <row r="132" spans="1:16" ht="15" customHeight="1" thickBot="1" x14ac:dyDescent="0.3">
      <c r="A132" s="5"/>
      <c r="B132" s="258"/>
      <c r="C132" s="259"/>
      <c r="D132" s="259"/>
      <c r="E132" s="259"/>
      <c r="F132" s="260"/>
      <c r="G132" s="258"/>
      <c r="H132" s="259"/>
      <c r="I132" s="259"/>
      <c r="J132" s="259"/>
      <c r="K132" s="260"/>
      <c r="L132" s="268" t="s">
        <v>92</v>
      </c>
      <c r="M132" s="269"/>
      <c r="N132" s="269"/>
      <c r="O132" s="270">
        <f>+MAX(E18:E108)</f>
        <v>0.39100000000000001</v>
      </c>
      <c r="P132" s="271"/>
    </row>
    <row r="133" spans="1:16" ht="18.600000000000001" customHeight="1" x14ac:dyDescent="0.25">
      <c r="A133" s="6"/>
      <c r="B133" s="258"/>
      <c r="C133" s="259"/>
      <c r="D133" s="259"/>
      <c r="E133" s="259"/>
      <c r="F133" s="260"/>
      <c r="G133" s="258"/>
      <c r="H133" s="259"/>
      <c r="I133" s="259"/>
      <c r="J133" s="259"/>
      <c r="K133" s="260"/>
      <c r="L133" s="272"/>
      <c r="M133" s="273"/>
      <c r="N133" s="273"/>
      <c r="O133" s="273"/>
      <c r="P133" s="274"/>
    </row>
    <row r="134" spans="1:16" ht="61.5" customHeight="1" x14ac:dyDescent="0.25">
      <c r="A134" s="10"/>
      <c r="B134" s="258"/>
      <c r="C134" s="259"/>
      <c r="D134" s="259"/>
      <c r="E134" s="259"/>
      <c r="F134" s="260"/>
      <c r="G134" s="258"/>
      <c r="H134" s="259"/>
      <c r="I134" s="259"/>
      <c r="J134" s="259"/>
      <c r="K134" s="260"/>
      <c r="L134" s="275"/>
      <c r="M134" s="276"/>
      <c r="N134" s="276"/>
      <c r="O134" s="276"/>
      <c r="P134" s="277"/>
    </row>
    <row r="135" spans="1:16" ht="15" customHeight="1" thickBot="1" x14ac:dyDescent="0.3">
      <c r="A135" s="5"/>
      <c r="B135" s="258"/>
      <c r="C135" s="259"/>
      <c r="D135" s="259"/>
      <c r="E135" s="259"/>
      <c r="F135" s="260"/>
      <c r="G135" s="258"/>
      <c r="H135" s="259"/>
      <c r="I135" s="259"/>
      <c r="J135" s="259"/>
      <c r="K135" s="260"/>
      <c r="L135" s="278"/>
      <c r="M135" s="279"/>
      <c r="N135" s="279"/>
      <c r="O135" s="279"/>
      <c r="P135" s="280"/>
    </row>
    <row r="136" spans="1:16" ht="22.5" customHeight="1" thickBot="1" x14ac:dyDescent="0.3">
      <c r="A136" s="5"/>
      <c r="B136" s="258"/>
      <c r="C136" s="259"/>
      <c r="D136" s="259"/>
      <c r="E136" s="259"/>
      <c r="F136" s="260"/>
      <c r="G136" s="258"/>
      <c r="H136" s="259"/>
      <c r="I136" s="259"/>
      <c r="J136" s="259"/>
      <c r="K136" s="260"/>
      <c r="L136" s="281" t="s">
        <v>36</v>
      </c>
      <c r="M136" s="282"/>
      <c r="N136" s="282"/>
      <c r="O136" s="282"/>
      <c r="P136" s="95">
        <v>3.35</v>
      </c>
    </row>
    <row r="137" spans="1:16" ht="32.25" customHeight="1" thickBot="1" x14ac:dyDescent="0.3">
      <c r="A137" s="5"/>
      <c r="B137" s="261"/>
      <c r="C137" s="262"/>
      <c r="D137" s="262"/>
      <c r="E137" s="262"/>
      <c r="F137" s="263"/>
      <c r="G137" s="261"/>
      <c r="H137" s="262"/>
      <c r="I137" s="262"/>
      <c r="J137" s="262"/>
      <c r="K137" s="263"/>
      <c r="L137" s="283" t="s">
        <v>52</v>
      </c>
      <c r="M137" s="284"/>
      <c r="N137" s="284"/>
      <c r="O137" s="284"/>
      <c r="P137" s="95">
        <v>0.25040000000000001</v>
      </c>
    </row>
    <row r="138" spans="1:16" ht="23.45" customHeight="1" thickBot="1" x14ac:dyDescent="0.3">
      <c r="A138" s="7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</row>
    <row r="139" spans="1:16" ht="15.75" thickBot="1" x14ac:dyDescent="0.3">
      <c r="A139" s="291" t="s">
        <v>37</v>
      </c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3"/>
    </row>
    <row r="140" spans="1:16" ht="159" customHeight="1" thickBot="1" x14ac:dyDescent="0.3">
      <c r="A140" s="4"/>
      <c r="B140" s="304"/>
      <c r="C140" s="305"/>
      <c r="D140" s="305"/>
      <c r="E140" s="305"/>
      <c r="F140" s="297"/>
      <c r="G140" s="294"/>
      <c r="H140" s="295"/>
      <c r="I140" s="295"/>
      <c r="J140" s="295"/>
      <c r="K140" s="295"/>
      <c r="L140" s="295"/>
      <c r="M140" s="295"/>
      <c r="N140" s="295"/>
      <c r="O140" s="295"/>
      <c r="P140" s="298"/>
    </row>
    <row r="141" spans="1:16" ht="21.75" customHeight="1" thickBot="1" x14ac:dyDescent="0.3">
      <c r="A141" s="4"/>
      <c r="B141" s="306" t="s">
        <v>104</v>
      </c>
      <c r="C141" s="307"/>
      <c r="D141" s="307"/>
      <c r="E141" s="307"/>
      <c r="F141" s="308"/>
      <c r="G141" s="309" t="s">
        <v>105</v>
      </c>
      <c r="H141" s="310"/>
      <c r="I141" s="310"/>
      <c r="J141" s="310"/>
      <c r="K141" s="310"/>
      <c r="L141" s="310"/>
      <c r="M141" s="310"/>
      <c r="N141" s="310"/>
      <c r="O141" s="310"/>
      <c r="P141" s="311"/>
    </row>
    <row r="142" spans="1:16" s="9" customFormat="1" ht="16.899999999999999" customHeight="1" thickBot="1" x14ac:dyDescent="0.3">
      <c r="A142" s="8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6"/>
    </row>
    <row r="143" spans="1:16" s="3" customFormat="1" ht="15.75" customHeight="1" thickBot="1" x14ac:dyDescent="0.25">
      <c r="A143" s="287" t="s">
        <v>38</v>
      </c>
      <c r="B143" s="288"/>
      <c r="C143" s="288"/>
      <c r="D143" s="288"/>
      <c r="E143" s="288"/>
      <c r="F143" s="288"/>
      <c r="G143" s="288"/>
      <c r="H143" s="288"/>
      <c r="I143" s="288"/>
      <c r="J143" s="288" t="s">
        <v>39</v>
      </c>
      <c r="K143" s="288"/>
      <c r="L143" s="288"/>
      <c r="M143" s="288"/>
      <c r="N143" s="288"/>
      <c r="O143" s="288"/>
      <c r="P143" s="289"/>
    </row>
  </sheetData>
  <mergeCells count="283"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P140"/>
    <mergeCell ref="B141:F141"/>
    <mergeCell ref="G141:P141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6:C6"/>
    <mergeCell ref="D6:I6"/>
    <mergeCell ref="K6:L6"/>
    <mergeCell ref="M6:N6"/>
    <mergeCell ref="B2:D3"/>
    <mergeCell ref="E2:N3"/>
    <mergeCell ref="O2:P3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124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7.7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1">
        <v>43374</v>
      </c>
      <c r="D5" s="112"/>
      <c r="E5" s="22" t="s">
        <v>1</v>
      </c>
      <c r="F5" s="23">
        <v>3</v>
      </c>
      <c r="G5" s="24" t="s">
        <v>2</v>
      </c>
      <c r="H5" s="113" t="s">
        <v>125</v>
      </c>
      <c r="I5" s="114"/>
      <c r="J5" s="114"/>
      <c r="K5" s="114"/>
      <c r="L5" s="114"/>
      <c r="M5" s="114"/>
      <c r="N5" s="114"/>
      <c r="O5" s="114"/>
      <c r="P5" s="11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16" t="s">
        <v>3</v>
      </c>
      <c r="C6" s="117"/>
      <c r="D6" s="118" t="s">
        <v>108</v>
      </c>
      <c r="E6" s="119"/>
      <c r="F6" s="119"/>
      <c r="G6" s="119"/>
      <c r="H6" s="119"/>
      <c r="I6" s="120"/>
      <c r="J6" s="28" t="s">
        <v>4</v>
      </c>
      <c r="K6" s="121" t="s">
        <v>109</v>
      </c>
      <c r="L6" s="120"/>
      <c r="M6" s="121" t="s">
        <v>110</v>
      </c>
      <c r="N6" s="122"/>
      <c r="O6" s="29" t="s">
        <v>54</v>
      </c>
      <c r="P6" s="30">
        <v>2078</v>
      </c>
    </row>
    <row r="7" spans="1:26" s="26" customFormat="1" ht="21.75" customHeight="1" x14ac:dyDescent="0.25">
      <c r="B7" s="123" t="s">
        <v>55</v>
      </c>
      <c r="C7" s="125" t="s">
        <v>56</v>
      </c>
      <c r="D7" s="126"/>
      <c r="E7" s="32" t="s">
        <v>5</v>
      </c>
      <c r="F7" s="127" t="s">
        <v>57</v>
      </c>
      <c r="G7" s="128"/>
      <c r="H7" s="128"/>
      <c r="I7" s="128"/>
      <c r="J7" s="129" t="s">
        <v>58</v>
      </c>
      <c r="K7" s="130"/>
      <c r="L7" s="130"/>
      <c r="M7" s="131"/>
      <c r="N7" s="132" t="s">
        <v>93</v>
      </c>
      <c r="O7" s="133"/>
      <c r="P7" s="33" t="s">
        <v>59</v>
      </c>
    </row>
    <row r="8" spans="1:26" s="26" customFormat="1" ht="21.75" customHeight="1" thickBot="1" x14ac:dyDescent="0.3">
      <c r="B8" s="124"/>
      <c r="C8" s="134" t="s">
        <v>60</v>
      </c>
      <c r="D8" s="135"/>
      <c r="E8" s="34"/>
      <c r="F8" s="136"/>
      <c r="G8" s="137"/>
      <c r="H8" s="137"/>
      <c r="I8" s="137"/>
      <c r="J8" s="138"/>
      <c r="K8" s="139"/>
      <c r="L8" s="139"/>
      <c r="M8" s="140"/>
      <c r="N8" s="141"/>
      <c r="O8" s="142"/>
      <c r="P8" s="35" t="s">
        <v>114</v>
      </c>
    </row>
    <row r="9" spans="1:26" s="26" customFormat="1" ht="21.75" customHeight="1" x14ac:dyDescent="0.25">
      <c r="B9" s="143" t="s">
        <v>7</v>
      </c>
      <c r="C9" s="146" t="s">
        <v>61</v>
      </c>
      <c r="D9" s="148" t="s">
        <v>62</v>
      </c>
      <c r="E9" s="149"/>
      <c r="F9" s="36"/>
      <c r="G9" s="150" t="s">
        <v>8</v>
      </c>
      <c r="H9" s="151" t="s">
        <v>9</v>
      </c>
      <c r="I9" s="126"/>
      <c r="J9" s="37"/>
      <c r="K9" s="146" t="s">
        <v>63</v>
      </c>
      <c r="L9" s="152" t="s">
        <v>115</v>
      </c>
      <c r="M9" s="153"/>
      <c r="N9" s="154"/>
      <c r="O9" s="154"/>
      <c r="P9" s="155"/>
    </row>
    <row r="10" spans="1:26" s="26" customFormat="1" ht="21.75" customHeight="1" thickBot="1" x14ac:dyDescent="0.3">
      <c r="B10" s="144"/>
      <c r="C10" s="147"/>
      <c r="D10" s="165" t="s">
        <v>64</v>
      </c>
      <c r="E10" s="135"/>
      <c r="F10" s="38" t="s">
        <v>5</v>
      </c>
      <c r="G10" s="147"/>
      <c r="H10" s="165" t="s">
        <v>10</v>
      </c>
      <c r="I10" s="135"/>
      <c r="J10" s="39" t="s">
        <v>5</v>
      </c>
      <c r="K10" s="147"/>
      <c r="L10" s="156"/>
      <c r="M10" s="157"/>
      <c r="N10" s="157"/>
      <c r="O10" s="157"/>
      <c r="P10" s="158"/>
    </row>
    <row r="11" spans="1:26" s="26" customFormat="1" ht="21.75" customHeight="1" x14ac:dyDescent="0.25">
      <c r="A11" s="20"/>
      <c r="B11" s="144"/>
      <c r="C11" s="166" t="s">
        <v>11</v>
      </c>
      <c r="D11" s="149"/>
      <c r="E11" s="40">
        <v>0.64374999999999993</v>
      </c>
      <c r="F11" s="167" t="s">
        <v>12</v>
      </c>
      <c r="G11" s="149"/>
      <c r="H11" s="98">
        <v>0.55000000000000004</v>
      </c>
      <c r="I11" s="168" t="s">
        <v>13</v>
      </c>
      <c r="J11" s="126"/>
      <c r="K11" s="41">
        <v>16</v>
      </c>
      <c r="L11" s="166" t="s">
        <v>14</v>
      </c>
      <c r="M11" s="149"/>
      <c r="N11" s="42">
        <v>9.09</v>
      </c>
      <c r="O11" s="159" t="s">
        <v>65</v>
      </c>
      <c r="P11" s="160"/>
    </row>
    <row r="12" spans="1:26" s="26" customFormat="1" ht="21.75" customHeight="1" thickBot="1" x14ac:dyDescent="0.3">
      <c r="A12" s="20"/>
      <c r="B12" s="145"/>
      <c r="C12" s="161" t="s">
        <v>15</v>
      </c>
      <c r="D12" s="135"/>
      <c r="E12" s="40">
        <v>0.76041666666666663</v>
      </c>
      <c r="F12" s="134" t="s">
        <v>16</v>
      </c>
      <c r="G12" s="135"/>
      <c r="H12" s="98">
        <v>0.55000000000000004</v>
      </c>
      <c r="I12" s="162" t="s">
        <v>17</v>
      </c>
      <c r="J12" s="135"/>
      <c r="K12" s="40">
        <v>0.64930555555555558</v>
      </c>
      <c r="L12" s="161" t="s">
        <v>18</v>
      </c>
      <c r="M12" s="135"/>
      <c r="N12" s="43">
        <v>0.5</v>
      </c>
      <c r="O12" s="163">
        <v>0.64</v>
      </c>
      <c r="P12" s="164"/>
    </row>
    <row r="13" spans="1:26" s="26" customFormat="1" ht="21.75" customHeight="1" x14ac:dyDescent="0.25">
      <c r="A13" s="20"/>
      <c r="B13" s="184" t="s">
        <v>19</v>
      </c>
      <c r="C13" s="186" t="s">
        <v>94</v>
      </c>
      <c r="D13" s="187"/>
      <c r="E13" s="187"/>
      <c r="F13" s="188" t="s">
        <v>95</v>
      </c>
      <c r="G13" s="187"/>
      <c r="H13" s="187"/>
      <c r="I13" s="187"/>
      <c r="J13" s="188" t="s">
        <v>96</v>
      </c>
      <c r="K13" s="187"/>
      <c r="L13" s="187"/>
      <c r="M13" s="187"/>
      <c r="N13" s="189" t="s">
        <v>97</v>
      </c>
      <c r="O13" s="187"/>
      <c r="P13" s="190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185"/>
      <c r="C14" s="191" t="s">
        <v>98</v>
      </c>
      <c r="D14" s="192"/>
      <c r="E14" s="192"/>
      <c r="F14" s="193" t="s">
        <v>99</v>
      </c>
      <c r="G14" s="192"/>
      <c r="H14" s="192"/>
      <c r="I14" s="192"/>
      <c r="J14" s="194" t="s">
        <v>100</v>
      </c>
      <c r="K14" s="192"/>
      <c r="L14" s="192"/>
      <c r="M14" s="192"/>
      <c r="N14" s="195"/>
      <c r="O14" s="181"/>
      <c r="P14" s="19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24"/>
      <c r="C15" s="197" t="s">
        <v>101</v>
      </c>
      <c r="D15" s="169"/>
      <c r="E15" s="169"/>
      <c r="F15" s="169" t="s">
        <v>102</v>
      </c>
      <c r="G15" s="170"/>
      <c r="H15" s="170"/>
      <c r="I15" s="170"/>
      <c r="J15" s="169" t="s">
        <v>66</v>
      </c>
      <c r="K15" s="170"/>
      <c r="L15" s="170"/>
      <c r="M15" s="170"/>
      <c r="N15" s="171"/>
      <c r="O15" s="172"/>
      <c r="P15" s="17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74" t="s">
        <v>20</v>
      </c>
      <c r="C16" s="176" t="s">
        <v>21</v>
      </c>
      <c r="D16" s="176" t="s">
        <v>42</v>
      </c>
      <c r="E16" s="178" t="s">
        <v>22</v>
      </c>
      <c r="F16" s="179" t="s">
        <v>43</v>
      </c>
      <c r="G16" s="110"/>
      <c r="H16" s="176" t="s">
        <v>67</v>
      </c>
      <c r="I16" s="182" t="s">
        <v>68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175"/>
      <c r="C17" s="177"/>
      <c r="D17" s="177"/>
      <c r="E17" s="177"/>
      <c r="F17" s="180"/>
      <c r="G17" s="181"/>
      <c r="H17" s="177"/>
      <c r="I17" s="183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0.64</v>
      </c>
      <c r="D18" s="55">
        <v>0.01</v>
      </c>
      <c r="E18" s="56"/>
      <c r="F18" s="57"/>
      <c r="G18" s="97"/>
      <c r="H18" s="58"/>
      <c r="I18" s="59"/>
      <c r="J18" s="96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06">
        <v>1</v>
      </c>
      <c r="C19" s="208">
        <f>C18+$N$12</f>
        <v>1.1400000000000001</v>
      </c>
      <c r="D19" s="198">
        <v>0.08</v>
      </c>
      <c r="E19" s="198">
        <v>0.02</v>
      </c>
      <c r="F19" s="62" t="s">
        <v>69</v>
      </c>
      <c r="G19" s="63">
        <v>0</v>
      </c>
      <c r="H19" s="64"/>
      <c r="I19" s="65"/>
      <c r="J19" s="66"/>
      <c r="K19" s="198">
        <f>+IF(E19&lt;=0.12,(J21),(IF(E19&lt;0.16,((J20+2*J21+J22)/4),IF(E19&gt;=0.16,((J19+3*J20+2*J21+3*J22+J23)/10)))))</f>
        <v>0</v>
      </c>
      <c r="L19" s="198">
        <f>ROUND(+(D18+D19)/2*(C19-C18),3)</f>
        <v>2.3E-2</v>
      </c>
      <c r="M19" s="198">
        <f>ROUND(+K19*L19,4)</f>
        <v>0</v>
      </c>
      <c r="N19" s="201">
        <f>ROUND(+M19/$M$128*100,2)</f>
        <v>0</v>
      </c>
      <c r="O19" s="202"/>
      <c r="P19" s="20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07"/>
      <c r="C20" s="199"/>
      <c r="D20" s="199"/>
      <c r="E20" s="199"/>
      <c r="F20" s="67" t="s">
        <v>70</v>
      </c>
      <c r="G20" s="68" t="str">
        <f>IF(E19&lt;0.125,"NA",IF(0.125&lt;=E19,(0.2*E19)))</f>
        <v>NA</v>
      </c>
      <c r="H20" s="69"/>
      <c r="I20" s="70"/>
      <c r="J20" s="71"/>
      <c r="K20" s="199"/>
      <c r="L20" s="199"/>
      <c r="M20" s="199"/>
      <c r="N20" s="199"/>
      <c r="O20" s="199"/>
      <c r="P20" s="204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07"/>
      <c r="C21" s="199"/>
      <c r="D21" s="199"/>
      <c r="E21" s="199"/>
      <c r="F21" s="67" t="s">
        <v>71</v>
      </c>
      <c r="G21" s="68">
        <f>+E19*0.4</f>
        <v>8.0000000000000002E-3</v>
      </c>
      <c r="H21" s="69"/>
      <c r="I21" s="70"/>
      <c r="J21" s="71"/>
      <c r="K21" s="199"/>
      <c r="L21" s="199"/>
      <c r="M21" s="199"/>
      <c r="N21" s="199"/>
      <c r="O21" s="199"/>
      <c r="P21" s="204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07"/>
      <c r="C22" s="199"/>
      <c r="D22" s="199"/>
      <c r="E22" s="199"/>
      <c r="F22" s="67" t="s">
        <v>72</v>
      </c>
      <c r="G22" s="68" t="str">
        <f>IF(E19&lt;0.125,"NA",IF(0.125&lt;=E19,(0.8*E19)))</f>
        <v>NA</v>
      </c>
      <c r="H22" s="69"/>
      <c r="I22" s="70"/>
      <c r="J22" s="71"/>
      <c r="K22" s="199"/>
      <c r="L22" s="199"/>
      <c r="M22" s="199"/>
      <c r="N22" s="199"/>
      <c r="O22" s="199"/>
      <c r="P22" s="204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147"/>
      <c r="C23" s="200"/>
      <c r="D23" s="200"/>
      <c r="E23" s="200"/>
      <c r="F23" s="72" t="s">
        <v>73</v>
      </c>
      <c r="G23" s="73">
        <f>+E19</f>
        <v>0.02</v>
      </c>
      <c r="H23" s="74"/>
      <c r="I23" s="75"/>
      <c r="J23" s="76"/>
      <c r="K23" s="200"/>
      <c r="L23" s="200"/>
      <c r="M23" s="200"/>
      <c r="N23" s="200"/>
      <c r="O23" s="200"/>
      <c r="P23" s="205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06">
        <v>2</v>
      </c>
      <c r="C24" s="208">
        <f>C19+$N$12</f>
        <v>1.6400000000000001</v>
      </c>
      <c r="D24" s="198">
        <v>0.16</v>
      </c>
      <c r="E24" s="198">
        <v>0.1</v>
      </c>
      <c r="F24" s="62" t="s">
        <v>69</v>
      </c>
      <c r="G24" s="63">
        <v>0</v>
      </c>
      <c r="H24" s="64"/>
      <c r="I24" s="65"/>
      <c r="J24" s="66"/>
      <c r="K24" s="198">
        <f>+IF(E24&lt;=0.12,(J26),(IF(E24&lt;0.16,((J25+2*J26+J27)/4),IF(E24&gt;=0.16,((J24+3*J25+2*J26+3*J27+J28)/10)))))</f>
        <v>0.57799999999999996</v>
      </c>
      <c r="L24" s="198">
        <f>ROUND(+(D19+D24)/2*(C24-C19),3)</f>
        <v>0.06</v>
      </c>
      <c r="M24" s="198">
        <f>ROUND(+K24*L24,4)</f>
        <v>3.4700000000000002E-2</v>
      </c>
      <c r="N24" s="201">
        <f>ROUND(+M24/$M$128*100,2)</f>
        <v>1.73</v>
      </c>
      <c r="O24" s="202"/>
      <c r="P24" s="20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07"/>
      <c r="C25" s="199"/>
      <c r="D25" s="199"/>
      <c r="E25" s="199"/>
      <c r="F25" s="67" t="s">
        <v>70</v>
      </c>
      <c r="G25" s="68" t="str">
        <f t="shared" ref="G25" si="0">IF(E24&lt;0.125,"NA",IF(0.125&lt;=E24,(0.2*E24)))</f>
        <v>NA</v>
      </c>
      <c r="H25" s="69"/>
      <c r="I25" s="70"/>
      <c r="J25" s="71"/>
      <c r="K25" s="199"/>
      <c r="L25" s="199"/>
      <c r="M25" s="199"/>
      <c r="N25" s="199"/>
      <c r="O25" s="199"/>
      <c r="P25" s="204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07"/>
      <c r="C26" s="199"/>
      <c r="D26" s="199"/>
      <c r="E26" s="199"/>
      <c r="F26" s="67" t="s">
        <v>71</v>
      </c>
      <c r="G26" s="68">
        <f t="shared" ref="G26" si="1">+E24*0.4</f>
        <v>4.0000000000000008E-2</v>
      </c>
      <c r="H26" s="69"/>
      <c r="I26" s="70"/>
      <c r="J26" s="71">
        <v>0.57799999999999996</v>
      </c>
      <c r="K26" s="199"/>
      <c r="L26" s="199"/>
      <c r="M26" s="199"/>
      <c r="N26" s="199"/>
      <c r="O26" s="199"/>
      <c r="P26" s="204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07"/>
      <c r="C27" s="199"/>
      <c r="D27" s="199"/>
      <c r="E27" s="199"/>
      <c r="F27" s="67" t="s">
        <v>72</v>
      </c>
      <c r="G27" s="68" t="str">
        <f t="shared" ref="G27" si="2">IF(E24&lt;0.125,"NA",IF(0.125&lt;=E24,(0.8*E24)))</f>
        <v>NA</v>
      </c>
      <c r="H27" s="69"/>
      <c r="I27" s="70"/>
      <c r="J27" s="71"/>
      <c r="K27" s="199"/>
      <c r="L27" s="199"/>
      <c r="M27" s="199"/>
      <c r="N27" s="199"/>
      <c r="O27" s="199"/>
      <c r="P27" s="204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147"/>
      <c r="C28" s="200"/>
      <c r="D28" s="200"/>
      <c r="E28" s="200"/>
      <c r="F28" s="72" t="s">
        <v>73</v>
      </c>
      <c r="G28" s="73">
        <f t="shared" ref="G28" si="3">+E24</f>
        <v>0.1</v>
      </c>
      <c r="H28" s="74"/>
      <c r="I28" s="75"/>
      <c r="J28" s="76"/>
      <c r="K28" s="200"/>
      <c r="L28" s="200"/>
      <c r="M28" s="200"/>
      <c r="N28" s="200"/>
      <c r="O28" s="200"/>
      <c r="P28" s="205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06">
        <v>3</v>
      </c>
      <c r="C29" s="208">
        <f t="shared" ref="C29" si="4">C24+$N$12</f>
        <v>2.14</v>
      </c>
      <c r="D29" s="198">
        <v>0.2</v>
      </c>
      <c r="E29" s="198">
        <v>0.18</v>
      </c>
      <c r="F29" s="62" t="s">
        <v>69</v>
      </c>
      <c r="G29" s="63">
        <v>0</v>
      </c>
      <c r="H29" s="64"/>
      <c r="I29" s="65"/>
      <c r="J29" s="66"/>
      <c r="K29" s="198">
        <f t="shared" ref="K29" si="5">+IF(E29&lt;=0.12,(J31),(IF(E29&lt;0.16,((J30+2*J31+J32)/4),IF(E29&gt;=0.16,((J29+3*J30+2*J31+3*J32+J33)/10)))))</f>
        <v>0.33160000000000001</v>
      </c>
      <c r="L29" s="198">
        <f t="shared" ref="L29" si="6">ROUND(+(D24+D29)/2*(C29-C24),3)</f>
        <v>0.09</v>
      </c>
      <c r="M29" s="198">
        <f t="shared" ref="M29" si="7">ROUND(+K29*L29,4)</f>
        <v>2.98E-2</v>
      </c>
      <c r="N29" s="201">
        <f t="shared" ref="N29" si="8">ROUND(+M29/$M$128*100,2)</f>
        <v>1.49</v>
      </c>
      <c r="O29" s="202"/>
      <c r="P29" s="20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07"/>
      <c r="C30" s="199"/>
      <c r="D30" s="199"/>
      <c r="E30" s="199"/>
      <c r="F30" s="67" t="s">
        <v>70</v>
      </c>
      <c r="G30" s="68">
        <f t="shared" ref="G30" si="9">IF(E29&lt;0.125,"NA",IF(0.125&lt;=E29,(0.2*E29)))</f>
        <v>3.5999999999999997E-2</v>
      </c>
      <c r="H30" s="69"/>
      <c r="I30" s="70"/>
      <c r="J30" s="71"/>
      <c r="K30" s="199"/>
      <c r="L30" s="199"/>
      <c r="M30" s="199"/>
      <c r="N30" s="199"/>
      <c r="O30" s="199"/>
      <c r="P30" s="204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07"/>
      <c r="C31" s="199"/>
      <c r="D31" s="199"/>
      <c r="E31" s="199"/>
      <c r="F31" s="67" t="s">
        <v>71</v>
      </c>
      <c r="G31" s="68">
        <f t="shared" ref="G31" si="10">+E29*0.4</f>
        <v>7.1999999999999995E-2</v>
      </c>
      <c r="H31" s="69"/>
      <c r="I31" s="70"/>
      <c r="J31" s="71">
        <v>1.0629999999999999</v>
      </c>
      <c r="K31" s="199"/>
      <c r="L31" s="199"/>
      <c r="M31" s="199"/>
      <c r="N31" s="199"/>
      <c r="O31" s="199"/>
      <c r="P31" s="204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07"/>
      <c r="C32" s="199"/>
      <c r="D32" s="199"/>
      <c r="E32" s="199"/>
      <c r="F32" s="67" t="s">
        <v>72</v>
      </c>
      <c r="G32" s="68">
        <f t="shared" ref="G32" si="11">IF(E29&lt;0.125,"NA",IF(0.125&lt;=E29,(0.8*E29)))</f>
        <v>0.14399999999999999</v>
      </c>
      <c r="H32" s="69"/>
      <c r="I32" s="70"/>
      <c r="J32" s="71"/>
      <c r="K32" s="199"/>
      <c r="L32" s="199"/>
      <c r="M32" s="199"/>
      <c r="N32" s="199"/>
      <c r="O32" s="199"/>
      <c r="P32" s="204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147"/>
      <c r="C33" s="200"/>
      <c r="D33" s="200"/>
      <c r="E33" s="200"/>
      <c r="F33" s="72" t="s">
        <v>73</v>
      </c>
      <c r="G33" s="73">
        <f t="shared" ref="G33" si="12">+E29</f>
        <v>0.18</v>
      </c>
      <c r="H33" s="74"/>
      <c r="I33" s="75"/>
      <c r="J33" s="76">
        <v>1.19</v>
      </c>
      <c r="K33" s="200"/>
      <c r="L33" s="200"/>
      <c r="M33" s="200"/>
      <c r="N33" s="200"/>
      <c r="O33" s="200"/>
      <c r="P33" s="205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06">
        <v>4</v>
      </c>
      <c r="C34" s="208">
        <f t="shared" ref="C34" si="13">C29+$N$12</f>
        <v>2.64</v>
      </c>
      <c r="D34" s="198">
        <v>0.24</v>
      </c>
      <c r="E34" s="198">
        <v>0.23</v>
      </c>
      <c r="F34" s="62" t="s">
        <v>69</v>
      </c>
      <c r="G34" s="63">
        <v>0</v>
      </c>
      <c r="H34" s="64"/>
      <c r="I34" s="65"/>
      <c r="J34" s="66"/>
      <c r="K34" s="198">
        <f t="shared" ref="K34" si="14">+IF(E34&lt;=0.12,(J36),(IF(E34&lt;0.16,((J35+2*J36+J37)/4),IF(E34&gt;=0.16,((J34+3*J35+2*J36+3*J37+J38)/10)))))</f>
        <v>0.5809333333333333</v>
      </c>
      <c r="L34" s="198">
        <f t="shared" ref="L34" si="15">ROUND(+(D29+D34)/2*(C34-C29),3)</f>
        <v>0.11</v>
      </c>
      <c r="M34" s="198">
        <f t="shared" ref="M34" si="16">ROUND(+K34*L34,4)</f>
        <v>6.3899999999999998E-2</v>
      </c>
      <c r="N34" s="201">
        <f t="shared" ref="N34" si="17">ROUND(+M34/$M$128*100,2)</f>
        <v>3.19</v>
      </c>
      <c r="O34" s="202"/>
      <c r="P34" s="20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07"/>
      <c r="C35" s="199"/>
      <c r="D35" s="199"/>
      <c r="E35" s="199"/>
      <c r="F35" s="67" t="s">
        <v>70</v>
      </c>
      <c r="G35" s="68">
        <f t="shared" ref="G35" si="18">IF(E34&lt;0.125,"NA",IF(0.125&lt;=E34,(0.2*E34)))</f>
        <v>4.6000000000000006E-2</v>
      </c>
      <c r="H35" s="69"/>
      <c r="I35" s="70"/>
      <c r="J35" s="71"/>
      <c r="K35" s="199"/>
      <c r="L35" s="199"/>
      <c r="M35" s="199"/>
      <c r="N35" s="199"/>
      <c r="O35" s="199"/>
      <c r="P35" s="204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07"/>
      <c r="C36" s="199"/>
      <c r="D36" s="199"/>
      <c r="E36" s="199"/>
      <c r="F36" s="67" t="s">
        <v>71</v>
      </c>
      <c r="G36" s="68">
        <f t="shared" ref="G36" si="19">+E34*0.4</f>
        <v>9.2000000000000012E-2</v>
      </c>
      <c r="H36" s="69"/>
      <c r="I36" s="70"/>
      <c r="J36" s="71">
        <v>1.893</v>
      </c>
      <c r="K36" s="199"/>
      <c r="L36" s="199"/>
      <c r="M36" s="199"/>
      <c r="N36" s="199"/>
      <c r="O36" s="199"/>
      <c r="P36" s="204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07"/>
      <c r="C37" s="199"/>
      <c r="D37" s="199"/>
      <c r="E37" s="199"/>
      <c r="F37" s="67" t="s">
        <v>72</v>
      </c>
      <c r="G37" s="68">
        <f t="shared" ref="G37" si="20">IF(E34&lt;0.125,"NA",IF(0.125&lt;=E34,(0.8*E34)))</f>
        <v>0.18400000000000002</v>
      </c>
      <c r="H37" s="69"/>
      <c r="I37" s="70"/>
      <c r="J37" s="71"/>
      <c r="K37" s="199"/>
      <c r="L37" s="199"/>
      <c r="M37" s="199"/>
      <c r="N37" s="199"/>
      <c r="O37" s="199"/>
      <c r="P37" s="204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147"/>
      <c r="C38" s="200"/>
      <c r="D38" s="200"/>
      <c r="E38" s="200"/>
      <c r="F38" s="72" t="s">
        <v>73</v>
      </c>
      <c r="G38" s="73">
        <f t="shared" ref="G38" si="21">+E34</f>
        <v>0.23</v>
      </c>
      <c r="H38" s="74"/>
      <c r="I38" s="75"/>
      <c r="J38" s="76">
        <v>2.0233333333333334</v>
      </c>
      <c r="K38" s="200"/>
      <c r="L38" s="200"/>
      <c r="M38" s="200"/>
      <c r="N38" s="200"/>
      <c r="O38" s="200"/>
      <c r="P38" s="205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06">
        <v>5</v>
      </c>
      <c r="C39" s="208">
        <f t="shared" ref="C39" si="22">C34+$N$12</f>
        <v>3.14</v>
      </c>
      <c r="D39" s="198">
        <v>0.17</v>
      </c>
      <c r="E39" s="198">
        <v>0.26</v>
      </c>
      <c r="F39" s="62" t="s">
        <v>69</v>
      </c>
      <c r="G39" s="63">
        <v>0</v>
      </c>
      <c r="H39" s="64"/>
      <c r="I39" s="65"/>
      <c r="J39" s="66"/>
      <c r="K39" s="198">
        <f t="shared" ref="K39" si="23">+IF(E39&lt;=0.12,(J41),(IF(E39&lt;0.16,((J40+2*J41+J42)/4),IF(E39&gt;=0.16,((J39+3*J40+2*J41+3*J42+J43)/10)))))</f>
        <v>0.71100000000000008</v>
      </c>
      <c r="L39" s="198">
        <f t="shared" ref="L39" si="24">ROUND(+(D34+D39)/2*(C39-C34),3)</f>
        <v>0.10299999999999999</v>
      </c>
      <c r="M39" s="198">
        <f t="shared" ref="M39" si="25">ROUND(+K39*L39,4)</f>
        <v>7.3200000000000001E-2</v>
      </c>
      <c r="N39" s="201">
        <f t="shared" ref="N39" si="26">ROUND(+M39/$M$128*100,2)</f>
        <v>3.65</v>
      </c>
      <c r="O39" s="202"/>
      <c r="P39" s="20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07"/>
      <c r="C40" s="199"/>
      <c r="D40" s="199"/>
      <c r="E40" s="199"/>
      <c r="F40" s="67" t="s">
        <v>70</v>
      </c>
      <c r="G40" s="68">
        <f t="shared" ref="G40" si="27">IF(E39&lt;0.125,"NA",IF(0.125&lt;=E39,(0.2*E39)))</f>
        <v>5.2000000000000005E-2</v>
      </c>
      <c r="H40" s="69"/>
      <c r="I40" s="70"/>
      <c r="J40" s="71"/>
      <c r="K40" s="199"/>
      <c r="L40" s="199"/>
      <c r="M40" s="199"/>
      <c r="N40" s="199"/>
      <c r="O40" s="199"/>
      <c r="P40" s="204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07"/>
      <c r="C41" s="199"/>
      <c r="D41" s="199"/>
      <c r="E41" s="199"/>
      <c r="F41" s="67" t="s">
        <v>71</v>
      </c>
      <c r="G41" s="68">
        <f t="shared" ref="G41" si="28">+E39*0.4</f>
        <v>0.10400000000000001</v>
      </c>
      <c r="H41" s="69"/>
      <c r="I41" s="70"/>
      <c r="J41" s="71">
        <v>2.35</v>
      </c>
      <c r="K41" s="199"/>
      <c r="L41" s="199"/>
      <c r="M41" s="199"/>
      <c r="N41" s="199"/>
      <c r="O41" s="199"/>
      <c r="P41" s="204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07"/>
      <c r="C42" s="199"/>
      <c r="D42" s="199"/>
      <c r="E42" s="199"/>
      <c r="F42" s="67" t="s">
        <v>72</v>
      </c>
      <c r="G42" s="68">
        <f t="shared" ref="G42" si="29">IF(E39&lt;0.125,"NA",IF(0.125&lt;=E39,(0.8*E39)))</f>
        <v>0.20800000000000002</v>
      </c>
      <c r="H42" s="69"/>
      <c r="I42" s="70"/>
      <c r="J42" s="71"/>
      <c r="K42" s="199"/>
      <c r="L42" s="199"/>
      <c r="M42" s="199"/>
      <c r="N42" s="199"/>
      <c r="O42" s="199"/>
      <c r="P42" s="204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147"/>
      <c r="C43" s="200"/>
      <c r="D43" s="200"/>
      <c r="E43" s="200"/>
      <c r="F43" s="72" t="s">
        <v>73</v>
      </c>
      <c r="G43" s="73">
        <f t="shared" ref="G43" si="30">+E39</f>
        <v>0.26</v>
      </c>
      <c r="H43" s="74"/>
      <c r="I43" s="75"/>
      <c r="J43" s="76">
        <v>2.41</v>
      </c>
      <c r="K43" s="200"/>
      <c r="L43" s="200"/>
      <c r="M43" s="200"/>
      <c r="N43" s="200"/>
      <c r="O43" s="200"/>
      <c r="P43" s="205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06">
        <v>6</v>
      </c>
      <c r="C44" s="208">
        <f t="shared" ref="C44" si="31">C39+$N$12</f>
        <v>3.64</v>
      </c>
      <c r="D44" s="198">
        <v>0.26</v>
      </c>
      <c r="E44" s="198">
        <v>0.18</v>
      </c>
      <c r="F44" s="62" t="s">
        <v>69</v>
      </c>
      <c r="G44" s="63">
        <v>0</v>
      </c>
      <c r="H44" s="64"/>
      <c r="I44" s="65"/>
      <c r="J44" s="66"/>
      <c r="K44" s="198">
        <f t="shared" ref="K44" si="32">+IF(E44&lt;=0.12,(J46),(IF(E44&lt;0.16,((J45+2*J46+J47)/4),IF(E44&gt;=0.16,((J44+3*J45+2*J46+3*J47+J48)/10)))))</f>
        <v>0.80466666666666664</v>
      </c>
      <c r="L44" s="198">
        <f t="shared" ref="L44" si="33">ROUND(+(D39+D44)/2*(C44-C39),3)</f>
        <v>0.108</v>
      </c>
      <c r="M44" s="198">
        <f t="shared" ref="M44" si="34">ROUND(+K44*L44,4)</f>
        <v>8.6900000000000005E-2</v>
      </c>
      <c r="N44" s="201">
        <f t="shared" ref="N44" si="35">ROUND(+M44/$M$128*100,2)</f>
        <v>4.33</v>
      </c>
      <c r="O44" s="202"/>
      <c r="P44" s="20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07"/>
      <c r="C45" s="199"/>
      <c r="D45" s="199"/>
      <c r="E45" s="199"/>
      <c r="F45" s="67" t="s">
        <v>70</v>
      </c>
      <c r="G45" s="68">
        <f t="shared" ref="G45" si="36">IF(E44&lt;0.125,"NA",IF(0.125&lt;=E44,(0.2*E44)))</f>
        <v>3.5999999999999997E-2</v>
      </c>
      <c r="H45" s="69"/>
      <c r="I45" s="70"/>
      <c r="J45" s="71"/>
      <c r="K45" s="199"/>
      <c r="L45" s="199"/>
      <c r="M45" s="199"/>
      <c r="N45" s="199"/>
      <c r="O45" s="199"/>
      <c r="P45" s="204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07"/>
      <c r="C46" s="199"/>
      <c r="D46" s="199"/>
      <c r="E46" s="199"/>
      <c r="F46" s="67" t="s">
        <v>71</v>
      </c>
      <c r="G46" s="68">
        <f t="shared" ref="G46" si="37">+E44*0.4</f>
        <v>7.1999999999999995E-2</v>
      </c>
      <c r="H46" s="69"/>
      <c r="I46" s="70"/>
      <c r="J46" s="71">
        <v>2.65</v>
      </c>
      <c r="K46" s="199"/>
      <c r="L46" s="199"/>
      <c r="M46" s="199"/>
      <c r="N46" s="199"/>
      <c r="O46" s="199"/>
      <c r="P46" s="204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07"/>
      <c r="C47" s="199"/>
      <c r="D47" s="199"/>
      <c r="E47" s="199"/>
      <c r="F47" s="67" t="s">
        <v>72</v>
      </c>
      <c r="G47" s="68">
        <f t="shared" ref="G47" si="38">IF(E44&lt;0.125,"NA",IF(0.125&lt;=E44,(0.8*E44)))</f>
        <v>0.14399999999999999</v>
      </c>
      <c r="H47" s="69"/>
      <c r="I47" s="70"/>
      <c r="J47" s="71"/>
      <c r="K47" s="199"/>
      <c r="L47" s="199"/>
      <c r="M47" s="199"/>
      <c r="N47" s="199"/>
      <c r="O47" s="199"/>
      <c r="P47" s="204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147"/>
      <c r="C48" s="200"/>
      <c r="D48" s="200"/>
      <c r="E48" s="200"/>
      <c r="F48" s="72" t="s">
        <v>73</v>
      </c>
      <c r="G48" s="73">
        <f t="shared" ref="G48" si="39">+E44</f>
        <v>0.18</v>
      </c>
      <c r="H48" s="74"/>
      <c r="I48" s="75"/>
      <c r="J48" s="76">
        <v>2.7466666666666666</v>
      </c>
      <c r="K48" s="200"/>
      <c r="L48" s="200"/>
      <c r="M48" s="200"/>
      <c r="N48" s="200"/>
      <c r="O48" s="200"/>
      <c r="P48" s="205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06">
        <v>7</v>
      </c>
      <c r="C49" s="208">
        <f t="shared" ref="C49" si="40">C44+$N$12</f>
        <v>4.1400000000000006</v>
      </c>
      <c r="D49" s="198">
        <v>0.32</v>
      </c>
      <c r="E49" s="198">
        <v>0.3</v>
      </c>
      <c r="F49" s="62" t="s">
        <v>69</v>
      </c>
      <c r="G49" s="63">
        <v>0</v>
      </c>
      <c r="H49" s="64"/>
      <c r="I49" s="65"/>
      <c r="J49" s="66"/>
      <c r="K49" s="198">
        <f t="shared" ref="K49" si="41">+IF(E49&lt;=0.12,(J51),(IF(E49&lt;0.16,((J50+2*J51+J52)/4),IF(E49&gt;=0.16,((J49+3*J50+2*J51+3*J52+J53)/10)))))</f>
        <v>2.3935666666666666</v>
      </c>
      <c r="L49" s="198">
        <f t="shared" ref="L49" si="42">ROUND(+(D44+D49)/2*(C49-C44),3)</f>
        <v>0.14499999999999999</v>
      </c>
      <c r="M49" s="198">
        <f t="shared" ref="M49" si="43">ROUND(+K49*L49,4)</f>
        <v>0.34710000000000002</v>
      </c>
      <c r="N49" s="201">
        <f t="shared" ref="N49" si="44">ROUND(+M49/$M$128*100,2)</f>
        <v>17.3</v>
      </c>
      <c r="O49" s="202"/>
      <c r="P49" s="20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07"/>
      <c r="C50" s="199"/>
      <c r="D50" s="199"/>
      <c r="E50" s="199"/>
      <c r="F50" s="67" t="s">
        <v>70</v>
      </c>
      <c r="G50" s="68">
        <f t="shared" ref="G50" si="45">IF(E49&lt;0.125,"NA",IF(0.125&lt;=E49,(0.2*E49)))</f>
        <v>0.06</v>
      </c>
      <c r="H50" s="69"/>
      <c r="I50" s="70"/>
      <c r="J50" s="71">
        <v>2.7866666666666666</v>
      </c>
      <c r="K50" s="199"/>
      <c r="L50" s="199"/>
      <c r="M50" s="199"/>
      <c r="N50" s="199"/>
      <c r="O50" s="199"/>
      <c r="P50" s="204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07"/>
      <c r="C51" s="199"/>
      <c r="D51" s="199"/>
      <c r="E51" s="199"/>
      <c r="F51" s="67" t="s">
        <v>71</v>
      </c>
      <c r="G51" s="68">
        <f t="shared" ref="G51" si="46">+E49*0.4</f>
        <v>0.12</v>
      </c>
      <c r="H51" s="69"/>
      <c r="I51" s="70"/>
      <c r="J51" s="71">
        <v>3.1033333333333335</v>
      </c>
      <c r="K51" s="199"/>
      <c r="L51" s="199"/>
      <c r="M51" s="199"/>
      <c r="N51" s="199"/>
      <c r="O51" s="199"/>
      <c r="P51" s="204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07"/>
      <c r="C52" s="199"/>
      <c r="D52" s="199"/>
      <c r="E52" s="199"/>
      <c r="F52" s="67" t="s">
        <v>72</v>
      </c>
      <c r="G52" s="68">
        <f t="shared" ref="G52" si="47">IF(E49&lt;0.125,"NA",IF(0.125&lt;=E49,(0.8*E49)))</f>
        <v>0.24</v>
      </c>
      <c r="H52" s="69"/>
      <c r="I52" s="70"/>
      <c r="J52" s="71">
        <v>3.1230000000000002</v>
      </c>
      <c r="K52" s="199"/>
      <c r="L52" s="199"/>
      <c r="M52" s="199"/>
      <c r="N52" s="199"/>
      <c r="O52" s="199"/>
      <c r="P52" s="204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147"/>
      <c r="C53" s="200"/>
      <c r="D53" s="200"/>
      <c r="E53" s="200"/>
      <c r="F53" s="72" t="s">
        <v>73</v>
      </c>
      <c r="G53" s="73">
        <f t="shared" ref="G53" si="48">+E49</f>
        <v>0.3</v>
      </c>
      <c r="H53" s="74"/>
      <c r="I53" s="75"/>
      <c r="J53" s="76"/>
      <c r="K53" s="200"/>
      <c r="L53" s="200"/>
      <c r="M53" s="200"/>
      <c r="N53" s="200"/>
      <c r="O53" s="200"/>
      <c r="P53" s="205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06">
        <v>8</v>
      </c>
      <c r="C54" s="208">
        <f t="shared" ref="C54" si="49">C49+$N$12</f>
        <v>4.6400000000000006</v>
      </c>
      <c r="D54" s="198">
        <v>0.33</v>
      </c>
      <c r="E54" s="198">
        <v>0.32</v>
      </c>
      <c r="F54" s="62" t="s">
        <v>69</v>
      </c>
      <c r="G54" s="63">
        <v>0</v>
      </c>
      <c r="H54" s="64"/>
      <c r="I54" s="65"/>
      <c r="J54" s="66"/>
      <c r="K54" s="198">
        <f t="shared" ref="K54" si="50">+IF(E54&lt;=0.12,(J56),(IF(E54&lt;0.16,((J55+2*J56+J57)/4),IF(E54&gt;=0.16,((J54+3*J55+2*J56+3*J57+J58)/10)))))</f>
        <v>0.92433333333333345</v>
      </c>
      <c r="L54" s="198">
        <f t="shared" ref="L54" si="51">ROUND(+(D49+D54)/2*(C54-C49),3)</f>
        <v>0.16300000000000001</v>
      </c>
      <c r="M54" s="198">
        <f t="shared" ref="M54" si="52">ROUND(+K54*L54,4)</f>
        <v>0.1507</v>
      </c>
      <c r="N54" s="201">
        <f t="shared" ref="N54" si="53">ROUND(+M54/$M$128*100,2)</f>
        <v>7.51</v>
      </c>
      <c r="O54" s="202"/>
      <c r="P54" s="20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07"/>
      <c r="C55" s="199"/>
      <c r="D55" s="199"/>
      <c r="E55" s="199"/>
      <c r="F55" s="67" t="s">
        <v>70</v>
      </c>
      <c r="G55" s="68">
        <f t="shared" ref="G55" si="54">IF(E54&lt;0.125,"NA",IF(0.125&lt;=E54,(0.2*E54)))</f>
        <v>6.4000000000000001E-2</v>
      </c>
      <c r="H55" s="69"/>
      <c r="I55" s="70"/>
      <c r="J55" s="71">
        <v>1.1266666666666667</v>
      </c>
      <c r="K55" s="199"/>
      <c r="L55" s="199"/>
      <c r="M55" s="199"/>
      <c r="N55" s="199"/>
      <c r="O55" s="199"/>
      <c r="P55" s="204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07"/>
      <c r="C56" s="199"/>
      <c r="D56" s="199"/>
      <c r="E56" s="199"/>
      <c r="F56" s="67" t="s">
        <v>71</v>
      </c>
      <c r="G56" s="68">
        <f t="shared" ref="G56" si="55">+E54*0.4</f>
        <v>0.128</v>
      </c>
      <c r="H56" s="69"/>
      <c r="I56" s="70"/>
      <c r="J56" s="71">
        <v>1.5200000000000002</v>
      </c>
      <c r="K56" s="199"/>
      <c r="L56" s="199"/>
      <c r="M56" s="199"/>
      <c r="N56" s="199"/>
      <c r="O56" s="199"/>
      <c r="P56" s="204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07"/>
      <c r="C57" s="199"/>
      <c r="D57" s="199"/>
      <c r="E57" s="199"/>
      <c r="F57" s="67" t="s">
        <v>72</v>
      </c>
      <c r="G57" s="68">
        <f t="shared" ref="G57" si="56">IF(E54&lt;0.125,"NA",IF(0.125&lt;=E54,(0.8*E54)))</f>
        <v>0.25600000000000001</v>
      </c>
      <c r="H57" s="69"/>
      <c r="I57" s="70"/>
      <c r="J57" s="71"/>
      <c r="K57" s="199"/>
      <c r="L57" s="199"/>
      <c r="M57" s="199"/>
      <c r="N57" s="199"/>
      <c r="O57" s="199"/>
      <c r="P57" s="204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147"/>
      <c r="C58" s="200"/>
      <c r="D58" s="200"/>
      <c r="E58" s="200"/>
      <c r="F58" s="72" t="s">
        <v>73</v>
      </c>
      <c r="G58" s="73">
        <f t="shared" ref="G58" si="57">+E54</f>
        <v>0.32</v>
      </c>
      <c r="H58" s="74"/>
      <c r="I58" s="75"/>
      <c r="J58" s="76">
        <v>2.8233333333333337</v>
      </c>
      <c r="K58" s="200"/>
      <c r="L58" s="200"/>
      <c r="M58" s="200"/>
      <c r="N58" s="200"/>
      <c r="O58" s="200"/>
      <c r="P58" s="205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06">
        <v>9</v>
      </c>
      <c r="C59" s="208">
        <f t="shared" ref="C59" si="58">C54+$N$12</f>
        <v>5.1400000000000006</v>
      </c>
      <c r="D59" s="198">
        <v>0.3</v>
      </c>
      <c r="E59" s="198">
        <v>0.32</v>
      </c>
      <c r="F59" s="62" t="s">
        <v>69</v>
      </c>
      <c r="G59" s="63">
        <v>0</v>
      </c>
      <c r="H59" s="64"/>
      <c r="I59" s="65"/>
      <c r="J59" s="66"/>
      <c r="K59" s="198">
        <f t="shared" ref="K59" si="59">+IF(E59&lt;=0.12,(J61),(IF(E59&lt;0.16,((J60+2*J61+J62)/4),IF(E59&gt;=0.16,((J59+3*J60+2*J61+3*J62+J63)/10)))))</f>
        <v>1.3299999999999998</v>
      </c>
      <c r="L59" s="198">
        <f t="shared" ref="L59" si="60">ROUND(+(D54+D59)/2*(C59-C54),3)</f>
        <v>0.158</v>
      </c>
      <c r="M59" s="198">
        <f t="shared" ref="M59" si="61">ROUND(+K59*L59,4)</f>
        <v>0.21010000000000001</v>
      </c>
      <c r="N59" s="201">
        <f t="shared" ref="N59" si="62">ROUND(+M59/$M$128*100,2)</f>
        <v>10.47</v>
      </c>
      <c r="O59" s="202"/>
      <c r="P59" s="20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07"/>
      <c r="C60" s="199"/>
      <c r="D60" s="199"/>
      <c r="E60" s="199"/>
      <c r="F60" s="67" t="s">
        <v>70</v>
      </c>
      <c r="G60" s="68">
        <f t="shared" ref="G60" si="63">IF(E59&lt;0.125,"NA",IF(0.125&lt;=E59,(0.2*E59)))</f>
        <v>6.4000000000000001E-2</v>
      </c>
      <c r="H60" s="69"/>
      <c r="I60" s="70"/>
      <c r="J60" s="71">
        <v>1.763333333333333</v>
      </c>
      <c r="K60" s="199"/>
      <c r="L60" s="199"/>
      <c r="M60" s="199"/>
      <c r="N60" s="199"/>
      <c r="O60" s="199"/>
      <c r="P60" s="204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07"/>
      <c r="C61" s="199"/>
      <c r="D61" s="199"/>
      <c r="E61" s="199"/>
      <c r="F61" s="67" t="s">
        <v>71</v>
      </c>
      <c r="G61" s="68">
        <f t="shared" ref="G61" si="64">+E59*0.4</f>
        <v>0.128</v>
      </c>
      <c r="H61" s="69"/>
      <c r="I61" s="70"/>
      <c r="J61" s="71">
        <v>2.4300000000000002</v>
      </c>
      <c r="K61" s="199"/>
      <c r="L61" s="199"/>
      <c r="M61" s="199"/>
      <c r="N61" s="199"/>
      <c r="O61" s="199"/>
      <c r="P61" s="204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07"/>
      <c r="C62" s="199"/>
      <c r="D62" s="199"/>
      <c r="E62" s="199"/>
      <c r="F62" s="67" t="s">
        <v>72</v>
      </c>
      <c r="G62" s="68">
        <f t="shared" ref="G62" si="65">IF(E59&lt;0.125,"NA",IF(0.125&lt;=E59,(0.8*E59)))</f>
        <v>0.25600000000000001</v>
      </c>
      <c r="H62" s="69"/>
      <c r="I62" s="70"/>
      <c r="J62" s="71"/>
      <c r="K62" s="199"/>
      <c r="L62" s="199"/>
      <c r="M62" s="199"/>
      <c r="N62" s="199"/>
      <c r="O62" s="199"/>
      <c r="P62" s="204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147"/>
      <c r="C63" s="200"/>
      <c r="D63" s="200"/>
      <c r="E63" s="200"/>
      <c r="F63" s="72" t="s">
        <v>73</v>
      </c>
      <c r="G63" s="73">
        <f t="shared" ref="G63" si="66">+E59</f>
        <v>0.32</v>
      </c>
      <c r="H63" s="74"/>
      <c r="I63" s="75"/>
      <c r="J63" s="76">
        <v>3.1500000000000004</v>
      </c>
      <c r="K63" s="200"/>
      <c r="L63" s="200"/>
      <c r="M63" s="200"/>
      <c r="N63" s="200"/>
      <c r="O63" s="200"/>
      <c r="P63" s="205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06">
        <v>10</v>
      </c>
      <c r="C64" s="208">
        <f t="shared" ref="C64" si="67">C59+$N$12</f>
        <v>5.6400000000000006</v>
      </c>
      <c r="D64" s="198">
        <v>0.33</v>
      </c>
      <c r="E64" s="198">
        <v>0.32</v>
      </c>
      <c r="F64" s="62" t="s">
        <v>69</v>
      </c>
      <c r="G64" s="63">
        <v>0</v>
      </c>
      <c r="H64" s="64"/>
      <c r="I64" s="65"/>
      <c r="J64" s="66"/>
      <c r="K64" s="198">
        <f t="shared" ref="K64" si="68">+IF(E64&lt;=0.12,(J66),(IF(E64&lt;0.16,((J65+2*J66+J67)/4),IF(E64&gt;=0.16,((J64+3*J65+2*J66+3*J67+J68)/10)))))</f>
        <v>1.5383333333333333</v>
      </c>
      <c r="L64" s="198">
        <f t="shared" ref="L64" si="69">ROUND(+(D59+D64)/2*(C64-C59),3)</f>
        <v>0.158</v>
      </c>
      <c r="M64" s="198">
        <f t="shared" ref="M64" si="70">ROUND(+K64*L64,4)</f>
        <v>0.24310000000000001</v>
      </c>
      <c r="N64" s="201">
        <f t="shared" ref="N64" si="71">ROUND(+M64/$M$128*100,2)</f>
        <v>12.12</v>
      </c>
      <c r="O64" s="202"/>
      <c r="P64" s="20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07"/>
      <c r="C65" s="199"/>
      <c r="D65" s="199"/>
      <c r="E65" s="199"/>
      <c r="F65" s="67" t="s">
        <v>70</v>
      </c>
      <c r="G65" s="68">
        <f t="shared" ref="G65" si="72">IF(E64&lt;0.125,"NA",IF(0.125&lt;=E64,(0.2*E64)))</f>
        <v>6.4000000000000001E-2</v>
      </c>
      <c r="H65" s="69"/>
      <c r="I65" s="70"/>
      <c r="J65" s="71">
        <v>2.4266666666666663</v>
      </c>
      <c r="K65" s="199"/>
      <c r="L65" s="199"/>
      <c r="M65" s="199"/>
      <c r="N65" s="199"/>
      <c r="O65" s="199"/>
      <c r="P65" s="204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07"/>
      <c r="C66" s="199"/>
      <c r="D66" s="199"/>
      <c r="E66" s="199"/>
      <c r="F66" s="67" t="s">
        <v>71</v>
      </c>
      <c r="G66" s="68">
        <f t="shared" ref="G66" si="73">+E64*0.4</f>
        <v>0.128</v>
      </c>
      <c r="H66" s="69"/>
      <c r="I66" s="70"/>
      <c r="J66" s="71">
        <v>2.6033333333333335</v>
      </c>
      <c r="K66" s="199"/>
      <c r="L66" s="199"/>
      <c r="M66" s="199"/>
      <c r="N66" s="199"/>
      <c r="O66" s="199"/>
      <c r="P66" s="204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07"/>
      <c r="C67" s="199"/>
      <c r="D67" s="199"/>
      <c r="E67" s="199"/>
      <c r="F67" s="67" t="s">
        <v>72</v>
      </c>
      <c r="G67" s="68">
        <f t="shared" ref="G67" si="74">IF(E64&lt;0.125,"NA",IF(0.125&lt;=E64,(0.8*E64)))</f>
        <v>0.25600000000000001</v>
      </c>
      <c r="H67" s="69"/>
      <c r="I67" s="70"/>
      <c r="J67" s="71"/>
      <c r="K67" s="199"/>
      <c r="L67" s="199"/>
      <c r="M67" s="199"/>
      <c r="N67" s="199"/>
      <c r="O67" s="199"/>
      <c r="P67" s="204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147"/>
      <c r="C68" s="200"/>
      <c r="D68" s="200"/>
      <c r="E68" s="200"/>
      <c r="F68" s="72" t="s">
        <v>73</v>
      </c>
      <c r="G68" s="73">
        <f t="shared" ref="G68" si="75">+E64</f>
        <v>0.32</v>
      </c>
      <c r="H68" s="74"/>
      <c r="I68" s="75"/>
      <c r="J68" s="76">
        <v>2.8966666666666665</v>
      </c>
      <c r="K68" s="200"/>
      <c r="L68" s="200"/>
      <c r="M68" s="200"/>
      <c r="N68" s="200"/>
      <c r="O68" s="200"/>
      <c r="P68" s="205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06">
        <v>11</v>
      </c>
      <c r="C69" s="208">
        <f t="shared" ref="C69" si="76">C64+$N$12</f>
        <v>6.1400000000000006</v>
      </c>
      <c r="D69" s="198">
        <v>0.25</v>
      </c>
      <c r="E69" s="198">
        <v>0.3</v>
      </c>
      <c r="F69" s="62" t="s">
        <v>69</v>
      </c>
      <c r="G69" s="63">
        <v>0</v>
      </c>
      <c r="H69" s="64"/>
      <c r="I69" s="65"/>
      <c r="J69" s="66"/>
      <c r="K69" s="198">
        <f t="shared" ref="K69" si="77">+IF(E69&lt;=0.12,(J71),(IF(E69&lt;0.16,((J70+2*J71+J72)/4),IF(E69&gt;=0.16,((J69+3*J70+2*J71+3*J72+J73)/10)))))</f>
        <v>1.3296666666666668</v>
      </c>
      <c r="L69" s="198">
        <f t="shared" ref="L69" si="78">ROUND(+(D64+D69)/2*(C69-C64),3)</f>
        <v>0.14499999999999999</v>
      </c>
      <c r="M69" s="198">
        <f t="shared" ref="M69" si="79">ROUND(+K69*L69,4)</f>
        <v>0.1928</v>
      </c>
      <c r="N69" s="201">
        <f t="shared" ref="N69" si="80">ROUND(+M69/$M$128*100,2)</f>
        <v>9.61</v>
      </c>
      <c r="O69" s="202"/>
      <c r="P69" s="20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07"/>
      <c r="C70" s="199"/>
      <c r="D70" s="199"/>
      <c r="E70" s="199"/>
      <c r="F70" s="67" t="s">
        <v>70</v>
      </c>
      <c r="G70" s="68">
        <f t="shared" ref="G70" si="81">IF(E69&lt;0.125,"NA",IF(0.125&lt;=E69,(0.2*E69)))</f>
        <v>0.06</v>
      </c>
      <c r="H70" s="69"/>
      <c r="I70" s="70"/>
      <c r="J70" s="71">
        <v>1.4966666666666668</v>
      </c>
      <c r="K70" s="199"/>
      <c r="L70" s="199"/>
      <c r="M70" s="199"/>
      <c r="N70" s="199"/>
      <c r="O70" s="199"/>
      <c r="P70" s="204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07"/>
      <c r="C71" s="199"/>
      <c r="D71" s="199"/>
      <c r="E71" s="199"/>
      <c r="F71" s="67" t="s">
        <v>71</v>
      </c>
      <c r="G71" s="68">
        <f t="shared" ref="G71" si="82">+E69*0.4</f>
        <v>0.12</v>
      </c>
      <c r="H71" s="69"/>
      <c r="I71" s="70"/>
      <c r="J71" s="71">
        <v>2.7833333333333332</v>
      </c>
      <c r="K71" s="199"/>
      <c r="L71" s="199"/>
      <c r="M71" s="199"/>
      <c r="N71" s="199"/>
      <c r="O71" s="199"/>
      <c r="P71" s="204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07"/>
      <c r="C72" s="199"/>
      <c r="D72" s="199"/>
      <c r="E72" s="199"/>
      <c r="F72" s="67" t="s">
        <v>72</v>
      </c>
      <c r="G72" s="68">
        <f t="shared" ref="G72" si="83">IF(E69&lt;0.125,"NA",IF(0.125&lt;=E69,(0.8*E69)))</f>
        <v>0.24</v>
      </c>
      <c r="H72" s="69"/>
      <c r="I72" s="70"/>
      <c r="J72" s="71"/>
      <c r="K72" s="199"/>
      <c r="L72" s="199"/>
      <c r="M72" s="199"/>
      <c r="N72" s="199"/>
      <c r="O72" s="199"/>
      <c r="P72" s="204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147"/>
      <c r="C73" s="200"/>
      <c r="D73" s="200"/>
      <c r="E73" s="200"/>
      <c r="F73" s="72" t="s">
        <v>73</v>
      </c>
      <c r="G73" s="73">
        <f t="shared" ref="G73" si="84">+E69</f>
        <v>0.3</v>
      </c>
      <c r="H73" s="74"/>
      <c r="I73" s="75"/>
      <c r="J73" s="76">
        <v>3.2399999999999998</v>
      </c>
      <c r="K73" s="200"/>
      <c r="L73" s="200"/>
      <c r="M73" s="200"/>
      <c r="N73" s="200"/>
      <c r="O73" s="200"/>
      <c r="P73" s="205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06">
        <v>12</v>
      </c>
      <c r="C74" s="208">
        <f t="shared" ref="C74" si="85">C69+$N$12</f>
        <v>6.6400000000000006</v>
      </c>
      <c r="D74" s="198">
        <v>0.2</v>
      </c>
      <c r="E74" s="198">
        <v>0.22</v>
      </c>
      <c r="F74" s="62" t="s">
        <v>69</v>
      </c>
      <c r="G74" s="63">
        <v>0</v>
      </c>
      <c r="H74" s="64"/>
      <c r="I74" s="65"/>
      <c r="J74" s="66"/>
      <c r="K74" s="198">
        <f t="shared" ref="K74" si="86">+IF(E74&lt;=0.12,(J76),(IF(E74&lt;0.16,((J75+2*J76+J77)/4),IF(E74&gt;=0.16,((J74+3*J75+2*J76+3*J77+J78)/10)))))</f>
        <v>1.545666666666667</v>
      </c>
      <c r="L74" s="198">
        <f t="shared" ref="L74" si="87">ROUND(+(D69+D74)/2*(C74-C69),3)</f>
        <v>0.113</v>
      </c>
      <c r="M74" s="198">
        <f t="shared" ref="M74" si="88">ROUND(+K74*L74,4)</f>
        <v>0.17469999999999999</v>
      </c>
      <c r="N74" s="201">
        <f t="shared" ref="N74" si="89">ROUND(+M74/$M$128*100,2)</f>
        <v>8.7100000000000009</v>
      </c>
      <c r="O74" s="202"/>
      <c r="P74" s="20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07"/>
      <c r="C75" s="199"/>
      <c r="D75" s="199"/>
      <c r="E75" s="199"/>
      <c r="F75" s="67" t="s">
        <v>70</v>
      </c>
      <c r="G75" s="68">
        <f t="shared" ref="G75" si="90">IF(E74&lt;0.125,"NA",IF(0.125&lt;=E74,(0.2*E74)))</f>
        <v>4.4000000000000004E-2</v>
      </c>
      <c r="H75" s="69"/>
      <c r="I75" s="70"/>
      <c r="J75" s="71">
        <v>2.3633333333333337</v>
      </c>
      <c r="K75" s="199"/>
      <c r="L75" s="199"/>
      <c r="M75" s="199"/>
      <c r="N75" s="199"/>
      <c r="O75" s="199"/>
      <c r="P75" s="204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07"/>
      <c r="C76" s="199"/>
      <c r="D76" s="199"/>
      <c r="E76" s="199"/>
      <c r="F76" s="67" t="s">
        <v>71</v>
      </c>
      <c r="G76" s="68">
        <f t="shared" ref="G76" si="91">+E74*0.4</f>
        <v>8.8000000000000009E-2</v>
      </c>
      <c r="H76" s="69"/>
      <c r="I76" s="70"/>
      <c r="J76" s="71">
        <v>2.7833333333333332</v>
      </c>
      <c r="K76" s="199"/>
      <c r="L76" s="199"/>
      <c r="M76" s="199"/>
      <c r="N76" s="199"/>
      <c r="O76" s="199"/>
      <c r="P76" s="204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07"/>
      <c r="C77" s="199"/>
      <c r="D77" s="199"/>
      <c r="E77" s="199"/>
      <c r="F77" s="67" t="s">
        <v>72</v>
      </c>
      <c r="G77" s="68">
        <f t="shared" ref="G77" si="92">IF(E74&lt;0.125,"NA",IF(0.125&lt;=E74,(0.8*E74)))</f>
        <v>0.17600000000000002</v>
      </c>
      <c r="H77" s="69"/>
      <c r="I77" s="70"/>
      <c r="J77" s="71"/>
      <c r="K77" s="199"/>
      <c r="L77" s="199"/>
      <c r="M77" s="199"/>
      <c r="N77" s="199"/>
      <c r="O77" s="199"/>
      <c r="P77" s="204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147"/>
      <c r="C78" s="200"/>
      <c r="D78" s="200"/>
      <c r="E78" s="200"/>
      <c r="F78" s="72" t="s">
        <v>73</v>
      </c>
      <c r="G78" s="73">
        <f t="shared" ref="G78" si="93">+E74</f>
        <v>0.22</v>
      </c>
      <c r="H78" s="74"/>
      <c r="I78" s="75"/>
      <c r="J78" s="76">
        <v>2.8000000000000003</v>
      </c>
      <c r="K78" s="200"/>
      <c r="L78" s="200"/>
      <c r="M78" s="200"/>
      <c r="N78" s="200"/>
      <c r="O78" s="200"/>
      <c r="P78" s="205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06">
        <v>13</v>
      </c>
      <c r="C79" s="208">
        <f t="shared" ref="C79" si="94">C74+$N$12</f>
        <v>7.1400000000000006</v>
      </c>
      <c r="D79" s="198">
        <v>0.19</v>
      </c>
      <c r="E79" s="198">
        <v>0.19</v>
      </c>
      <c r="F79" s="62" t="s">
        <v>69</v>
      </c>
      <c r="G79" s="63">
        <v>0</v>
      </c>
      <c r="H79" s="64"/>
      <c r="I79" s="65"/>
      <c r="J79" s="66"/>
      <c r="K79" s="198">
        <f t="shared" ref="K79" si="95">+IF(E79&lt;=0.12,(J81),(IF(E79&lt;0.16,((J80+2*J81+J82)/4),IF(E79&gt;=0.16,((J79+3*J80+2*J81+3*J82+J83)/10)))))</f>
        <v>1.42</v>
      </c>
      <c r="L79" s="198">
        <f t="shared" ref="L79" si="96">ROUND(+(D74+D79)/2*(C79-C74),3)</f>
        <v>9.8000000000000004E-2</v>
      </c>
      <c r="M79" s="198">
        <f t="shared" ref="M79" si="97">ROUND(+K79*L79,4)</f>
        <v>0.13919999999999999</v>
      </c>
      <c r="N79" s="201">
        <f t="shared" ref="N79" si="98">ROUND(+M79/$M$128*100,2)</f>
        <v>6.94</v>
      </c>
      <c r="O79" s="202"/>
      <c r="P79" s="20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07"/>
      <c r="C80" s="199"/>
      <c r="D80" s="199"/>
      <c r="E80" s="199"/>
      <c r="F80" s="67" t="s">
        <v>70</v>
      </c>
      <c r="G80" s="68">
        <f t="shared" ref="G80" si="99">IF(E79&lt;0.125,"NA",IF(0.125&lt;=E79,(0.2*E79)))</f>
        <v>3.8000000000000006E-2</v>
      </c>
      <c r="H80" s="69"/>
      <c r="I80" s="70"/>
      <c r="J80" s="71">
        <v>1.9766666666666666</v>
      </c>
      <c r="K80" s="199"/>
      <c r="L80" s="199"/>
      <c r="M80" s="199"/>
      <c r="N80" s="199"/>
      <c r="O80" s="199"/>
      <c r="P80" s="204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07"/>
      <c r="C81" s="199"/>
      <c r="D81" s="199"/>
      <c r="E81" s="199"/>
      <c r="F81" s="67" t="s">
        <v>71</v>
      </c>
      <c r="G81" s="68">
        <f t="shared" ref="G81" si="100">+E79*0.4</f>
        <v>7.6000000000000012E-2</v>
      </c>
      <c r="H81" s="69"/>
      <c r="I81" s="70"/>
      <c r="J81" s="71">
        <v>2.6233333333333335</v>
      </c>
      <c r="K81" s="199"/>
      <c r="L81" s="199"/>
      <c r="M81" s="199"/>
      <c r="N81" s="199"/>
      <c r="O81" s="199"/>
      <c r="P81" s="204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07"/>
      <c r="C82" s="199"/>
      <c r="D82" s="199"/>
      <c r="E82" s="199"/>
      <c r="F82" s="67" t="s">
        <v>72</v>
      </c>
      <c r="G82" s="68">
        <f t="shared" ref="G82" si="101">IF(E79&lt;0.125,"NA",IF(0.125&lt;=E79,(0.8*E79)))</f>
        <v>0.15200000000000002</v>
      </c>
      <c r="H82" s="69"/>
      <c r="I82" s="70"/>
      <c r="J82" s="71"/>
      <c r="K82" s="199"/>
      <c r="L82" s="199"/>
      <c r="M82" s="199"/>
      <c r="N82" s="199"/>
      <c r="O82" s="199"/>
      <c r="P82" s="204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147"/>
      <c r="C83" s="200"/>
      <c r="D83" s="200"/>
      <c r="E83" s="200"/>
      <c r="F83" s="72" t="s">
        <v>73</v>
      </c>
      <c r="G83" s="73">
        <f t="shared" ref="G83" si="102">+E79</f>
        <v>0.19</v>
      </c>
      <c r="H83" s="74"/>
      <c r="I83" s="75"/>
      <c r="J83" s="76">
        <v>3.0233333333333334</v>
      </c>
      <c r="K83" s="200"/>
      <c r="L83" s="200"/>
      <c r="M83" s="200"/>
      <c r="N83" s="200"/>
      <c r="O83" s="200"/>
      <c r="P83" s="205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06">
        <v>14</v>
      </c>
      <c r="C84" s="208">
        <f t="shared" ref="C84" si="103">C79+$N$12</f>
        <v>7.6400000000000006</v>
      </c>
      <c r="D84" s="198">
        <v>0.25</v>
      </c>
      <c r="E84" s="198">
        <v>0.22</v>
      </c>
      <c r="F84" s="62" t="s">
        <v>69</v>
      </c>
      <c r="G84" s="63">
        <v>0</v>
      </c>
      <c r="H84" s="64"/>
      <c r="I84" s="65"/>
      <c r="J84" s="66"/>
      <c r="K84" s="198">
        <f t="shared" ref="K84" si="104">+IF(E84&lt;=0.12,(J86),(IF(E84&lt;0.16,((J85+2*J86+J87)/4),IF(E84&gt;=0.16,((J84+3*J85+2*J86+3*J87+J88)/10)))))</f>
        <v>0.64260000000000006</v>
      </c>
      <c r="L84" s="198">
        <f t="shared" ref="L84" si="105">ROUND(+(D79+D84)/2*(C84-C79),3)</f>
        <v>0.11</v>
      </c>
      <c r="M84" s="198">
        <f t="shared" ref="M84" si="106">ROUND(+K84*L84,4)</f>
        <v>7.0699999999999999E-2</v>
      </c>
      <c r="N84" s="201">
        <f t="shared" ref="N84" si="107">ROUND(+M84/$M$128*100,2)</f>
        <v>3.52</v>
      </c>
      <c r="O84" s="202"/>
      <c r="P84" s="20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07"/>
      <c r="C85" s="199"/>
      <c r="D85" s="199"/>
      <c r="E85" s="199"/>
      <c r="F85" s="67" t="s">
        <v>70</v>
      </c>
      <c r="G85" s="68">
        <f t="shared" ref="G85" si="108">IF(E84&lt;0.125,"NA",IF(0.125&lt;=E84,(0.2*E84)))</f>
        <v>4.4000000000000004E-2</v>
      </c>
      <c r="H85" s="69"/>
      <c r="I85" s="70"/>
      <c r="J85" s="71"/>
      <c r="K85" s="199"/>
      <c r="L85" s="199"/>
      <c r="M85" s="199"/>
      <c r="N85" s="199"/>
      <c r="O85" s="199"/>
      <c r="P85" s="204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07"/>
      <c r="C86" s="199"/>
      <c r="D86" s="199"/>
      <c r="E86" s="199"/>
      <c r="F86" s="67" t="s">
        <v>71</v>
      </c>
      <c r="G86" s="68">
        <f t="shared" ref="G86" si="109">+E84*0.4</f>
        <v>8.8000000000000009E-2</v>
      </c>
      <c r="H86" s="69"/>
      <c r="I86" s="70"/>
      <c r="J86" s="71">
        <v>1.7230000000000001</v>
      </c>
      <c r="K86" s="199"/>
      <c r="L86" s="199"/>
      <c r="M86" s="199"/>
      <c r="N86" s="199"/>
      <c r="O86" s="199"/>
      <c r="P86" s="204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07"/>
      <c r="C87" s="199"/>
      <c r="D87" s="199"/>
      <c r="E87" s="199"/>
      <c r="F87" s="67" t="s">
        <v>72</v>
      </c>
      <c r="G87" s="68">
        <f t="shared" ref="G87" si="110">IF(E84&lt;0.125,"NA",IF(0.125&lt;=E84,(0.8*E84)))</f>
        <v>0.17600000000000002</v>
      </c>
      <c r="H87" s="69"/>
      <c r="I87" s="70"/>
      <c r="J87" s="71"/>
      <c r="K87" s="199"/>
      <c r="L87" s="199"/>
      <c r="M87" s="199"/>
      <c r="N87" s="199"/>
      <c r="O87" s="199"/>
      <c r="P87" s="204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147"/>
      <c r="C88" s="200"/>
      <c r="D88" s="200"/>
      <c r="E88" s="200"/>
      <c r="F88" s="72" t="s">
        <v>73</v>
      </c>
      <c r="G88" s="73">
        <f t="shared" ref="G88" si="111">+E84</f>
        <v>0.22</v>
      </c>
      <c r="H88" s="74"/>
      <c r="I88" s="75"/>
      <c r="J88" s="76">
        <v>2.98</v>
      </c>
      <c r="K88" s="200"/>
      <c r="L88" s="200"/>
      <c r="M88" s="200"/>
      <c r="N88" s="200"/>
      <c r="O88" s="200"/>
      <c r="P88" s="205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06">
        <v>15</v>
      </c>
      <c r="C89" s="208">
        <f t="shared" ref="C89" si="112">C84+$N$12</f>
        <v>8.14</v>
      </c>
      <c r="D89" s="198">
        <v>0.22</v>
      </c>
      <c r="E89" s="198">
        <v>0.09</v>
      </c>
      <c r="F89" s="62" t="s">
        <v>69</v>
      </c>
      <c r="G89" s="63">
        <v>0</v>
      </c>
      <c r="H89" s="64"/>
      <c r="I89" s="65"/>
      <c r="J89" s="66"/>
      <c r="K89" s="198">
        <f t="shared" ref="K89" si="113">+IF(E89&lt;=0.12,(J91),(IF(E89&lt;0.16,((J90+2*J91+J92)/4),IF(E89&gt;=0.16,((J89+3*J90+2*J91+3*J92+J93)/10)))))</f>
        <v>1.23</v>
      </c>
      <c r="L89" s="198">
        <f t="shared" ref="L89" si="114">ROUND(+(D84+D89)/2*(C89-C84),3)</f>
        <v>0.11799999999999999</v>
      </c>
      <c r="M89" s="198">
        <f t="shared" ref="M89" si="115">ROUND(+K89*L89,4)</f>
        <v>0.14510000000000001</v>
      </c>
      <c r="N89" s="201">
        <f t="shared" ref="N89" si="116">ROUND(+M89/$M$128*100,2)</f>
        <v>7.23</v>
      </c>
      <c r="O89" s="202"/>
      <c r="P89" s="20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07"/>
      <c r="C90" s="199"/>
      <c r="D90" s="199"/>
      <c r="E90" s="199"/>
      <c r="F90" s="67" t="s">
        <v>70</v>
      </c>
      <c r="G90" s="68" t="str">
        <f t="shared" ref="G90" si="117">IF(E89&lt;0.125,"NA",IF(0.125&lt;=E89,(0.2*E89)))</f>
        <v>NA</v>
      </c>
      <c r="H90" s="69"/>
      <c r="I90" s="70"/>
      <c r="J90" s="71"/>
      <c r="K90" s="199"/>
      <c r="L90" s="199"/>
      <c r="M90" s="199"/>
      <c r="N90" s="199"/>
      <c r="O90" s="199"/>
      <c r="P90" s="204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07"/>
      <c r="C91" s="199"/>
      <c r="D91" s="199"/>
      <c r="E91" s="199"/>
      <c r="F91" s="67" t="s">
        <v>71</v>
      </c>
      <c r="G91" s="68">
        <f t="shared" ref="G91" si="118">+E89*0.4</f>
        <v>3.5999999999999997E-2</v>
      </c>
      <c r="H91" s="69"/>
      <c r="I91" s="70"/>
      <c r="J91" s="71">
        <v>1.23</v>
      </c>
      <c r="K91" s="199"/>
      <c r="L91" s="199"/>
      <c r="M91" s="199"/>
      <c r="N91" s="199"/>
      <c r="O91" s="199"/>
      <c r="P91" s="204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07"/>
      <c r="C92" s="199"/>
      <c r="D92" s="199"/>
      <c r="E92" s="199"/>
      <c r="F92" s="67" t="s">
        <v>72</v>
      </c>
      <c r="G92" s="68" t="str">
        <f t="shared" ref="G92" si="119">IF(E89&lt;0.125,"NA",IF(0.125&lt;=E89,(0.8*E89)))</f>
        <v>NA</v>
      </c>
      <c r="H92" s="69"/>
      <c r="I92" s="70"/>
      <c r="J92" s="71"/>
      <c r="K92" s="199"/>
      <c r="L92" s="199"/>
      <c r="M92" s="199"/>
      <c r="N92" s="199"/>
      <c r="O92" s="199"/>
      <c r="P92" s="204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147"/>
      <c r="C93" s="200"/>
      <c r="D93" s="200"/>
      <c r="E93" s="200"/>
      <c r="F93" s="72" t="s">
        <v>73</v>
      </c>
      <c r="G93" s="73">
        <f t="shared" ref="G93" si="120">+E89</f>
        <v>0.09</v>
      </c>
      <c r="H93" s="74"/>
      <c r="I93" s="75"/>
      <c r="J93" s="76">
        <v>2.3766666666666665</v>
      </c>
      <c r="K93" s="200"/>
      <c r="L93" s="200"/>
      <c r="M93" s="200"/>
      <c r="N93" s="200"/>
      <c r="O93" s="200"/>
      <c r="P93" s="205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61" customFormat="1" ht="13.5" customHeight="1" x14ac:dyDescent="0.25">
      <c r="A94" s="53"/>
      <c r="B94" s="206">
        <v>16</v>
      </c>
      <c r="C94" s="208">
        <f t="shared" ref="C94" si="121">C89+$N$12</f>
        <v>8.64</v>
      </c>
      <c r="D94" s="198">
        <v>0.15</v>
      </c>
      <c r="E94" s="198">
        <v>0.14000000000000001</v>
      </c>
      <c r="F94" s="62" t="s">
        <v>69</v>
      </c>
      <c r="G94" s="63">
        <v>0</v>
      </c>
      <c r="H94" s="64"/>
      <c r="I94" s="65"/>
      <c r="J94" s="66"/>
      <c r="K94" s="198">
        <f t="shared" ref="K94" si="122">+IF(E94&lt;=0.12,(J96),(IF(E94&lt;0.16,((J95+2*J96+J97)/4),IF(E94&gt;=0.16,((J94+3*J95+2*J96+3*J97+J98)/10)))))</f>
        <v>0.47149999999999997</v>
      </c>
      <c r="L94" s="198">
        <f t="shared" ref="L94" si="123">ROUND(+(D89+D94)/2*(C94-C89),3)</f>
        <v>9.2999999999999999E-2</v>
      </c>
      <c r="M94" s="198">
        <f t="shared" ref="M94" si="124">ROUND(+K94*L94,4)</f>
        <v>4.3799999999999999E-2</v>
      </c>
      <c r="N94" s="201">
        <f t="shared" ref="N94" si="125">ROUND(+M94/$M$128*100,2)</f>
        <v>2.1800000000000002</v>
      </c>
      <c r="O94" s="202"/>
      <c r="P94" s="20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s="61" customFormat="1" ht="13.5" customHeight="1" x14ac:dyDescent="0.25">
      <c r="A95" s="53"/>
      <c r="B95" s="207"/>
      <c r="C95" s="199"/>
      <c r="D95" s="199"/>
      <c r="E95" s="199"/>
      <c r="F95" s="67" t="s">
        <v>70</v>
      </c>
      <c r="G95" s="68">
        <f t="shared" ref="G95" si="126">IF(E94&lt;0.125,"NA",IF(0.125&lt;=E94,(0.2*E94)))</f>
        <v>2.8000000000000004E-2</v>
      </c>
      <c r="H95" s="69"/>
      <c r="I95" s="70"/>
      <c r="J95" s="71"/>
      <c r="K95" s="199"/>
      <c r="L95" s="199"/>
      <c r="M95" s="199"/>
      <c r="N95" s="199"/>
      <c r="O95" s="199"/>
      <c r="P95" s="204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s="61" customFormat="1" ht="13.5" customHeight="1" x14ac:dyDescent="0.25">
      <c r="A96" s="53"/>
      <c r="B96" s="207"/>
      <c r="C96" s="199"/>
      <c r="D96" s="199"/>
      <c r="E96" s="199"/>
      <c r="F96" s="67" t="s">
        <v>71</v>
      </c>
      <c r="G96" s="68">
        <f t="shared" ref="G96" si="127">+E94*0.4</f>
        <v>5.6000000000000008E-2</v>
      </c>
      <c r="H96" s="69"/>
      <c r="I96" s="70"/>
      <c r="J96" s="71">
        <v>0.94299999999999995</v>
      </c>
      <c r="K96" s="199"/>
      <c r="L96" s="199"/>
      <c r="M96" s="199"/>
      <c r="N96" s="199"/>
      <c r="O96" s="199"/>
      <c r="P96" s="204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s="61" customFormat="1" ht="13.5" customHeight="1" x14ac:dyDescent="0.25">
      <c r="A97" s="53"/>
      <c r="B97" s="207"/>
      <c r="C97" s="199"/>
      <c r="D97" s="199"/>
      <c r="E97" s="199"/>
      <c r="F97" s="67" t="s">
        <v>72</v>
      </c>
      <c r="G97" s="68">
        <f t="shared" ref="G97" si="128">IF(E94&lt;0.125,"NA",IF(0.125&lt;=E94,(0.8*E94)))</f>
        <v>0.11200000000000002</v>
      </c>
      <c r="H97" s="69"/>
      <c r="I97" s="70"/>
      <c r="J97" s="71"/>
      <c r="K97" s="199"/>
      <c r="L97" s="199"/>
      <c r="M97" s="199"/>
      <c r="N97" s="199"/>
      <c r="O97" s="199"/>
      <c r="P97" s="204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s="61" customFormat="1" ht="13.5" customHeight="1" thickBot="1" x14ac:dyDescent="0.3">
      <c r="A98" s="53"/>
      <c r="B98" s="147"/>
      <c r="C98" s="200"/>
      <c r="D98" s="200"/>
      <c r="E98" s="200"/>
      <c r="F98" s="72" t="s">
        <v>73</v>
      </c>
      <c r="G98" s="73">
        <f t="shared" ref="G98" si="129">+E94</f>
        <v>0.14000000000000001</v>
      </c>
      <c r="H98" s="74"/>
      <c r="I98" s="75"/>
      <c r="J98" s="76"/>
      <c r="K98" s="200"/>
      <c r="L98" s="200"/>
      <c r="M98" s="200"/>
      <c r="N98" s="200"/>
      <c r="O98" s="200"/>
      <c r="P98" s="205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s="61" customFormat="1" ht="13.5" customHeight="1" x14ac:dyDescent="0.25">
      <c r="A99" s="53"/>
      <c r="B99" s="206">
        <v>17</v>
      </c>
      <c r="C99" s="208">
        <f t="shared" ref="C99" si="130">C94+$N$12</f>
        <v>9.14</v>
      </c>
      <c r="D99" s="198">
        <v>0.12</v>
      </c>
      <c r="E99" s="198">
        <v>0</v>
      </c>
      <c r="F99" s="62" t="s">
        <v>69</v>
      </c>
      <c r="G99" s="63">
        <v>0</v>
      </c>
      <c r="H99" s="64"/>
      <c r="I99" s="65"/>
      <c r="J99" s="66"/>
      <c r="K99" s="198">
        <f t="shared" ref="K99" si="131">+IF(E99&lt;=0.12,(J101),(IF(E99&lt;0.16,((J100+2*J101+J102)/4),IF(E99&gt;=0.16,((J99+3*J100+2*J101+3*J102+J103)/10)))))</f>
        <v>0</v>
      </c>
      <c r="L99" s="198">
        <f t="shared" ref="L99" si="132">ROUND(+(D94+D99)/2*(C99-C94),3)</f>
        <v>6.8000000000000005E-2</v>
      </c>
      <c r="M99" s="198">
        <f t="shared" ref="M99" si="133">ROUND(+K99*L99,4)</f>
        <v>0</v>
      </c>
      <c r="N99" s="201">
        <f t="shared" ref="N99" si="134">ROUND(+M99/$M$128*100,2)</f>
        <v>0</v>
      </c>
      <c r="O99" s="202"/>
      <c r="P99" s="20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s="61" customFormat="1" ht="13.5" customHeight="1" x14ac:dyDescent="0.25">
      <c r="A100" s="53"/>
      <c r="B100" s="207"/>
      <c r="C100" s="199"/>
      <c r="D100" s="199"/>
      <c r="E100" s="199"/>
      <c r="F100" s="67" t="s">
        <v>70</v>
      </c>
      <c r="G100" s="68" t="str">
        <f t="shared" ref="G100" si="135">IF(E99&lt;0.125,"NA",IF(0.125&lt;=E99,(0.2*E99)))</f>
        <v>NA</v>
      </c>
      <c r="H100" s="69"/>
      <c r="I100" s="70"/>
      <c r="J100" s="71"/>
      <c r="K100" s="199"/>
      <c r="L100" s="199"/>
      <c r="M100" s="199"/>
      <c r="N100" s="199"/>
      <c r="O100" s="199"/>
      <c r="P100" s="204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s="61" customFormat="1" ht="13.5" customHeight="1" x14ac:dyDescent="0.25">
      <c r="A101" s="53"/>
      <c r="B101" s="207"/>
      <c r="C101" s="199"/>
      <c r="D101" s="199"/>
      <c r="E101" s="199"/>
      <c r="F101" s="67" t="s">
        <v>71</v>
      </c>
      <c r="G101" s="68">
        <f t="shared" ref="G101" si="136">+E99*0.4</f>
        <v>0</v>
      </c>
      <c r="H101" s="69"/>
      <c r="I101" s="70"/>
      <c r="J101" s="71"/>
      <c r="K101" s="199"/>
      <c r="L101" s="199"/>
      <c r="M101" s="199"/>
      <c r="N101" s="199"/>
      <c r="O101" s="199"/>
      <c r="P101" s="204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s="61" customFormat="1" ht="13.5" customHeight="1" x14ac:dyDescent="0.25">
      <c r="A102" s="53"/>
      <c r="B102" s="207"/>
      <c r="C102" s="199"/>
      <c r="D102" s="199"/>
      <c r="E102" s="199"/>
      <c r="F102" s="67" t="s">
        <v>72</v>
      </c>
      <c r="G102" s="68" t="str">
        <f t="shared" ref="G102" si="137">IF(E99&lt;0.125,"NA",IF(0.125&lt;=E99,(0.8*E99)))</f>
        <v>NA</v>
      </c>
      <c r="H102" s="69"/>
      <c r="I102" s="70"/>
      <c r="J102" s="71"/>
      <c r="K102" s="199"/>
      <c r="L102" s="199"/>
      <c r="M102" s="199"/>
      <c r="N102" s="199"/>
      <c r="O102" s="199"/>
      <c r="P102" s="204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s="61" customFormat="1" ht="13.5" customHeight="1" thickBot="1" x14ac:dyDescent="0.3">
      <c r="A103" s="53"/>
      <c r="B103" s="147"/>
      <c r="C103" s="200"/>
      <c r="D103" s="200"/>
      <c r="E103" s="200"/>
      <c r="F103" s="72" t="s">
        <v>73</v>
      </c>
      <c r="G103" s="73">
        <f t="shared" ref="G103" si="138">+E99</f>
        <v>0</v>
      </c>
      <c r="H103" s="74"/>
      <c r="I103" s="75"/>
      <c r="J103" s="76"/>
      <c r="K103" s="200"/>
      <c r="L103" s="200"/>
      <c r="M103" s="200"/>
      <c r="N103" s="200"/>
      <c r="O103" s="200"/>
      <c r="P103" s="205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s="61" customFormat="1" ht="13.5" customHeight="1" x14ac:dyDescent="0.25">
      <c r="A104" s="53"/>
      <c r="B104" s="206">
        <v>18</v>
      </c>
      <c r="C104" s="208">
        <f>C99+0.59</f>
        <v>9.73</v>
      </c>
      <c r="D104" s="198">
        <v>0</v>
      </c>
      <c r="E104" s="198">
        <v>0.08</v>
      </c>
      <c r="F104" s="62" t="s">
        <v>69</v>
      </c>
      <c r="G104" s="63">
        <v>0</v>
      </c>
      <c r="H104" s="64"/>
      <c r="I104" s="65"/>
      <c r="J104" s="66"/>
      <c r="K104" s="198">
        <f t="shared" ref="K104" si="139">+IF(E104&lt;=0.12,(J106),(IF(E104&lt;0.16,((J105+2*J106+J107)/4),IF(E104&gt;=0.16,((J104+3*J105+2*J106+3*J107+J108)/10)))))</f>
        <v>0</v>
      </c>
      <c r="L104" s="198">
        <f>ROUND(+(D99+D104)/2*(C104-C99),3)</f>
        <v>3.5000000000000003E-2</v>
      </c>
      <c r="M104" s="198">
        <f t="shared" ref="M104" si="140">ROUND(+K104*L104,4)</f>
        <v>0</v>
      </c>
      <c r="N104" s="201">
        <f t="shared" ref="N104" si="141">ROUND(+M104/$M$128*100,2)</f>
        <v>0</v>
      </c>
      <c r="O104" s="202"/>
      <c r="P104" s="20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s="61" customFormat="1" ht="13.5" customHeight="1" x14ac:dyDescent="0.25">
      <c r="A105" s="53"/>
      <c r="B105" s="207"/>
      <c r="C105" s="199"/>
      <c r="D105" s="199"/>
      <c r="E105" s="199"/>
      <c r="F105" s="67" t="s">
        <v>70</v>
      </c>
      <c r="G105" s="68" t="str">
        <f t="shared" ref="G105" si="142">IF(E104&lt;0.125,"NA",IF(0.125&lt;=E104,(0.2*E104)))</f>
        <v>NA</v>
      </c>
      <c r="H105" s="69"/>
      <c r="I105" s="70"/>
      <c r="J105" s="71"/>
      <c r="K105" s="199"/>
      <c r="L105" s="199"/>
      <c r="M105" s="199"/>
      <c r="N105" s="199"/>
      <c r="O105" s="199"/>
      <c r="P105" s="204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s="61" customFormat="1" ht="13.5" customHeight="1" x14ac:dyDescent="0.25">
      <c r="A106" s="53"/>
      <c r="B106" s="207"/>
      <c r="C106" s="199"/>
      <c r="D106" s="199"/>
      <c r="E106" s="199"/>
      <c r="F106" s="67" t="s">
        <v>71</v>
      </c>
      <c r="G106" s="68">
        <f t="shared" ref="G106" si="143">+E104*0.4</f>
        <v>3.2000000000000001E-2</v>
      </c>
      <c r="H106" s="69"/>
      <c r="I106" s="70"/>
      <c r="J106" s="71"/>
      <c r="K106" s="199"/>
      <c r="L106" s="199"/>
      <c r="M106" s="199"/>
      <c r="N106" s="199"/>
      <c r="O106" s="199"/>
      <c r="P106" s="204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s="61" customFormat="1" ht="13.5" customHeight="1" x14ac:dyDescent="0.25">
      <c r="A107" s="53"/>
      <c r="B107" s="207"/>
      <c r="C107" s="199"/>
      <c r="D107" s="199"/>
      <c r="E107" s="199"/>
      <c r="F107" s="67" t="s">
        <v>72</v>
      </c>
      <c r="G107" s="68" t="str">
        <f t="shared" ref="G107" si="144">IF(E104&lt;0.125,"NA",IF(0.125&lt;=E104,(0.8*E104)))</f>
        <v>NA</v>
      </c>
      <c r="H107" s="69"/>
      <c r="I107" s="70"/>
      <c r="J107" s="71"/>
      <c r="K107" s="199"/>
      <c r="L107" s="199"/>
      <c r="M107" s="199"/>
      <c r="N107" s="199"/>
      <c r="O107" s="199"/>
      <c r="P107" s="204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s="61" customFormat="1" ht="13.5" customHeight="1" thickBot="1" x14ac:dyDescent="0.3">
      <c r="A108" s="53"/>
      <c r="B108" s="147"/>
      <c r="C108" s="200"/>
      <c r="D108" s="200"/>
      <c r="E108" s="200"/>
      <c r="F108" s="72" t="s">
        <v>73</v>
      </c>
      <c r="G108" s="73">
        <f t="shared" ref="G108" si="145">+E104</f>
        <v>0.08</v>
      </c>
      <c r="H108" s="74"/>
      <c r="I108" s="75"/>
      <c r="J108" s="76"/>
      <c r="K108" s="200"/>
      <c r="L108" s="200"/>
      <c r="M108" s="200"/>
      <c r="N108" s="200"/>
      <c r="O108" s="200"/>
      <c r="P108" s="205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s="3" customFormat="1" ht="14.1" customHeight="1" x14ac:dyDescent="0.2">
      <c r="B109" s="209" t="s">
        <v>29</v>
      </c>
      <c r="C109" s="212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4"/>
    </row>
    <row r="110" spans="1:26" s="3" customFormat="1" ht="14.1" customHeight="1" x14ac:dyDescent="0.2">
      <c r="B110" s="210"/>
      <c r="C110" s="215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7"/>
    </row>
    <row r="111" spans="1:26" s="3" customFormat="1" ht="14.1" customHeight="1" x14ac:dyDescent="0.2">
      <c r="B111" s="210"/>
      <c r="C111" s="215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7"/>
    </row>
    <row r="112" spans="1:26" s="3" customFormat="1" ht="14.1" customHeight="1" x14ac:dyDescent="0.2">
      <c r="B112" s="210"/>
      <c r="C112" s="215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7"/>
    </row>
    <row r="113" spans="1:26" s="3" customFormat="1" ht="14.1" customHeight="1" x14ac:dyDescent="0.2">
      <c r="B113" s="210"/>
      <c r="C113" s="215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7"/>
    </row>
    <row r="114" spans="1:26" s="3" customFormat="1" ht="14.1" customHeight="1" thickBot="1" x14ac:dyDescent="0.25">
      <c r="B114" s="211"/>
      <c r="C114" s="218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20"/>
    </row>
    <row r="115" spans="1:26" s="3" customFormat="1" ht="28.5" customHeight="1" thickBot="1" x14ac:dyDescent="0.25">
      <c r="A115" s="77"/>
      <c r="B115" s="78" t="s">
        <v>74</v>
      </c>
      <c r="C115" s="221" t="s">
        <v>103</v>
      </c>
      <c r="D115" s="221"/>
      <c r="E115" s="221"/>
      <c r="F115" s="221"/>
      <c r="G115" s="221"/>
      <c r="H115" s="222"/>
      <c r="I115" s="223"/>
      <c r="J115" s="78" t="s">
        <v>75</v>
      </c>
      <c r="K115" s="221" t="s">
        <v>76</v>
      </c>
      <c r="L115" s="221"/>
      <c r="M115" s="221"/>
      <c r="N115" s="221"/>
      <c r="O115" s="221"/>
      <c r="P115" s="222"/>
    </row>
    <row r="116" spans="1:26" s="3" customFormat="1" ht="28.5" customHeight="1" thickBot="1" x14ac:dyDescent="0.25">
      <c r="B116" s="79" t="s">
        <v>77</v>
      </c>
      <c r="C116" s="225" t="s">
        <v>78</v>
      </c>
      <c r="D116" s="225"/>
      <c r="E116" s="225"/>
      <c r="F116" s="225"/>
      <c r="G116" s="225"/>
      <c r="H116" s="226"/>
      <c r="I116" s="224"/>
      <c r="J116" s="79" t="s">
        <v>79</v>
      </c>
      <c r="K116" s="225" t="s">
        <v>80</v>
      </c>
      <c r="L116" s="225"/>
      <c r="M116" s="225"/>
      <c r="N116" s="225"/>
      <c r="O116" s="225"/>
      <c r="P116" s="226"/>
    </row>
    <row r="117" spans="1:26" s="19" customFormat="1" ht="13.5" customHeight="1" x14ac:dyDescent="0.25">
      <c r="A117" s="80"/>
      <c r="B117" s="227">
        <f>+B59</f>
        <v>9</v>
      </c>
      <c r="C117" s="230">
        <f>+C54</f>
        <v>4.6400000000000006</v>
      </c>
      <c r="D117" s="233">
        <f>+D54</f>
        <v>0.33</v>
      </c>
      <c r="E117" s="233">
        <f>+E59</f>
        <v>0.32</v>
      </c>
      <c r="F117" s="81" t="s">
        <v>69</v>
      </c>
      <c r="G117" s="81">
        <v>0.01</v>
      </c>
      <c r="H117" s="82"/>
      <c r="I117" s="83"/>
      <c r="J117" s="84"/>
      <c r="K117" s="235"/>
      <c r="L117" s="248">
        <f>ROUND(+(D117+D122)/2*(C122-C117),3)</f>
        <v>0.158</v>
      </c>
      <c r="M117" s="249">
        <f>ROUND(+K117*L117,4)</f>
        <v>0</v>
      </c>
      <c r="N117" s="248">
        <f>ROUND(+M117/$M$128*100,2)</f>
        <v>0</v>
      </c>
      <c r="O117" s="248"/>
      <c r="P117" s="250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s="19" customFormat="1" ht="13.5" customHeight="1" x14ac:dyDescent="0.25">
      <c r="A118" s="80"/>
      <c r="B118" s="228"/>
      <c r="C118" s="231"/>
      <c r="D118" s="231"/>
      <c r="E118" s="231"/>
      <c r="F118" s="86" t="s">
        <v>81</v>
      </c>
      <c r="G118" s="87">
        <f>+E117*0.1</f>
        <v>3.2000000000000001E-2</v>
      </c>
      <c r="H118" s="88"/>
      <c r="I118" s="89"/>
      <c r="J118" s="90"/>
      <c r="K118" s="231"/>
      <c r="L118" s="231"/>
      <c r="M118" s="231"/>
      <c r="N118" s="231"/>
      <c r="O118" s="231"/>
      <c r="P118" s="251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s="19" customFormat="1" ht="13.5" customHeight="1" x14ac:dyDescent="0.25">
      <c r="A119" s="80"/>
      <c r="B119" s="228"/>
      <c r="C119" s="231"/>
      <c r="D119" s="231"/>
      <c r="E119" s="231"/>
      <c r="F119" s="86" t="s">
        <v>82</v>
      </c>
      <c r="G119" s="87">
        <f>+E117*0.2</f>
        <v>6.4000000000000001E-2</v>
      </c>
      <c r="H119" s="88"/>
      <c r="I119" s="89"/>
      <c r="J119" s="90"/>
      <c r="K119" s="231"/>
      <c r="L119" s="231"/>
      <c r="M119" s="231"/>
      <c r="N119" s="231"/>
      <c r="O119" s="231"/>
      <c r="P119" s="251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s="19" customFormat="1" ht="13.5" customHeight="1" x14ac:dyDescent="0.25">
      <c r="A120" s="80"/>
      <c r="B120" s="228"/>
      <c r="C120" s="231"/>
      <c r="D120" s="231"/>
      <c r="E120" s="231"/>
      <c r="F120" s="86" t="s">
        <v>83</v>
      </c>
      <c r="G120" s="87">
        <f>+E117*0.3</f>
        <v>9.6000000000000002E-2</v>
      </c>
      <c r="H120" s="88"/>
      <c r="I120" s="89"/>
      <c r="J120" s="90"/>
      <c r="K120" s="231"/>
      <c r="L120" s="231"/>
      <c r="M120" s="231"/>
      <c r="N120" s="231"/>
      <c r="O120" s="231"/>
      <c r="P120" s="251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s="19" customFormat="1" ht="13.5" customHeight="1" x14ac:dyDescent="0.25">
      <c r="A121" s="80"/>
      <c r="B121" s="228"/>
      <c r="C121" s="232"/>
      <c r="D121" s="232"/>
      <c r="E121" s="231"/>
      <c r="F121" s="86" t="s">
        <v>84</v>
      </c>
      <c r="G121" s="87">
        <f>+E117*0.4</f>
        <v>0.128</v>
      </c>
      <c r="H121" s="88"/>
      <c r="I121" s="89"/>
      <c r="J121" s="90"/>
      <c r="K121" s="231"/>
      <c r="L121" s="231"/>
      <c r="M121" s="231"/>
      <c r="N121" s="231"/>
      <c r="O121" s="231"/>
      <c r="P121" s="251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s="19" customFormat="1" ht="13.5" customHeight="1" x14ac:dyDescent="0.25">
      <c r="A122" s="80"/>
      <c r="B122" s="228"/>
      <c r="C122" s="253">
        <f>+C59</f>
        <v>5.1400000000000006</v>
      </c>
      <c r="D122" s="254">
        <f>+D59</f>
        <v>0.3</v>
      </c>
      <c r="E122" s="231"/>
      <c r="F122" s="86" t="s">
        <v>30</v>
      </c>
      <c r="G122" s="87">
        <f>+E117*0.5</f>
        <v>0.16</v>
      </c>
      <c r="H122" s="88"/>
      <c r="I122" s="89"/>
      <c r="J122" s="90"/>
      <c r="K122" s="231"/>
      <c r="L122" s="231"/>
      <c r="M122" s="231"/>
      <c r="N122" s="231"/>
      <c r="O122" s="231"/>
      <c r="P122" s="251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s="19" customFormat="1" ht="13.5" customHeight="1" x14ac:dyDescent="0.25">
      <c r="A123" s="80"/>
      <c r="B123" s="228"/>
      <c r="C123" s="231"/>
      <c r="D123" s="231"/>
      <c r="E123" s="231"/>
      <c r="F123" s="86" t="s">
        <v>85</v>
      </c>
      <c r="G123" s="87">
        <f>+E117*0.6</f>
        <v>0.192</v>
      </c>
      <c r="H123" s="88"/>
      <c r="I123" s="89"/>
      <c r="J123" s="90"/>
      <c r="K123" s="231"/>
      <c r="L123" s="231"/>
      <c r="M123" s="231"/>
      <c r="N123" s="231"/>
      <c r="O123" s="231"/>
      <c r="P123" s="251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s="19" customFormat="1" ht="13.5" customHeight="1" x14ac:dyDescent="0.25">
      <c r="A124" s="80"/>
      <c r="B124" s="228"/>
      <c r="C124" s="231"/>
      <c r="D124" s="231"/>
      <c r="E124" s="231"/>
      <c r="F124" s="86" t="s">
        <v>86</v>
      </c>
      <c r="G124" s="87">
        <f>+E117*0.7</f>
        <v>0.22399999999999998</v>
      </c>
      <c r="H124" s="88"/>
      <c r="I124" s="89"/>
      <c r="J124" s="90"/>
      <c r="K124" s="231"/>
      <c r="L124" s="231"/>
      <c r="M124" s="231"/>
      <c r="N124" s="231"/>
      <c r="O124" s="231"/>
      <c r="P124" s="251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s="19" customFormat="1" ht="13.5" customHeight="1" x14ac:dyDescent="0.25">
      <c r="A125" s="80"/>
      <c r="B125" s="228"/>
      <c r="C125" s="231"/>
      <c r="D125" s="231"/>
      <c r="E125" s="231"/>
      <c r="F125" s="86" t="s">
        <v>87</v>
      </c>
      <c r="G125" s="87">
        <f>+E117*0.8</f>
        <v>0.25600000000000001</v>
      </c>
      <c r="H125" s="88"/>
      <c r="I125" s="89"/>
      <c r="J125" s="90"/>
      <c r="K125" s="231"/>
      <c r="L125" s="231"/>
      <c r="M125" s="231"/>
      <c r="N125" s="231"/>
      <c r="O125" s="231"/>
      <c r="P125" s="251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s="19" customFormat="1" ht="13.5" customHeight="1" x14ac:dyDescent="0.25">
      <c r="A126" s="80"/>
      <c r="B126" s="228"/>
      <c r="C126" s="231"/>
      <c r="D126" s="231"/>
      <c r="E126" s="231"/>
      <c r="F126" s="86" t="s">
        <v>88</v>
      </c>
      <c r="G126" s="87">
        <f>+E117*0.9</f>
        <v>0.28800000000000003</v>
      </c>
      <c r="H126" s="88"/>
      <c r="I126" s="89"/>
      <c r="J126" s="90"/>
      <c r="K126" s="231"/>
      <c r="L126" s="231"/>
      <c r="M126" s="231"/>
      <c r="N126" s="231"/>
      <c r="O126" s="231"/>
      <c r="P126" s="251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s="19" customFormat="1" ht="15.75" thickBot="1" x14ac:dyDescent="0.3">
      <c r="A127" s="80"/>
      <c r="B127" s="229"/>
      <c r="C127" s="234"/>
      <c r="D127" s="234"/>
      <c r="E127" s="234"/>
      <c r="F127" s="91" t="s">
        <v>31</v>
      </c>
      <c r="G127" s="91">
        <f>+E117</f>
        <v>0.32</v>
      </c>
      <c r="H127" s="92"/>
      <c r="I127" s="93"/>
      <c r="J127" s="94"/>
      <c r="K127" s="234"/>
      <c r="L127" s="234"/>
      <c r="M127" s="234"/>
      <c r="N127" s="234"/>
      <c r="O127" s="234"/>
      <c r="P127" s="252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s="3" customFormat="1" ht="12.75" x14ac:dyDescent="0.2">
      <c r="A128" s="11"/>
      <c r="B128" s="236" t="s">
        <v>32</v>
      </c>
      <c r="C128" s="236"/>
      <c r="D128" s="236"/>
      <c r="E128" s="236"/>
      <c r="F128" s="236"/>
      <c r="G128" s="236"/>
      <c r="H128" s="236"/>
      <c r="I128" s="236"/>
      <c r="J128" s="236"/>
      <c r="K128" s="12">
        <f>ROUND(+M128/L128,3)</f>
        <v>0.97599999999999998</v>
      </c>
      <c r="L128" s="16">
        <f>SUM(L19:L127)</f>
        <v>2.056</v>
      </c>
      <c r="M128" s="15">
        <f>SUM(M19:M127)</f>
        <v>2.0058000000000002</v>
      </c>
      <c r="N128" s="13">
        <f>ROUND(SUM(N19:N127),0)</f>
        <v>100</v>
      </c>
      <c r="O128" s="238" t="s">
        <v>33</v>
      </c>
      <c r="P128" s="240"/>
    </row>
    <row r="129" spans="1:16" s="3" customFormat="1" ht="15" customHeight="1" thickBot="1" x14ac:dyDescent="0.25">
      <c r="A129" s="11"/>
      <c r="B129" s="237"/>
      <c r="C129" s="237"/>
      <c r="D129" s="237"/>
      <c r="E129" s="237"/>
      <c r="F129" s="237"/>
      <c r="G129" s="237"/>
      <c r="H129" s="237"/>
      <c r="I129" s="237"/>
      <c r="J129" s="237"/>
      <c r="K129" s="14" t="s">
        <v>34</v>
      </c>
      <c r="L129" s="14" t="s">
        <v>50</v>
      </c>
      <c r="M129" s="14" t="s">
        <v>51</v>
      </c>
      <c r="N129" s="14" t="s">
        <v>35</v>
      </c>
      <c r="O129" s="239"/>
      <c r="P129" s="241"/>
    </row>
    <row r="130" spans="1:16" ht="15" customHeight="1" thickBot="1" x14ac:dyDescent="0.3">
      <c r="A130" s="5"/>
      <c r="B130" s="242" t="s">
        <v>89</v>
      </c>
      <c r="C130" s="243"/>
      <c r="D130" s="243"/>
      <c r="E130" s="243"/>
      <c r="F130" s="244"/>
      <c r="G130" s="242" t="s">
        <v>90</v>
      </c>
      <c r="H130" s="243"/>
      <c r="I130" s="243"/>
      <c r="J130" s="243"/>
      <c r="K130" s="244"/>
      <c r="L130" s="245" t="s">
        <v>53</v>
      </c>
      <c r="M130" s="246"/>
      <c r="N130" s="246"/>
      <c r="O130" s="246"/>
      <c r="P130" s="247"/>
    </row>
    <row r="131" spans="1:16" ht="15" customHeight="1" x14ac:dyDescent="0.25">
      <c r="A131" s="5"/>
      <c r="B131" s="255"/>
      <c r="C131" s="256"/>
      <c r="D131" s="256"/>
      <c r="E131" s="256"/>
      <c r="F131" s="257"/>
      <c r="G131" s="255"/>
      <c r="H131" s="256"/>
      <c r="I131" s="256"/>
      <c r="J131" s="256"/>
      <c r="K131" s="257"/>
      <c r="L131" s="264" t="s">
        <v>91</v>
      </c>
      <c r="M131" s="265"/>
      <c r="N131" s="265"/>
      <c r="O131" s="266">
        <f>+AVERAGE(E18:E108)</f>
        <v>0.1927777777777778</v>
      </c>
      <c r="P131" s="267"/>
    </row>
    <row r="132" spans="1:16" ht="15" customHeight="1" thickBot="1" x14ac:dyDescent="0.3">
      <c r="A132" s="5"/>
      <c r="B132" s="258"/>
      <c r="C132" s="259"/>
      <c r="D132" s="259"/>
      <c r="E132" s="259"/>
      <c r="F132" s="260"/>
      <c r="G132" s="258"/>
      <c r="H132" s="259"/>
      <c r="I132" s="259"/>
      <c r="J132" s="259"/>
      <c r="K132" s="260"/>
      <c r="L132" s="268" t="s">
        <v>92</v>
      </c>
      <c r="M132" s="269"/>
      <c r="N132" s="269"/>
      <c r="O132" s="312">
        <f>+MAX(E18:E108)</f>
        <v>0.32</v>
      </c>
      <c r="P132" s="313"/>
    </row>
    <row r="133" spans="1:16" ht="18.600000000000001" customHeight="1" x14ac:dyDescent="0.25">
      <c r="A133" s="6"/>
      <c r="B133" s="258"/>
      <c r="C133" s="259"/>
      <c r="D133" s="259"/>
      <c r="E133" s="259"/>
      <c r="F133" s="260"/>
      <c r="G133" s="258"/>
      <c r="H133" s="259"/>
      <c r="I133" s="259"/>
      <c r="J133" s="259"/>
      <c r="K133" s="260"/>
      <c r="L133" s="272" t="s">
        <v>116</v>
      </c>
      <c r="M133" s="273"/>
      <c r="N133" s="273"/>
      <c r="O133" s="273"/>
      <c r="P133" s="274"/>
    </row>
    <row r="134" spans="1:16" ht="61.5" customHeight="1" x14ac:dyDescent="0.25">
      <c r="A134" s="10"/>
      <c r="B134" s="258"/>
      <c r="C134" s="259"/>
      <c r="D134" s="259"/>
      <c r="E134" s="259"/>
      <c r="F134" s="260"/>
      <c r="G134" s="258"/>
      <c r="H134" s="259"/>
      <c r="I134" s="259"/>
      <c r="J134" s="259"/>
      <c r="K134" s="260"/>
      <c r="L134" s="275"/>
      <c r="M134" s="276"/>
      <c r="N134" s="276"/>
      <c r="O134" s="276"/>
      <c r="P134" s="277"/>
    </row>
    <row r="135" spans="1:16" ht="15" customHeight="1" thickBot="1" x14ac:dyDescent="0.3">
      <c r="A135" s="5"/>
      <c r="B135" s="258"/>
      <c r="C135" s="259"/>
      <c r="D135" s="259"/>
      <c r="E135" s="259"/>
      <c r="F135" s="260"/>
      <c r="G135" s="258"/>
      <c r="H135" s="259"/>
      <c r="I135" s="259"/>
      <c r="J135" s="259"/>
      <c r="K135" s="260"/>
      <c r="L135" s="278"/>
      <c r="M135" s="279"/>
      <c r="N135" s="279"/>
      <c r="O135" s="279"/>
      <c r="P135" s="280"/>
    </row>
    <row r="136" spans="1:16" ht="22.5" customHeight="1" thickBot="1" x14ac:dyDescent="0.3">
      <c r="A136" s="5"/>
      <c r="B136" s="258"/>
      <c r="C136" s="259"/>
      <c r="D136" s="259"/>
      <c r="E136" s="259"/>
      <c r="F136" s="260"/>
      <c r="G136" s="258"/>
      <c r="H136" s="259"/>
      <c r="I136" s="259"/>
      <c r="J136" s="259"/>
      <c r="K136" s="260"/>
      <c r="L136" s="281" t="s">
        <v>36</v>
      </c>
      <c r="M136" s="282"/>
      <c r="N136" s="282"/>
      <c r="O136" s="282"/>
      <c r="P136" s="95">
        <v>3.45</v>
      </c>
    </row>
    <row r="137" spans="1:16" ht="32.25" customHeight="1" thickBot="1" x14ac:dyDescent="0.3">
      <c r="A137" s="5"/>
      <c r="B137" s="261"/>
      <c r="C137" s="262"/>
      <c r="D137" s="262"/>
      <c r="E137" s="262"/>
      <c r="F137" s="263"/>
      <c r="G137" s="261"/>
      <c r="H137" s="262"/>
      <c r="I137" s="262"/>
      <c r="J137" s="262"/>
      <c r="K137" s="263"/>
      <c r="L137" s="283" t="s">
        <v>52</v>
      </c>
      <c r="M137" s="284"/>
      <c r="N137" s="284"/>
      <c r="O137" s="284"/>
      <c r="P137" s="95">
        <v>0.35</v>
      </c>
    </row>
    <row r="138" spans="1:16" ht="23.45" customHeight="1" thickBot="1" x14ac:dyDescent="0.3">
      <c r="A138" s="7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</row>
    <row r="139" spans="1:16" ht="15.75" thickBot="1" x14ac:dyDescent="0.3">
      <c r="A139" s="291" t="s">
        <v>37</v>
      </c>
      <c r="B139" s="320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320"/>
      <c r="P139" s="321"/>
    </row>
    <row r="140" spans="1:16" ht="159" customHeight="1" thickBot="1" x14ac:dyDescent="0.3">
      <c r="A140" s="4"/>
      <c r="B140" s="304"/>
      <c r="C140" s="305"/>
      <c r="D140" s="305"/>
      <c r="E140" s="305"/>
      <c r="F140" s="297"/>
      <c r="G140" s="304"/>
      <c r="H140" s="305"/>
      <c r="I140" s="305"/>
      <c r="J140" s="305"/>
      <c r="K140" s="297"/>
      <c r="L140" s="294"/>
      <c r="M140" s="295"/>
      <c r="N140" s="295"/>
      <c r="O140" s="295"/>
      <c r="P140" s="298"/>
    </row>
    <row r="141" spans="1:16" ht="21.75" customHeight="1" thickBot="1" x14ac:dyDescent="0.3">
      <c r="A141" s="4"/>
      <c r="B141" s="306" t="s">
        <v>117</v>
      </c>
      <c r="C141" s="307"/>
      <c r="D141" s="307"/>
      <c r="E141" s="307"/>
      <c r="F141" s="308"/>
      <c r="G141" s="306" t="s">
        <v>107</v>
      </c>
      <c r="H141" s="307"/>
      <c r="I141" s="307"/>
      <c r="J141" s="307"/>
      <c r="K141" s="308"/>
      <c r="L141" s="309" t="s">
        <v>118</v>
      </c>
      <c r="M141" s="310"/>
      <c r="N141" s="310"/>
      <c r="O141" s="310"/>
      <c r="P141" s="311"/>
    </row>
    <row r="142" spans="1:16" s="9" customFormat="1" ht="16.899999999999999" customHeight="1" thickBot="1" x14ac:dyDescent="0.3">
      <c r="A142" s="8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5"/>
    </row>
    <row r="143" spans="1:16" s="3" customFormat="1" ht="15.75" customHeight="1" thickBot="1" x14ac:dyDescent="0.25">
      <c r="A143" s="287" t="s">
        <v>38</v>
      </c>
      <c r="B143" s="288"/>
      <c r="C143" s="288"/>
      <c r="D143" s="288"/>
      <c r="E143" s="288"/>
      <c r="F143" s="288"/>
      <c r="G143" s="288"/>
      <c r="H143" s="288"/>
      <c r="I143" s="288"/>
      <c r="J143" s="288" t="s">
        <v>39</v>
      </c>
      <c r="K143" s="288"/>
      <c r="L143" s="316"/>
      <c r="M143" s="317"/>
      <c r="N143" s="317"/>
      <c r="O143" s="317"/>
      <c r="P143" s="318"/>
    </row>
  </sheetData>
  <mergeCells count="285"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F141"/>
    <mergeCell ref="G141:K141"/>
    <mergeCell ref="L141:P141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6:C6"/>
    <mergeCell ref="D6:I6"/>
    <mergeCell ref="K6:L6"/>
    <mergeCell ref="M6:N6"/>
    <mergeCell ref="B2:D3"/>
    <mergeCell ref="E2:N3"/>
    <mergeCell ref="O2:P3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3"/>
  <sheetViews>
    <sheetView view="pageBreakPreview" zoomScaleSheetLayoutView="100" zoomScalePageLayoutView="110" workbookViewId="0">
      <selection activeCell="G5" sqref="G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4.5703125" customWidth="1"/>
    <col min="11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124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7.7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1">
        <v>43158</v>
      </c>
      <c r="D5" s="112"/>
      <c r="E5" s="22" t="s">
        <v>1</v>
      </c>
      <c r="F5" s="23">
        <v>4</v>
      </c>
      <c r="G5" s="24" t="s">
        <v>2</v>
      </c>
      <c r="H5" s="113" t="s">
        <v>125</v>
      </c>
      <c r="I5" s="114"/>
      <c r="J5" s="114"/>
      <c r="K5" s="114"/>
      <c r="L5" s="114"/>
      <c r="M5" s="114"/>
      <c r="N5" s="114"/>
      <c r="O5" s="114"/>
      <c r="P5" s="11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16" t="s">
        <v>3</v>
      </c>
      <c r="C6" s="117"/>
      <c r="D6" s="118" t="s">
        <v>119</v>
      </c>
      <c r="E6" s="119"/>
      <c r="F6" s="119"/>
      <c r="G6" s="119"/>
      <c r="H6" s="119"/>
      <c r="I6" s="120"/>
      <c r="J6" s="28" t="s">
        <v>4</v>
      </c>
      <c r="K6" s="121" t="s">
        <v>109</v>
      </c>
      <c r="L6" s="120"/>
      <c r="M6" s="121" t="s">
        <v>110</v>
      </c>
      <c r="N6" s="122"/>
      <c r="O6" s="29" t="s">
        <v>54</v>
      </c>
      <c r="P6" s="30">
        <v>2078</v>
      </c>
    </row>
    <row r="7" spans="1:26" s="26" customFormat="1" ht="21.75" customHeight="1" x14ac:dyDescent="0.25">
      <c r="B7" s="123" t="s">
        <v>55</v>
      </c>
      <c r="C7" s="125" t="s">
        <v>56</v>
      </c>
      <c r="D7" s="126"/>
      <c r="E7" s="32"/>
      <c r="F7" s="127" t="s">
        <v>57</v>
      </c>
      <c r="G7" s="128"/>
      <c r="H7" s="128"/>
      <c r="I7" s="128"/>
      <c r="J7" s="129" t="s">
        <v>58</v>
      </c>
      <c r="K7" s="130"/>
      <c r="L7" s="130"/>
      <c r="M7" s="131"/>
      <c r="N7" s="132" t="s">
        <v>93</v>
      </c>
      <c r="O7" s="133"/>
      <c r="P7" s="33" t="s">
        <v>59</v>
      </c>
    </row>
    <row r="8" spans="1:26" s="26" customFormat="1" ht="21.75" customHeight="1" thickBot="1" x14ac:dyDescent="0.3">
      <c r="B8" s="124"/>
      <c r="C8" s="134" t="s">
        <v>60</v>
      </c>
      <c r="D8" s="135"/>
      <c r="E8" s="34" t="s">
        <v>5</v>
      </c>
      <c r="F8" s="136" t="s">
        <v>6</v>
      </c>
      <c r="G8" s="137"/>
      <c r="H8" s="137"/>
      <c r="I8" s="137"/>
      <c r="J8" s="138"/>
      <c r="K8" s="139"/>
      <c r="L8" s="139"/>
      <c r="M8" s="140"/>
      <c r="N8" s="141"/>
      <c r="O8" s="142"/>
      <c r="P8" s="35"/>
    </row>
    <row r="9" spans="1:26" s="26" customFormat="1" ht="21.75" customHeight="1" x14ac:dyDescent="0.25">
      <c r="B9" s="143" t="s">
        <v>7</v>
      </c>
      <c r="C9" s="146" t="s">
        <v>61</v>
      </c>
      <c r="D9" s="148" t="s">
        <v>62</v>
      </c>
      <c r="E9" s="149"/>
      <c r="F9" s="36"/>
      <c r="G9" s="150" t="s">
        <v>8</v>
      </c>
      <c r="H9" s="151" t="s">
        <v>9</v>
      </c>
      <c r="I9" s="126"/>
      <c r="J9" s="37"/>
      <c r="K9" s="146" t="s">
        <v>63</v>
      </c>
      <c r="L9" s="152" t="s">
        <v>120</v>
      </c>
      <c r="M9" s="153"/>
      <c r="N9" s="154"/>
      <c r="O9" s="154"/>
      <c r="P9" s="155"/>
    </row>
    <row r="10" spans="1:26" s="26" customFormat="1" ht="21.75" customHeight="1" thickBot="1" x14ac:dyDescent="0.3">
      <c r="B10" s="144"/>
      <c r="C10" s="147"/>
      <c r="D10" s="165" t="s">
        <v>64</v>
      </c>
      <c r="E10" s="135"/>
      <c r="F10" s="38" t="s">
        <v>5</v>
      </c>
      <c r="G10" s="147"/>
      <c r="H10" s="165" t="s">
        <v>10</v>
      </c>
      <c r="I10" s="135"/>
      <c r="J10" s="39" t="s">
        <v>5</v>
      </c>
      <c r="K10" s="147"/>
      <c r="L10" s="156"/>
      <c r="M10" s="157"/>
      <c r="N10" s="157"/>
      <c r="O10" s="157"/>
      <c r="P10" s="158"/>
    </row>
    <row r="11" spans="1:26" s="26" customFormat="1" ht="21.75" customHeight="1" x14ac:dyDescent="0.25">
      <c r="A11" s="20"/>
      <c r="B11" s="144"/>
      <c r="C11" s="166" t="s">
        <v>11</v>
      </c>
      <c r="D11" s="149"/>
      <c r="E11" s="40">
        <v>0.63541666666666663</v>
      </c>
      <c r="F11" s="167" t="s">
        <v>12</v>
      </c>
      <c r="G11" s="149"/>
      <c r="H11" s="98">
        <v>0.63</v>
      </c>
      <c r="I11" s="168" t="s">
        <v>13</v>
      </c>
      <c r="J11" s="126"/>
      <c r="K11" s="41">
        <v>18</v>
      </c>
      <c r="L11" s="166" t="s">
        <v>14</v>
      </c>
      <c r="M11" s="149"/>
      <c r="N11" s="42">
        <v>9.0500000000000007</v>
      </c>
      <c r="O11" s="159" t="s">
        <v>65</v>
      </c>
      <c r="P11" s="160"/>
    </row>
    <row r="12" spans="1:26" s="26" customFormat="1" ht="21.75" customHeight="1" thickBot="1" x14ac:dyDescent="0.3">
      <c r="A12" s="20"/>
      <c r="B12" s="145"/>
      <c r="C12" s="161" t="s">
        <v>15</v>
      </c>
      <c r="D12" s="135"/>
      <c r="E12" s="40">
        <v>0.68402777777777779</v>
      </c>
      <c r="F12" s="134" t="s">
        <v>16</v>
      </c>
      <c r="G12" s="135"/>
      <c r="H12" s="98">
        <v>0.6</v>
      </c>
      <c r="I12" s="162" t="s">
        <v>17</v>
      </c>
      <c r="J12" s="135"/>
      <c r="K12" s="40">
        <v>0.61111111111111105</v>
      </c>
      <c r="L12" s="161" t="s">
        <v>18</v>
      </c>
      <c r="M12" s="135"/>
      <c r="N12" s="43">
        <v>0.5</v>
      </c>
      <c r="O12" s="163">
        <v>0.45</v>
      </c>
      <c r="P12" s="164"/>
    </row>
    <row r="13" spans="1:26" s="26" customFormat="1" ht="21.75" customHeight="1" x14ac:dyDescent="0.25">
      <c r="A13" s="20"/>
      <c r="B13" s="184" t="s">
        <v>19</v>
      </c>
      <c r="C13" s="186" t="s">
        <v>94</v>
      </c>
      <c r="D13" s="187"/>
      <c r="E13" s="187"/>
      <c r="F13" s="188" t="s">
        <v>95</v>
      </c>
      <c r="G13" s="187"/>
      <c r="H13" s="187"/>
      <c r="I13" s="187"/>
      <c r="J13" s="188" t="s">
        <v>96</v>
      </c>
      <c r="K13" s="187"/>
      <c r="L13" s="187"/>
      <c r="M13" s="187"/>
      <c r="N13" s="189" t="s">
        <v>97</v>
      </c>
      <c r="O13" s="187"/>
      <c r="P13" s="190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185"/>
      <c r="C14" s="191" t="s">
        <v>98</v>
      </c>
      <c r="D14" s="192"/>
      <c r="E14" s="192"/>
      <c r="F14" s="193" t="s">
        <v>99</v>
      </c>
      <c r="G14" s="192"/>
      <c r="H14" s="192"/>
      <c r="I14" s="192"/>
      <c r="J14" s="194" t="s">
        <v>100</v>
      </c>
      <c r="K14" s="192"/>
      <c r="L14" s="192"/>
      <c r="M14" s="192"/>
      <c r="N14" s="195"/>
      <c r="O14" s="181"/>
      <c r="P14" s="19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24"/>
      <c r="C15" s="197" t="s">
        <v>101</v>
      </c>
      <c r="D15" s="169"/>
      <c r="E15" s="169"/>
      <c r="F15" s="169" t="s">
        <v>102</v>
      </c>
      <c r="G15" s="170"/>
      <c r="H15" s="170"/>
      <c r="I15" s="170"/>
      <c r="J15" s="169" t="s">
        <v>66</v>
      </c>
      <c r="K15" s="170"/>
      <c r="L15" s="170"/>
      <c r="M15" s="170"/>
      <c r="N15" s="171"/>
      <c r="O15" s="172"/>
      <c r="P15" s="17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74" t="s">
        <v>20</v>
      </c>
      <c r="C16" s="176" t="s">
        <v>21</v>
      </c>
      <c r="D16" s="176" t="s">
        <v>42</v>
      </c>
      <c r="E16" s="178" t="s">
        <v>22</v>
      </c>
      <c r="F16" s="179" t="s">
        <v>43</v>
      </c>
      <c r="G16" s="110"/>
      <c r="H16" s="176" t="s">
        <v>67</v>
      </c>
      <c r="I16" s="182" t="s">
        <v>68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175"/>
      <c r="C17" s="177"/>
      <c r="D17" s="177"/>
      <c r="E17" s="177"/>
      <c r="F17" s="180"/>
      <c r="G17" s="181"/>
      <c r="H17" s="177"/>
      <c r="I17" s="183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0.45</v>
      </c>
      <c r="D18" s="55">
        <v>0</v>
      </c>
      <c r="E18" s="56"/>
      <c r="F18" s="57"/>
      <c r="G18" s="97"/>
      <c r="H18" s="58"/>
      <c r="I18" s="59"/>
      <c r="J18" s="96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06">
        <v>1</v>
      </c>
      <c r="C19" s="208">
        <f>+C18+$N$12</f>
        <v>0.95</v>
      </c>
      <c r="D19" s="198">
        <v>0.24199999999999999</v>
      </c>
      <c r="E19" s="198">
        <v>2.1999999999999999E-2</v>
      </c>
      <c r="F19" s="62" t="s">
        <v>69</v>
      </c>
      <c r="G19" s="63">
        <v>0</v>
      </c>
      <c r="H19" s="64"/>
      <c r="I19" s="65"/>
      <c r="J19" s="66"/>
      <c r="K19" s="198">
        <f>+IF(E19&lt;=0.12,(J21),(IF(E19&lt;0.16,((J20+2*J21+J22)/4),IF(E19&gt;=0.16,((J19+3*J20+2*J21+3*J22+J23)/10)))))</f>
        <v>4.2999999999999997E-2</v>
      </c>
      <c r="L19" s="198">
        <f>ROUND(+(D18+D19)/2*(C19-C18),3)</f>
        <v>6.0999999999999999E-2</v>
      </c>
      <c r="M19" s="198">
        <f>ROUND(+K19*L19,4)</f>
        <v>2.5999999999999999E-3</v>
      </c>
      <c r="N19" s="201">
        <f>ROUND(+M19/$M$128*100,2)</f>
        <v>0.3</v>
      </c>
      <c r="O19" s="202"/>
      <c r="P19" s="20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07"/>
      <c r="C20" s="199"/>
      <c r="D20" s="199"/>
      <c r="E20" s="199"/>
      <c r="F20" s="67" t="s">
        <v>70</v>
      </c>
      <c r="G20" s="68" t="str">
        <f>IF(E19&lt;0.125,"NA",IF(0.125&lt;=E19,(0.2*E19)))</f>
        <v>NA</v>
      </c>
      <c r="H20" s="69"/>
      <c r="I20" s="70"/>
      <c r="J20" s="71"/>
      <c r="K20" s="199"/>
      <c r="L20" s="199"/>
      <c r="M20" s="199"/>
      <c r="N20" s="199"/>
      <c r="O20" s="199"/>
      <c r="P20" s="204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07"/>
      <c r="C21" s="199"/>
      <c r="D21" s="199"/>
      <c r="E21" s="199"/>
      <c r="F21" s="67" t="s">
        <v>71</v>
      </c>
      <c r="G21" s="68">
        <f>+E19*0.4</f>
        <v>8.8000000000000005E-3</v>
      </c>
      <c r="H21" s="69"/>
      <c r="I21" s="70"/>
      <c r="J21" s="71">
        <v>4.2999999999999997E-2</v>
      </c>
      <c r="K21" s="199"/>
      <c r="L21" s="199"/>
      <c r="M21" s="199"/>
      <c r="N21" s="199"/>
      <c r="O21" s="199"/>
      <c r="P21" s="204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07"/>
      <c r="C22" s="199"/>
      <c r="D22" s="199"/>
      <c r="E22" s="199"/>
      <c r="F22" s="67" t="s">
        <v>72</v>
      </c>
      <c r="G22" s="68" t="str">
        <f>IF(E19&lt;0.125,"NA",IF(0.125&lt;=E19,(0.8*E19)))</f>
        <v>NA</v>
      </c>
      <c r="H22" s="69"/>
      <c r="I22" s="70"/>
      <c r="J22" s="71"/>
      <c r="K22" s="199"/>
      <c r="L22" s="199"/>
      <c r="M22" s="199"/>
      <c r="N22" s="199"/>
      <c r="O22" s="199"/>
      <c r="P22" s="204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147"/>
      <c r="C23" s="200"/>
      <c r="D23" s="200"/>
      <c r="E23" s="200"/>
      <c r="F23" s="72" t="s">
        <v>73</v>
      </c>
      <c r="G23" s="73">
        <f>+E19</f>
        <v>2.1999999999999999E-2</v>
      </c>
      <c r="H23" s="74"/>
      <c r="I23" s="75"/>
      <c r="J23" s="76">
        <v>3.7999999999999999E-2</v>
      </c>
      <c r="K23" s="200"/>
      <c r="L23" s="200"/>
      <c r="M23" s="200"/>
      <c r="N23" s="200"/>
      <c r="O23" s="200"/>
      <c r="P23" s="205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06">
        <v>2</v>
      </c>
      <c r="C24" s="208">
        <f>+C19+$N$12</f>
        <v>1.45</v>
      </c>
      <c r="D24" s="198">
        <v>0.192</v>
      </c>
      <c r="E24" s="198">
        <v>0.128</v>
      </c>
      <c r="F24" s="62" t="s">
        <v>69</v>
      </c>
      <c r="G24" s="63">
        <v>0</v>
      </c>
      <c r="H24" s="64"/>
      <c r="I24" s="65"/>
      <c r="J24" s="66">
        <v>3.2000000000000001E-2</v>
      </c>
      <c r="K24" s="198">
        <f>+IF(E24&lt;=0.12,(J26),(IF(E24&lt;0.16,((J25+2*J26+J27)/4),IF(E24&gt;=0.16,((J24+3*J25+2*J26+3*J27+J28)/10)))))</f>
        <v>8.3500000000000005E-2</v>
      </c>
      <c r="L24" s="198">
        <f>ROUND(+(D19+D24)/2*(C24-C19),3)</f>
        <v>0.109</v>
      </c>
      <c r="M24" s="198">
        <f>ROUND(+K24*L24,4)</f>
        <v>9.1000000000000004E-3</v>
      </c>
      <c r="N24" s="201">
        <f>ROUND(+M24/$M$128*100,2)</f>
        <v>1.05</v>
      </c>
      <c r="O24" s="202"/>
      <c r="P24" s="20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07"/>
      <c r="C25" s="199"/>
      <c r="D25" s="199"/>
      <c r="E25" s="199"/>
      <c r="F25" s="67" t="s">
        <v>70</v>
      </c>
      <c r="G25" s="68">
        <f>IF(E24&lt;0.125,"NA",IF(0.125&lt;=E24,(0.2*E24)))</f>
        <v>2.5600000000000001E-2</v>
      </c>
      <c r="H25" s="69"/>
      <c r="I25" s="70"/>
      <c r="J25" s="71">
        <v>6.9000000000000006E-2</v>
      </c>
      <c r="K25" s="199"/>
      <c r="L25" s="199"/>
      <c r="M25" s="199"/>
      <c r="N25" s="199"/>
      <c r="O25" s="199"/>
      <c r="P25" s="204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07"/>
      <c r="C26" s="199"/>
      <c r="D26" s="199"/>
      <c r="E26" s="199"/>
      <c r="F26" s="67" t="s">
        <v>71</v>
      </c>
      <c r="G26" s="68">
        <f>+E24*0.4</f>
        <v>5.1200000000000002E-2</v>
      </c>
      <c r="H26" s="69"/>
      <c r="I26" s="70"/>
      <c r="J26" s="71">
        <v>9.6000000000000002E-2</v>
      </c>
      <c r="K26" s="199"/>
      <c r="L26" s="199"/>
      <c r="M26" s="199"/>
      <c r="N26" s="199"/>
      <c r="O26" s="199"/>
      <c r="P26" s="204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07"/>
      <c r="C27" s="199"/>
      <c r="D27" s="199"/>
      <c r="E27" s="199"/>
      <c r="F27" s="67" t="s">
        <v>72</v>
      </c>
      <c r="G27" s="68">
        <f>IF(E24&lt;0.125,"NA",IF(0.125&lt;=E24,(0.8*E24)))</f>
        <v>0.1024</v>
      </c>
      <c r="H27" s="69"/>
      <c r="I27" s="70"/>
      <c r="J27" s="71">
        <v>7.2999999999999995E-2</v>
      </c>
      <c r="K27" s="199"/>
      <c r="L27" s="199"/>
      <c r="M27" s="199"/>
      <c r="N27" s="199"/>
      <c r="O27" s="199"/>
      <c r="P27" s="204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147"/>
      <c r="C28" s="200"/>
      <c r="D28" s="200"/>
      <c r="E28" s="200"/>
      <c r="F28" s="72" t="s">
        <v>73</v>
      </c>
      <c r="G28" s="73">
        <f>+E24</f>
        <v>0.128</v>
      </c>
      <c r="H28" s="74"/>
      <c r="I28" s="75"/>
      <c r="J28" s="76"/>
      <c r="K28" s="200"/>
      <c r="L28" s="200"/>
      <c r="M28" s="200"/>
      <c r="N28" s="200"/>
      <c r="O28" s="200"/>
      <c r="P28" s="205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06">
        <v>3</v>
      </c>
      <c r="C29" s="208">
        <f>+C24+$N$12</f>
        <v>1.95</v>
      </c>
      <c r="D29" s="198">
        <v>0.182</v>
      </c>
      <c r="E29" s="198">
        <v>0.18</v>
      </c>
      <c r="F29" s="62" t="s">
        <v>69</v>
      </c>
      <c r="G29" s="63">
        <v>0</v>
      </c>
      <c r="H29" s="64"/>
      <c r="I29" s="65"/>
      <c r="J29" s="66">
        <v>0.33600000000000002</v>
      </c>
      <c r="K29" s="198">
        <f>+IF(E29&lt;=0.12,(J31),(IF(E29&lt;0.16,((J30+2*J31+J32)/4),IF(E29&gt;=0.16,((J29+3*J30+2*J31+3*J32+J33)/10)))))</f>
        <v>0.54469999999999996</v>
      </c>
      <c r="L29" s="198">
        <f>ROUND(+(D24+D29)/2*(C29-C24),3)</f>
        <v>9.4E-2</v>
      </c>
      <c r="M29" s="198">
        <f>ROUND(+K29*L29,4)</f>
        <v>5.1200000000000002E-2</v>
      </c>
      <c r="N29" s="201">
        <f>ROUND(+M29/$M$128*100,2)</f>
        <v>5.89</v>
      </c>
      <c r="O29" s="202"/>
      <c r="P29" s="20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07"/>
      <c r="C30" s="199"/>
      <c r="D30" s="199"/>
      <c r="E30" s="199"/>
      <c r="F30" s="67" t="s">
        <v>70</v>
      </c>
      <c r="G30" s="68">
        <f>IF(E29&lt;0.125,"NA",IF(0.125&lt;=E29,(0.2*E29)))</f>
        <v>3.5999999999999997E-2</v>
      </c>
      <c r="H30" s="69"/>
      <c r="I30" s="70"/>
      <c r="J30" s="71">
        <v>0.45800000000000002</v>
      </c>
      <c r="K30" s="199"/>
      <c r="L30" s="199"/>
      <c r="M30" s="199"/>
      <c r="N30" s="199"/>
      <c r="O30" s="199"/>
      <c r="P30" s="204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07"/>
      <c r="C31" s="199"/>
      <c r="D31" s="199"/>
      <c r="E31" s="199"/>
      <c r="F31" s="67" t="s">
        <v>71</v>
      </c>
      <c r="G31" s="68">
        <f>+E29*0.4</f>
        <v>7.1999999999999995E-2</v>
      </c>
      <c r="H31" s="69"/>
      <c r="I31" s="70"/>
      <c r="J31" s="71">
        <v>0.94399999999999995</v>
      </c>
      <c r="K31" s="199"/>
      <c r="L31" s="199"/>
      <c r="M31" s="199"/>
      <c r="N31" s="199"/>
      <c r="O31" s="199"/>
      <c r="P31" s="204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07"/>
      <c r="C32" s="199"/>
      <c r="D32" s="199"/>
      <c r="E32" s="199"/>
      <c r="F32" s="67" t="s">
        <v>72</v>
      </c>
      <c r="G32" s="68">
        <f>IF(E29&lt;0.125,"NA",IF(0.125&lt;=E29,(0.8*E29)))</f>
        <v>0.14399999999999999</v>
      </c>
      <c r="H32" s="69"/>
      <c r="I32" s="70"/>
      <c r="J32" s="71">
        <v>0.46400000000000002</v>
      </c>
      <c r="K32" s="199"/>
      <c r="L32" s="199"/>
      <c r="M32" s="199"/>
      <c r="N32" s="199"/>
      <c r="O32" s="199"/>
      <c r="P32" s="204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147"/>
      <c r="C33" s="200"/>
      <c r="D33" s="200"/>
      <c r="E33" s="200"/>
      <c r="F33" s="72" t="s">
        <v>73</v>
      </c>
      <c r="G33" s="73">
        <f>+E29</f>
        <v>0.18</v>
      </c>
      <c r="H33" s="74"/>
      <c r="I33" s="75"/>
      <c r="J33" s="76">
        <v>0.45700000000000002</v>
      </c>
      <c r="K33" s="200"/>
      <c r="L33" s="200"/>
      <c r="M33" s="200"/>
      <c r="N33" s="200"/>
      <c r="O33" s="200"/>
      <c r="P33" s="205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06">
        <v>4</v>
      </c>
      <c r="C34" s="208">
        <f>+C29+$N$12</f>
        <v>2.4500000000000002</v>
      </c>
      <c r="D34" s="198">
        <v>0.20200000000000001</v>
      </c>
      <c r="E34" s="198">
        <v>0.20599999999999999</v>
      </c>
      <c r="F34" s="62" t="s">
        <v>69</v>
      </c>
      <c r="G34" s="63">
        <v>0</v>
      </c>
      <c r="H34" s="64"/>
      <c r="I34" s="65"/>
      <c r="J34" s="66">
        <v>0.372</v>
      </c>
      <c r="K34" s="198">
        <f>+IF(E34&lt;=0.12,(J36),(IF(E34&lt;0.16,((J35+2*J36+J37)/4),IF(E34&gt;=0.16,((J34+3*J35+2*J36+3*J37+J38)/10)))))</f>
        <v>0.48170000000000002</v>
      </c>
      <c r="L34" s="198">
        <f>ROUND(+(D29+D34)/2*(C34-C29),3)</f>
        <v>9.6000000000000002E-2</v>
      </c>
      <c r="M34" s="198">
        <f>ROUND(+K34*L34,4)</f>
        <v>4.6199999999999998E-2</v>
      </c>
      <c r="N34" s="201">
        <f>ROUND(+M34/$M$128*100,2)</f>
        <v>5.31</v>
      </c>
      <c r="O34" s="202"/>
      <c r="P34" s="20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07"/>
      <c r="C35" s="199"/>
      <c r="D35" s="199"/>
      <c r="E35" s="199"/>
      <c r="F35" s="67" t="s">
        <v>70</v>
      </c>
      <c r="G35" s="68">
        <f>IF(E34&lt;0.125,"NA",IF(0.125&lt;=E34,(0.2*E34)))</f>
        <v>4.1200000000000001E-2</v>
      </c>
      <c r="H35" s="69"/>
      <c r="I35" s="70"/>
      <c r="J35" s="71">
        <v>0.42199999999999999</v>
      </c>
      <c r="K35" s="199"/>
      <c r="L35" s="199"/>
      <c r="M35" s="199"/>
      <c r="N35" s="199"/>
      <c r="O35" s="199"/>
      <c r="P35" s="204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07"/>
      <c r="C36" s="199"/>
      <c r="D36" s="199"/>
      <c r="E36" s="199"/>
      <c r="F36" s="67" t="s">
        <v>71</v>
      </c>
      <c r="G36" s="68">
        <f>+E34*0.4</f>
        <v>8.2400000000000001E-2</v>
      </c>
      <c r="H36" s="69"/>
      <c r="I36" s="70"/>
      <c r="J36" s="71">
        <v>0.49099999999999999</v>
      </c>
      <c r="K36" s="199"/>
      <c r="L36" s="199"/>
      <c r="M36" s="199"/>
      <c r="N36" s="199"/>
      <c r="O36" s="199"/>
      <c r="P36" s="204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07"/>
      <c r="C37" s="199"/>
      <c r="D37" s="199"/>
      <c r="E37" s="199"/>
      <c r="F37" s="67" t="s">
        <v>72</v>
      </c>
      <c r="G37" s="68">
        <f>IF(E34&lt;0.125,"NA",IF(0.125&lt;=E34,(0.8*E34)))</f>
        <v>0.1648</v>
      </c>
      <c r="H37" s="69"/>
      <c r="I37" s="70"/>
      <c r="J37" s="71">
        <v>0.54400000000000004</v>
      </c>
      <c r="K37" s="199"/>
      <c r="L37" s="199"/>
      <c r="M37" s="199"/>
      <c r="N37" s="199"/>
      <c r="O37" s="199"/>
      <c r="P37" s="204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147"/>
      <c r="C38" s="200"/>
      <c r="D38" s="200"/>
      <c r="E38" s="200"/>
      <c r="F38" s="72" t="s">
        <v>73</v>
      </c>
      <c r="G38" s="73">
        <f>+E34</f>
        <v>0.20599999999999999</v>
      </c>
      <c r="H38" s="74"/>
      <c r="I38" s="75"/>
      <c r="J38" s="76">
        <v>0.56499999999999995</v>
      </c>
      <c r="K38" s="200"/>
      <c r="L38" s="200"/>
      <c r="M38" s="200"/>
      <c r="N38" s="200"/>
      <c r="O38" s="200"/>
      <c r="P38" s="205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06">
        <v>5</v>
      </c>
      <c r="C39" s="208">
        <f>+C34+$N$12</f>
        <v>2.95</v>
      </c>
      <c r="D39" s="198">
        <v>0.187</v>
      </c>
      <c r="E39" s="198">
        <v>0.23100000000000001</v>
      </c>
      <c r="F39" s="62" t="s">
        <v>69</v>
      </c>
      <c r="G39" s="63">
        <v>0</v>
      </c>
      <c r="H39" s="64"/>
      <c r="I39" s="65"/>
      <c r="J39" s="66">
        <v>0.40600000000000003</v>
      </c>
      <c r="K39" s="198">
        <f>+IF(E39&lt;=0.12,(J41),(IF(E39&lt;0.16,((J40+2*J41+J42)/4),IF(E39&gt;=0.16,((J39+3*J40+2*J41+3*J42+J43)/10)))))</f>
        <v>0.53179999999999994</v>
      </c>
      <c r="L39" s="198">
        <f>ROUND(+(D34+D39)/2*(C39-C34),3)</f>
        <v>9.7000000000000003E-2</v>
      </c>
      <c r="M39" s="198">
        <f>ROUND(+K39*L39,4)</f>
        <v>5.16E-2</v>
      </c>
      <c r="N39" s="201">
        <f>ROUND(+M39/$M$128*100,2)</f>
        <v>5.93</v>
      </c>
      <c r="O39" s="202"/>
      <c r="P39" s="20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07"/>
      <c r="C40" s="199"/>
      <c r="D40" s="199"/>
      <c r="E40" s="199"/>
      <c r="F40" s="67" t="s">
        <v>70</v>
      </c>
      <c r="G40" s="68">
        <f>IF(E39&lt;0.125,"NA",IF(0.125&lt;=E39,(0.2*E39)))</f>
        <v>4.6200000000000005E-2</v>
      </c>
      <c r="H40" s="69"/>
      <c r="I40" s="70"/>
      <c r="J40" s="71">
        <v>0.47099999999999997</v>
      </c>
      <c r="K40" s="199"/>
      <c r="L40" s="199"/>
      <c r="M40" s="199"/>
      <c r="N40" s="199"/>
      <c r="O40" s="199"/>
      <c r="P40" s="204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07"/>
      <c r="C41" s="199"/>
      <c r="D41" s="199"/>
      <c r="E41" s="199"/>
      <c r="F41" s="67" t="s">
        <v>71</v>
      </c>
      <c r="G41" s="68">
        <f>+E39*0.4</f>
        <v>9.240000000000001E-2</v>
      </c>
      <c r="H41" s="69"/>
      <c r="I41" s="70"/>
      <c r="J41" s="71">
        <v>0.52200000000000002</v>
      </c>
      <c r="K41" s="199"/>
      <c r="L41" s="199"/>
      <c r="M41" s="199"/>
      <c r="N41" s="199"/>
      <c r="O41" s="199"/>
      <c r="P41" s="204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07"/>
      <c r="C42" s="199"/>
      <c r="D42" s="199"/>
      <c r="E42" s="199"/>
      <c r="F42" s="67" t="s">
        <v>72</v>
      </c>
      <c r="G42" s="68">
        <f>IF(E39&lt;0.125,"NA",IF(0.125&lt;=E39,(0.8*E39)))</f>
        <v>0.18480000000000002</v>
      </c>
      <c r="H42" s="69"/>
      <c r="I42" s="70"/>
      <c r="J42" s="71">
        <v>0.65800000000000003</v>
      </c>
      <c r="K42" s="199"/>
      <c r="L42" s="199"/>
      <c r="M42" s="199"/>
      <c r="N42" s="199"/>
      <c r="O42" s="199"/>
      <c r="P42" s="204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147"/>
      <c r="C43" s="200"/>
      <c r="D43" s="200"/>
      <c r="E43" s="200"/>
      <c r="F43" s="72" t="s">
        <v>73</v>
      </c>
      <c r="G43" s="73">
        <f>+E39</f>
        <v>0.23100000000000001</v>
      </c>
      <c r="H43" s="74"/>
      <c r="I43" s="75"/>
      <c r="J43" s="76">
        <v>0.48099999999999998</v>
      </c>
      <c r="K43" s="200"/>
      <c r="L43" s="200"/>
      <c r="M43" s="200"/>
      <c r="N43" s="200"/>
      <c r="O43" s="200"/>
      <c r="P43" s="205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06">
        <v>6</v>
      </c>
      <c r="C44" s="208">
        <f>+C39+$N$12</f>
        <v>3.45</v>
      </c>
      <c r="D44" s="198">
        <v>0.248</v>
      </c>
      <c r="E44" s="198">
        <v>0.21</v>
      </c>
      <c r="F44" s="62" t="s">
        <v>69</v>
      </c>
      <c r="G44" s="63">
        <v>0</v>
      </c>
      <c r="H44" s="64"/>
      <c r="I44" s="65"/>
      <c r="J44" s="66">
        <v>0.53600000000000003</v>
      </c>
      <c r="K44" s="198">
        <f>+IF(E44&lt;=0.12,(J46),(IF(E44&lt;0.16,((J45+2*J46+J47)/4),IF(E44&gt;=0.16,((J44+3*J45+2*J46+3*J47+J48)/10)))))</f>
        <v>0.60070000000000001</v>
      </c>
      <c r="L44" s="198">
        <f>ROUND(+(D39+D44)/2*(C44-C39),3)</f>
        <v>0.109</v>
      </c>
      <c r="M44" s="198">
        <f>ROUND(+K44*L44,4)</f>
        <v>6.5500000000000003E-2</v>
      </c>
      <c r="N44" s="201">
        <f>ROUND(+M44/$M$128*100,2)</f>
        <v>7.53</v>
      </c>
      <c r="O44" s="202"/>
      <c r="P44" s="20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07"/>
      <c r="C45" s="199"/>
      <c r="D45" s="199"/>
      <c r="E45" s="199"/>
      <c r="F45" s="67" t="s">
        <v>70</v>
      </c>
      <c r="G45" s="68">
        <f>IF(E44&lt;0.125,"NA",IF(0.125&lt;=E44,(0.2*E44)))</f>
        <v>4.2000000000000003E-2</v>
      </c>
      <c r="H45" s="69"/>
      <c r="I45" s="70"/>
      <c r="J45" s="71">
        <v>0.60899999999999999</v>
      </c>
      <c r="K45" s="199"/>
      <c r="L45" s="199"/>
      <c r="M45" s="199"/>
      <c r="N45" s="199"/>
      <c r="O45" s="199"/>
      <c r="P45" s="204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07"/>
      <c r="C46" s="199"/>
      <c r="D46" s="199"/>
      <c r="E46" s="199"/>
      <c r="F46" s="67" t="s">
        <v>71</v>
      </c>
      <c r="G46" s="68">
        <f>+E44*0.4</f>
        <v>8.4000000000000005E-2</v>
      </c>
      <c r="H46" s="69"/>
      <c r="I46" s="70"/>
      <c r="J46" s="71">
        <v>0.49099999999999999</v>
      </c>
      <c r="K46" s="199"/>
      <c r="L46" s="199"/>
      <c r="M46" s="199"/>
      <c r="N46" s="199"/>
      <c r="O46" s="199"/>
      <c r="P46" s="204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07"/>
      <c r="C47" s="199"/>
      <c r="D47" s="199"/>
      <c r="E47" s="199"/>
      <c r="F47" s="67" t="s">
        <v>72</v>
      </c>
      <c r="G47" s="68">
        <f>IF(E44&lt;0.125,"NA",IF(0.125&lt;=E44,(0.8*E44)))</f>
        <v>0.16800000000000001</v>
      </c>
      <c r="H47" s="69"/>
      <c r="I47" s="70"/>
      <c r="J47" s="71">
        <v>0.67100000000000004</v>
      </c>
      <c r="K47" s="199"/>
      <c r="L47" s="199"/>
      <c r="M47" s="199"/>
      <c r="N47" s="199"/>
      <c r="O47" s="199"/>
      <c r="P47" s="204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147"/>
      <c r="C48" s="200"/>
      <c r="D48" s="200"/>
      <c r="E48" s="200"/>
      <c r="F48" s="72" t="s">
        <v>73</v>
      </c>
      <c r="G48" s="73">
        <f>+E44</f>
        <v>0.21</v>
      </c>
      <c r="H48" s="74"/>
      <c r="I48" s="75"/>
      <c r="J48" s="76">
        <v>0.64900000000000002</v>
      </c>
      <c r="K48" s="200"/>
      <c r="L48" s="200"/>
      <c r="M48" s="200"/>
      <c r="N48" s="200"/>
      <c r="O48" s="200"/>
      <c r="P48" s="205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06">
        <v>7</v>
      </c>
      <c r="C49" s="208">
        <f>+C44+$N$12</f>
        <v>3.95</v>
      </c>
      <c r="D49" s="198">
        <v>0.25</v>
      </c>
      <c r="E49" s="198">
        <v>0.28999999999999998</v>
      </c>
      <c r="F49" s="62" t="s">
        <v>69</v>
      </c>
      <c r="G49" s="63">
        <v>0</v>
      </c>
      <c r="H49" s="64"/>
      <c r="I49" s="65"/>
      <c r="J49" s="66">
        <v>0.505</v>
      </c>
      <c r="K49" s="198">
        <f>+IF(E49&lt;=0.12,(J51),(IF(E49&lt;0.16,((J50+2*J51+J52)/4),IF(E49&gt;=0.16,((J49+3*J50+2*J51+3*J52+J53)/10)))))</f>
        <v>0.56549999999999989</v>
      </c>
      <c r="L49" s="198">
        <f>ROUND(+(D44+D49)/2*(C49-C44),3)</f>
        <v>0.125</v>
      </c>
      <c r="M49" s="198">
        <f>ROUND(+K49*L49,4)</f>
        <v>7.0699999999999999E-2</v>
      </c>
      <c r="N49" s="201">
        <f>ROUND(+M49/$M$128*100,2)</f>
        <v>8.1300000000000008</v>
      </c>
      <c r="O49" s="202"/>
      <c r="P49" s="20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07"/>
      <c r="C50" s="199"/>
      <c r="D50" s="199"/>
      <c r="E50" s="199"/>
      <c r="F50" s="67" t="s">
        <v>70</v>
      </c>
      <c r="G50" s="68">
        <f>IF(E49&lt;0.125,"NA",IF(0.125&lt;=E49,(0.2*E49)))</f>
        <v>5.7999999999999996E-2</v>
      </c>
      <c r="H50" s="69"/>
      <c r="I50" s="70"/>
      <c r="J50" s="71">
        <v>0.49099999999999999</v>
      </c>
      <c r="K50" s="199"/>
      <c r="L50" s="199"/>
      <c r="M50" s="199"/>
      <c r="N50" s="199"/>
      <c r="O50" s="199"/>
      <c r="P50" s="204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07"/>
      <c r="C51" s="199"/>
      <c r="D51" s="199"/>
      <c r="E51" s="199"/>
      <c r="F51" s="67" t="s">
        <v>71</v>
      </c>
      <c r="G51" s="68">
        <f>+E49*0.4</f>
        <v>0.11599999999999999</v>
      </c>
      <c r="H51" s="69"/>
      <c r="I51" s="70"/>
      <c r="J51" s="71">
        <v>0.58099999999999996</v>
      </c>
      <c r="K51" s="199"/>
      <c r="L51" s="199"/>
      <c r="M51" s="199"/>
      <c r="N51" s="199"/>
      <c r="O51" s="199"/>
      <c r="P51" s="204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07"/>
      <c r="C52" s="199"/>
      <c r="D52" s="199"/>
      <c r="E52" s="199"/>
      <c r="F52" s="67" t="s">
        <v>72</v>
      </c>
      <c r="G52" s="68">
        <f>IF(E49&lt;0.125,"NA",IF(0.125&lt;=E49,(0.8*E49)))</f>
        <v>0.23199999999999998</v>
      </c>
      <c r="H52" s="69"/>
      <c r="I52" s="70"/>
      <c r="J52" s="71">
        <v>0.623</v>
      </c>
      <c r="K52" s="199"/>
      <c r="L52" s="199"/>
      <c r="M52" s="199"/>
      <c r="N52" s="199"/>
      <c r="O52" s="199"/>
      <c r="P52" s="204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147"/>
      <c r="C53" s="200"/>
      <c r="D53" s="200"/>
      <c r="E53" s="200"/>
      <c r="F53" s="72" t="s">
        <v>73</v>
      </c>
      <c r="G53" s="73">
        <f>+E49</f>
        <v>0.28999999999999998</v>
      </c>
      <c r="H53" s="74"/>
      <c r="I53" s="75"/>
      <c r="J53" s="76">
        <v>0.64600000000000002</v>
      </c>
      <c r="K53" s="200"/>
      <c r="L53" s="200"/>
      <c r="M53" s="200"/>
      <c r="N53" s="200"/>
      <c r="O53" s="200"/>
      <c r="P53" s="205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06">
        <v>8</v>
      </c>
      <c r="C54" s="208">
        <f>+C49+$N$12</f>
        <v>4.45</v>
      </c>
      <c r="D54" s="198">
        <v>0.31</v>
      </c>
      <c r="E54" s="198">
        <v>0.29199999999999998</v>
      </c>
      <c r="F54" s="62" t="s">
        <v>69</v>
      </c>
      <c r="G54" s="63">
        <v>0</v>
      </c>
      <c r="H54" s="64"/>
      <c r="I54" s="65"/>
      <c r="J54" s="66">
        <v>0.377</v>
      </c>
      <c r="K54" s="198">
        <f>+IF(E54&lt;=0.12,(J56),(IF(E54&lt;0.16,((J55+2*J56+J57)/4),IF(E54&gt;=0.16,((J54+3*J55+2*J56+3*J57+J58)/10)))))</f>
        <v>0.48880000000000001</v>
      </c>
      <c r="L54" s="198">
        <f>ROUND(+(D49+D54)/2*(C54-C49),3)</f>
        <v>0.14000000000000001</v>
      </c>
      <c r="M54" s="198">
        <f>ROUND(+K54*L54,4)</f>
        <v>6.8400000000000002E-2</v>
      </c>
      <c r="N54" s="201">
        <f>ROUND(+M54/$M$128*100,2)</f>
        <v>7.86</v>
      </c>
      <c r="O54" s="202"/>
      <c r="P54" s="20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07"/>
      <c r="C55" s="199"/>
      <c r="D55" s="199"/>
      <c r="E55" s="199"/>
      <c r="F55" s="67" t="s">
        <v>70</v>
      </c>
      <c r="G55" s="68">
        <f>IF(E54&lt;0.125,"NA",IF(0.125&lt;=E54,(0.2*E54)))</f>
        <v>5.8400000000000001E-2</v>
      </c>
      <c r="H55" s="69"/>
      <c r="I55" s="70"/>
      <c r="J55" s="71">
        <v>0.374</v>
      </c>
      <c r="K55" s="199"/>
      <c r="L55" s="199"/>
      <c r="M55" s="199"/>
      <c r="N55" s="199"/>
      <c r="O55" s="199"/>
      <c r="P55" s="204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07"/>
      <c r="C56" s="199"/>
      <c r="D56" s="199"/>
      <c r="E56" s="199"/>
      <c r="F56" s="67" t="s">
        <v>71</v>
      </c>
      <c r="G56" s="68">
        <f>+E54*0.4</f>
        <v>0.1168</v>
      </c>
      <c r="H56" s="69"/>
      <c r="I56" s="70"/>
      <c r="J56" s="71">
        <v>0.4</v>
      </c>
      <c r="K56" s="199"/>
      <c r="L56" s="199"/>
      <c r="M56" s="199"/>
      <c r="N56" s="199"/>
      <c r="O56" s="199"/>
      <c r="P56" s="204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07"/>
      <c r="C57" s="199"/>
      <c r="D57" s="199"/>
      <c r="E57" s="199"/>
      <c r="F57" s="67" t="s">
        <v>72</v>
      </c>
      <c r="G57" s="68">
        <f>IF(E54&lt;0.125,"NA",IF(0.125&lt;=E54,(0.8*E54)))</f>
        <v>0.2336</v>
      </c>
      <c r="H57" s="69"/>
      <c r="I57" s="70"/>
      <c r="J57" s="71">
        <v>0.64800000000000002</v>
      </c>
      <c r="K57" s="199"/>
      <c r="L57" s="199"/>
      <c r="M57" s="199"/>
      <c r="N57" s="199"/>
      <c r="O57" s="199"/>
      <c r="P57" s="204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147"/>
      <c r="C58" s="200"/>
      <c r="D58" s="200"/>
      <c r="E58" s="200"/>
      <c r="F58" s="72" t="s">
        <v>73</v>
      </c>
      <c r="G58" s="73">
        <f>+E54</f>
        <v>0.29199999999999998</v>
      </c>
      <c r="H58" s="74"/>
      <c r="I58" s="75"/>
      <c r="J58" s="76">
        <v>0.64500000000000002</v>
      </c>
      <c r="K58" s="200"/>
      <c r="L58" s="200"/>
      <c r="M58" s="200"/>
      <c r="N58" s="200"/>
      <c r="O58" s="200"/>
      <c r="P58" s="205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06">
        <f>+B54+1</f>
        <v>9</v>
      </c>
      <c r="C59" s="208">
        <f>+C54+$N$12</f>
        <v>4.95</v>
      </c>
      <c r="D59" s="198">
        <v>0.3</v>
      </c>
      <c r="E59" s="198">
        <v>0.307</v>
      </c>
      <c r="F59" s="62" t="s">
        <v>69</v>
      </c>
      <c r="G59" s="63">
        <v>0</v>
      </c>
      <c r="H59" s="64"/>
      <c r="I59" s="65"/>
      <c r="J59" s="66">
        <v>0.47899999999999998</v>
      </c>
      <c r="K59" s="198">
        <f>+IF(E59&lt;=0.12,(J61),(IF(E59&lt;0.16,((J60+2*J61+J62)/4),IF(E59&gt;=0.16,((J59+3*J60+2*J61+3*J62+J63)/10)))))</f>
        <v>0.62049999999999994</v>
      </c>
      <c r="L59" s="198">
        <f>ROUND(+(D54+D59)/2*(C59-C54),3)</f>
        <v>0.153</v>
      </c>
      <c r="M59" s="198">
        <f>ROUND(+K59*L59,4)</f>
        <v>9.4899999999999998E-2</v>
      </c>
      <c r="N59" s="201">
        <f>ROUND(+M59/$M$128*100,2)</f>
        <v>10.91</v>
      </c>
      <c r="O59" s="202"/>
      <c r="P59" s="20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07"/>
      <c r="C60" s="199"/>
      <c r="D60" s="199"/>
      <c r="E60" s="199"/>
      <c r="F60" s="67" t="s">
        <v>70</v>
      </c>
      <c r="G60" s="68">
        <f>IF(E59&lt;0.125,"NA",IF(0.125&lt;=E59,(0.2*E59)))</f>
        <v>6.1400000000000003E-2</v>
      </c>
      <c r="H60" s="69"/>
      <c r="I60" s="70"/>
      <c r="J60" s="71">
        <v>0.48599999999999999</v>
      </c>
      <c r="K60" s="199"/>
      <c r="L60" s="199"/>
      <c r="M60" s="199"/>
      <c r="N60" s="199"/>
      <c r="O60" s="199"/>
      <c r="P60" s="204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07"/>
      <c r="C61" s="199"/>
      <c r="D61" s="199"/>
      <c r="E61" s="199"/>
      <c r="F61" s="67" t="s">
        <v>71</v>
      </c>
      <c r="G61" s="68">
        <f>+E59*0.4</f>
        <v>0.12280000000000001</v>
      </c>
      <c r="H61" s="69"/>
      <c r="I61" s="70"/>
      <c r="J61" s="71">
        <v>0.68500000000000005</v>
      </c>
      <c r="K61" s="199"/>
      <c r="L61" s="199"/>
      <c r="M61" s="199"/>
      <c r="N61" s="199"/>
      <c r="O61" s="199"/>
      <c r="P61" s="204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07"/>
      <c r="C62" s="199"/>
      <c r="D62" s="199"/>
      <c r="E62" s="199"/>
      <c r="F62" s="67" t="s">
        <v>72</v>
      </c>
      <c r="G62" s="68">
        <f>IF(E59&lt;0.125,"NA",IF(0.125&lt;=E59,(0.8*E59)))</f>
        <v>0.24560000000000001</v>
      </c>
      <c r="H62" s="69"/>
      <c r="I62" s="70"/>
      <c r="J62" s="71">
        <v>0.72599999999999998</v>
      </c>
      <c r="K62" s="199"/>
      <c r="L62" s="199"/>
      <c r="M62" s="199"/>
      <c r="N62" s="199"/>
      <c r="O62" s="199"/>
      <c r="P62" s="204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147"/>
      <c r="C63" s="200"/>
      <c r="D63" s="200"/>
      <c r="E63" s="200"/>
      <c r="F63" s="72" t="s">
        <v>73</v>
      </c>
      <c r="G63" s="73">
        <f>+E59</f>
        <v>0.307</v>
      </c>
      <c r="H63" s="74"/>
      <c r="I63" s="75"/>
      <c r="J63" s="76">
        <v>0.72</v>
      </c>
      <c r="K63" s="200"/>
      <c r="L63" s="200"/>
      <c r="M63" s="200"/>
      <c r="N63" s="200"/>
      <c r="O63" s="200"/>
      <c r="P63" s="205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06">
        <f>+B59+1</f>
        <v>10</v>
      </c>
      <c r="C64" s="208">
        <f>+C59+$N$12</f>
        <v>5.45</v>
      </c>
      <c r="D64" s="198">
        <v>0.33200000000000002</v>
      </c>
      <c r="E64" s="198">
        <v>0.33700000000000002</v>
      </c>
      <c r="F64" s="62" t="s">
        <v>69</v>
      </c>
      <c r="G64" s="63">
        <v>0</v>
      </c>
      <c r="H64" s="64"/>
      <c r="I64" s="65"/>
      <c r="J64" s="66">
        <v>0.45800000000000002</v>
      </c>
      <c r="K64" s="198">
        <f>+IF(E64&lt;=0.12,(J66),(IF(E64&lt;0.16,((J65+2*J66+J67)/4),IF(E64&gt;=0.16,((J64+3*J65+2*J66+3*J67+J68)/10)))))</f>
        <v>0.59809999999999997</v>
      </c>
      <c r="L64" s="198">
        <f>ROUND(+(D59+D64)/2*(C64-C59),3)</f>
        <v>0.158</v>
      </c>
      <c r="M64" s="198">
        <f>ROUND(+K64*L64,4)</f>
        <v>9.4500000000000001E-2</v>
      </c>
      <c r="N64" s="201">
        <f>ROUND(+M64/$M$128*100,2)</f>
        <v>10.86</v>
      </c>
      <c r="O64" s="202"/>
      <c r="P64" s="20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07"/>
      <c r="C65" s="199"/>
      <c r="D65" s="199"/>
      <c r="E65" s="199"/>
      <c r="F65" s="67" t="s">
        <v>70</v>
      </c>
      <c r="G65" s="68">
        <f>IF(E64&lt;0.125,"NA",IF(0.125&lt;=E64,(0.2*E64)))</f>
        <v>6.7400000000000002E-2</v>
      </c>
      <c r="H65" s="69"/>
      <c r="I65" s="70"/>
      <c r="J65" s="71">
        <v>0.51500000000000001</v>
      </c>
      <c r="K65" s="199"/>
      <c r="L65" s="199"/>
      <c r="M65" s="199"/>
      <c r="N65" s="199"/>
      <c r="O65" s="199"/>
      <c r="P65" s="204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07"/>
      <c r="C66" s="199"/>
      <c r="D66" s="199"/>
      <c r="E66" s="199"/>
      <c r="F66" s="67" t="s">
        <v>71</v>
      </c>
      <c r="G66" s="68">
        <f>+E64*0.4</f>
        <v>0.1348</v>
      </c>
      <c r="H66" s="69"/>
      <c r="I66" s="70"/>
      <c r="J66" s="71">
        <v>0.61099999999999999</v>
      </c>
      <c r="K66" s="199"/>
      <c r="L66" s="199"/>
      <c r="M66" s="199"/>
      <c r="N66" s="199"/>
      <c r="O66" s="199"/>
      <c r="P66" s="204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07"/>
      <c r="C67" s="199"/>
      <c r="D67" s="199"/>
      <c r="E67" s="199"/>
      <c r="F67" s="67" t="s">
        <v>72</v>
      </c>
      <c r="G67" s="68">
        <f>IF(E64&lt;0.125,"NA",IF(0.125&lt;=E64,(0.8*E64)))</f>
        <v>0.26960000000000001</v>
      </c>
      <c r="H67" s="69"/>
      <c r="I67" s="70"/>
      <c r="J67" s="71">
        <v>0.73</v>
      </c>
      <c r="K67" s="199"/>
      <c r="L67" s="199"/>
      <c r="M67" s="199"/>
      <c r="N67" s="199"/>
      <c r="O67" s="199"/>
      <c r="P67" s="204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147"/>
      <c r="C68" s="200"/>
      <c r="D68" s="200"/>
      <c r="E68" s="200"/>
      <c r="F68" s="72" t="s">
        <v>73</v>
      </c>
      <c r="G68" s="73">
        <f>+E64</f>
        <v>0.33700000000000002</v>
      </c>
      <c r="H68" s="74"/>
      <c r="I68" s="75"/>
      <c r="J68" s="76">
        <v>0.56599999999999995</v>
      </c>
      <c r="K68" s="200"/>
      <c r="L68" s="200"/>
      <c r="M68" s="200"/>
      <c r="N68" s="200"/>
      <c r="O68" s="200"/>
      <c r="P68" s="205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06">
        <f>+B64+1</f>
        <v>11</v>
      </c>
      <c r="C69" s="208">
        <f>+C64+$N$12</f>
        <v>5.95</v>
      </c>
      <c r="D69" s="198">
        <v>0.29899999999999999</v>
      </c>
      <c r="E69" s="198">
        <v>0.35399999999999998</v>
      </c>
      <c r="F69" s="62" t="s">
        <v>69</v>
      </c>
      <c r="G69" s="63">
        <v>0</v>
      </c>
      <c r="H69" s="64"/>
      <c r="I69" s="65"/>
      <c r="J69" s="66"/>
      <c r="K69" s="198"/>
      <c r="L69" s="198"/>
      <c r="M69" s="198"/>
      <c r="N69" s="201"/>
      <c r="O69" s="202"/>
      <c r="P69" s="20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07"/>
      <c r="C70" s="199"/>
      <c r="D70" s="199"/>
      <c r="E70" s="199"/>
      <c r="F70" s="67" t="s">
        <v>70</v>
      </c>
      <c r="G70" s="68">
        <f>IF(E69&lt;0.125,"NA",IF(0.125&lt;=E69,(0.2*E69)))</f>
        <v>7.0800000000000002E-2</v>
      </c>
      <c r="H70" s="69"/>
      <c r="I70" s="70"/>
      <c r="J70" s="71"/>
      <c r="K70" s="199"/>
      <c r="L70" s="199"/>
      <c r="M70" s="199"/>
      <c r="N70" s="199"/>
      <c r="O70" s="199"/>
      <c r="P70" s="204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07"/>
      <c r="C71" s="199"/>
      <c r="D71" s="199"/>
      <c r="E71" s="199"/>
      <c r="F71" s="67" t="s">
        <v>71</v>
      </c>
      <c r="G71" s="68">
        <f>+E69*0.4</f>
        <v>0.1416</v>
      </c>
      <c r="H71" s="69"/>
      <c r="I71" s="70"/>
      <c r="J71" s="71"/>
      <c r="K71" s="199"/>
      <c r="L71" s="199"/>
      <c r="M71" s="199"/>
      <c r="N71" s="199"/>
      <c r="O71" s="199"/>
      <c r="P71" s="204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07"/>
      <c r="C72" s="199"/>
      <c r="D72" s="199"/>
      <c r="E72" s="199"/>
      <c r="F72" s="67" t="s">
        <v>72</v>
      </c>
      <c r="G72" s="68">
        <f>IF(E69&lt;0.125,"NA",IF(0.125&lt;=E69,(0.8*E69)))</f>
        <v>0.28320000000000001</v>
      </c>
      <c r="H72" s="69"/>
      <c r="I72" s="70"/>
      <c r="J72" s="71"/>
      <c r="K72" s="199"/>
      <c r="L72" s="199"/>
      <c r="M72" s="199"/>
      <c r="N72" s="199"/>
      <c r="O72" s="199"/>
      <c r="P72" s="204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147"/>
      <c r="C73" s="200"/>
      <c r="D73" s="200"/>
      <c r="E73" s="200"/>
      <c r="F73" s="72" t="s">
        <v>73</v>
      </c>
      <c r="G73" s="73">
        <f>+E69</f>
        <v>0.35399999999999998</v>
      </c>
      <c r="H73" s="74"/>
      <c r="I73" s="75"/>
      <c r="J73" s="76"/>
      <c r="K73" s="200"/>
      <c r="L73" s="200"/>
      <c r="M73" s="200"/>
      <c r="N73" s="200"/>
      <c r="O73" s="200"/>
      <c r="P73" s="205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06">
        <f>+B69+1</f>
        <v>12</v>
      </c>
      <c r="C74" s="208">
        <f>+C69+$N$12</f>
        <v>6.45</v>
      </c>
      <c r="D74" s="198">
        <v>0.22600000000000001</v>
      </c>
      <c r="E74" s="198">
        <v>0.34100000000000003</v>
      </c>
      <c r="F74" s="62" t="s">
        <v>69</v>
      </c>
      <c r="G74" s="63">
        <v>0</v>
      </c>
      <c r="H74" s="64"/>
      <c r="I74" s="65"/>
      <c r="J74" s="66">
        <v>0.25800000000000001</v>
      </c>
      <c r="K74" s="198">
        <f>+IF(E74&lt;=0.12,(J76),(IF(E74&lt;0.16,((J75+2*J76+J77)/4),IF(E74&gt;=0.16,((J74+3*J75+2*J76+3*J77+J78)/10)))))</f>
        <v>0.41439999999999999</v>
      </c>
      <c r="L74" s="198">
        <f>ROUND(+(D69+D74)/2*(C74-C69),3)</f>
        <v>0.13100000000000001</v>
      </c>
      <c r="M74" s="198">
        <f>ROUND(+K74*L74,4)</f>
        <v>5.4300000000000001E-2</v>
      </c>
      <c r="N74" s="201">
        <f>ROUND(+M74/$M$128*100,2)</f>
        <v>6.24</v>
      </c>
      <c r="O74" s="202"/>
      <c r="P74" s="20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07"/>
      <c r="C75" s="199"/>
      <c r="D75" s="199"/>
      <c r="E75" s="199"/>
      <c r="F75" s="67" t="s">
        <v>70</v>
      </c>
      <c r="G75" s="68">
        <f>IF(E74&lt;0.125,"NA",IF(0.125&lt;=E74,(0.2*E74)))</f>
        <v>6.8200000000000011E-2</v>
      </c>
      <c r="H75" s="69"/>
      <c r="I75" s="70"/>
      <c r="J75" s="71">
        <v>0.13800000000000001</v>
      </c>
      <c r="K75" s="199"/>
      <c r="L75" s="199"/>
      <c r="M75" s="199"/>
      <c r="N75" s="199"/>
      <c r="O75" s="199"/>
      <c r="P75" s="204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07"/>
      <c r="C76" s="199"/>
      <c r="D76" s="199"/>
      <c r="E76" s="199"/>
      <c r="F76" s="67" t="s">
        <v>71</v>
      </c>
      <c r="G76" s="68">
        <f>+E74*0.4</f>
        <v>0.13640000000000002</v>
      </c>
      <c r="H76" s="69"/>
      <c r="I76" s="70"/>
      <c r="J76" s="71">
        <v>0.46</v>
      </c>
      <c r="K76" s="199"/>
      <c r="L76" s="199"/>
      <c r="M76" s="199"/>
      <c r="N76" s="199"/>
      <c r="O76" s="199"/>
      <c r="P76" s="204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07"/>
      <c r="C77" s="199"/>
      <c r="D77" s="199"/>
      <c r="E77" s="199"/>
      <c r="F77" s="67" t="s">
        <v>72</v>
      </c>
      <c r="G77" s="68">
        <f>IF(E74&lt;0.125,"NA",IF(0.125&lt;=E74,(0.8*E74)))</f>
        <v>0.27280000000000004</v>
      </c>
      <c r="H77" s="69"/>
      <c r="I77" s="70"/>
      <c r="J77" s="71">
        <v>0.65</v>
      </c>
      <c r="K77" s="199"/>
      <c r="L77" s="199"/>
      <c r="M77" s="199"/>
      <c r="N77" s="199"/>
      <c r="O77" s="199"/>
      <c r="P77" s="204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147"/>
      <c r="C78" s="200"/>
      <c r="D78" s="200"/>
      <c r="E78" s="200"/>
      <c r="F78" s="72" t="s">
        <v>73</v>
      </c>
      <c r="G78" s="73">
        <f>+E74</f>
        <v>0.34100000000000003</v>
      </c>
      <c r="H78" s="74"/>
      <c r="I78" s="75"/>
      <c r="J78" s="76">
        <v>0.60199999999999998</v>
      </c>
      <c r="K78" s="200"/>
      <c r="L78" s="200"/>
      <c r="M78" s="200"/>
      <c r="N78" s="200"/>
      <c r="O78" s="200"/>
      <c r="P78" s="205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06">
        <f>+B74+1</f>
        <v>13</v>
      </c>
      <c r="C79" s="208">
        <f>+C74+$N$12</f>
        <v>6.95</v>
      </c>
      <c r="D79" s="198">
        <v>0.20599999999999999</v>
      </c>
      <c r="E79" s="198">
        <v>0.20799999999999999</v>
      </c>
      <c r="F79" s="62" t="s">
        <v>69</v>
      </c>
      <c r="G79" s="63">
        <v>0</v>
      </c>
      <c r="H79" s="64"/>
      <c r="I79" s="65"/>
      <c r="J79" s="66">
        <v>0.51700000000000002</v>
      </c>
      <c r="K79" s="198">
        <f>+IF(E79&lt;=0.12,(J81),(IF(E79&lt;0.16,((J80+2*J81+J82)/4),IF(E79&gt;=0.16,((J79+3*J80+2*J81+3*J82+J83)/10)))))</f>
        <v>0.62640000000000007</v>
      </c>
      <c r="L79" s="198">
        <f>ROUND(+(D74+D79)/2*(C79-C74),3)</f>
        <v>0.108</v>
      </c>
      <c r="M79" s="198">
        <f>ROUND(+K79*L79,4)</f>
        <v>6.7699999999999996E-2</v>
      </c>
      <c r="N79" s="201">
        <f>ROUND(+M79/$M$128*100,2)</f>
        <v>7.78</v>
      </c>
      <c r="O79" s="202"/>
      <c r="P79" s="20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07"/>
      <c r="C80" s="199"/>
      <c r="D80" s="199"/>
      <c r="E80" s="199"/>
      <c r="F80" s="67" t="s">
        <v>70</v>
      </c>
      <c r="G80" s="68">
        <f>IF(E79&lt;0.125,"NA",IF(0.125&lt;=E79,(0.2*E79)))</f>
        <v>4.1599999999999998E-2</v>
      </c>
      <c r="H80" s="69"/>
      <c r="I80" s="70"/>
      <c r="J80" s="71">
        <v>0.61499999999999999</v>
      </c>
      <c r="K80" s="199"/>
      <c r="L80" s="199"/>
      <c r="M80" s="199"/>
      <c r="N80" s="199"/>
      <c r="O80" s="199"/>
      <c r="P80" s="204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07"/>
      <c r="C81" s="199"/>
      <c r="D81" s="199"/>
      <c r="E81" s="199"/>
      <c r="F81" s="67" t="s">
        <v>71</v>
      </c>
      <c r="G81" s="68">
        <f>+E79*0.4</f>
        <v>8.3199999999999996E-2</v>
      </c>
      <c r="H81" s="69"/>
      <c r="I81" s="70"/>
      <c r="J81" s="71">
        <v>0.64800000000000002</v>
      </c>
      <c r="K81" s="199"/>
      <c r="L81" s="199"/>
      <c r="M81" s="199"/>
      <c r="N81" s="199"/>
      <c r="O81" s="199"/>
      <c r="P81" s="204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07"/>
      <c r="C82" s="199"/>
      <c r="D82" s="199"/>
      <c r="E82" s="199"/>
      <c r="F82" s="67" t="s">
        <v>72</v>
      </c>
      <c r="G82" s="68">
        <f>IF(E79&lt;0.125,"NA",IF(0.125&lt;=E79,(0.8*E79)))</f>
        <v>0.16639999999999999</v>
      </c>
      <c r="H82" s="69"/>
      <c r="I82" s="70"/>
      <c r="J82" s="71">
        <v>0.66400000000000003</v>
      </c>
      <c r="K82" s="199"/>
      <c r="L82" s="199"/>
      <c r="M82" s="199"/>
      <c r="N82" s="199"/>
      <c r="O82" s="199"/>
      <c r="P82" s="204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147"/>
      <c r="C83" s="200"/>
      <c r="D83" s="200"/>
      <c r="E83" s="200"/>
      <c r="F83" s="72" t="s">
        <v>73</v>
      </c>
      <c r="G83" s="73">
        <f>+E79</f>
        <v>0.20799999999999999</v>
      </c>
      <c r="H83" s="74"/>
      <c r="I83" s="75"/>
      <c r="J83" s="76">
        <v>0.61399999999999999</v>
      </c>
      <c r="K83" s="200"/>
      <c r="L83" s="200"/>
      <c r="M83" s="200"/>
      <c r="N83" s="200"/>
      <c r="O83" s="200"/>
      <c r="P83" s="205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06">
        <f>+B79+1</f>
        <v>14</v>
      </c>
      <c r="C84" s="208">
        <f>+C79+$N$12</f>
        <v>7.45</v>
      </c>
      <c r="D84" s="198">
        <v>0.28499999999999998</v>
      </c>
      <c r="E84" s="198">
        <v>0.26500000000000001</v>
      </c>
      <c r="F84" s="62" t="s">
        <v>69</v>
      </c>
      <c r="G84" s="63">
        <v>0</v>
      </c>
      <c r="H84" s="64"/>
      <c r="I84" s="65"/>
      <c r="J84" s="66">
        <v>1.4999999999999999E-2</v>
      </c>
      <c r="K84" s="198">
        <f>+IF(E84&lt;=0.12,(J86),(IF(E84&lt;0.16,((J85+2*J86+J87)/4),IF(E84&gt;=0.16,((J84+3*J85+2*J86+3*J87+J88)/10)))))</f>
        <v>0.37830000000000003</v>
      </c>
      <c r="L84" s="198">
        <f>ROUND(+(D79+D84)/2*(C84-C79),3)</f>
        <v>0.123</v>
      </c>
      <c r="M84" s="198">
        <f>ROUND(+K84*L84,4)</f>
        <v>4.65E-2</v>
      </c>
      <c r="N84" s="201">
        <f>ROUND(+M84/$M$128*100,2)</f>
        <v>5.35</v>
      </c>
      <c r="O84" s="202"/>
      <c r="P84" s="20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07"/>
      <c r="C85" s="199"/>
      <c r="D85" s="199"/>
      <c r="E85" s="199"/>
      <c r="F85" s="67" t="s">
        <v>70</v>
      </c>
      <c r="G85" s="68">
        <f>IF(E84&lt;0.125,"NA",IF(0.125&lt;=E84,(0.2*E84)))</f>
        <v>5.3000000000000005E-2</v>
      </c>
      <c r="H85" s="69"/>
      <c r="I85" s="70"/>
      <c r="J85" s="71">
        <v>0.20599999999999999</v>
      </c>
      <c r="K85" s="199"/>
      <c r="L85" s="199"/>
      <c r="M85" s="199"/>
      <c r="N85" s="199"/>
      <c r="O85" s="199"/>
      <c r="P85" s="204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07"/>
      <c r="C86" s="199"/>
      <c r="D86" s="199"/>
      <c r="E86" s="199"/>
      <c r="F86" s="67" t="s">
        <v>71</v>
      </c>
      <c r="G86" s="68">
        <f>+E84*0.4</f>
        <v>0.10600000000000001</v>
      </c>
      <c r="H86" s="69"/>
      <c r="I86" s="70"/>
      <c r="J86" s="71">
        <v>0.51</v>
      </c>
      <c r="K86" s="199"/>
      <c r="L86" s="199"/>
      <c r="M86" s="199"/>
      <c r="N86" s="199"/>
      <c r="O86" s="199"/>
      <c r="P86" s="204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07"/>
      <c r="C87" s="199"/>
      <c r="D87" s="199"/>
      <c r="E87" s="199"/>
      <c r="F87" s="67" t="s">
        <v>72</v>
      </c>
      <c r="G87" s="68">
        <f>IF(E84&lt;0.125,"NA",IF(0.125&lt;=E84,(0.8*E84)))</f>
        <v>0.21200000000000002</v>
      </c>
      <c r="H87" s="69"/>
      <c r="I87" s="70"/>
      <c r="J87" s="71">
        <v>0.53300000000000003</v>
      </c>
      <c r="K87" s="199"/>
      <c r="L87" s="199"/>
      <c r="M87" s="199"/>
      <c r="N87" s="199"/>
      <c r="O87" s="199"/>
      <c r="P87" s="204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147"/>
      <c r="C88" s="200"/>
      <c r="D88" s="200"/>
      <c r="E88" s="200"/>
      <c r="F88" s="72" t="s">
        <v>73</v>
      </c>
      <c r="G88" s="73">
        <f>+E84</f>
        <v>0.26500000000000001</v>
      </c>
      <c r="H88" s="74"/>
      <c r="I88" s="75"/>
      <c r="J88" s="76">
        <v>0.53100000000000003</v>
      </c>
      <c r="K88" s="200"/>
      <c r="L88" s="200"/>
      <c r="M88" s="200"/>
      <c r="N88" s="200"/>
      <c r="O88" s="200"/>
      <c r="P88" s="205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06">
        <f>+B84+1</f>
        <v>15</v>
      </c>
      <c r="C89" s="208">
        <f>+C84+$N$12</f>
        <v>7.95</v>
      </c>
      <c r="D89" s="198">
        <v>0.19600000000000001</v>
      </c>
      <c r="E89" s="198">
        <v>0.22800000000000001</v>
      </c>
      <c r="F89" s="62" t="s">
        <v>69</v>
      </c>
      <c r="G89" s="63">
        <v>0</v>
      </c>
      <c r="H89" s="64"/>
      <c r="I89" s="65"/>
      <c r="J89" s="66">
        <v>0.247</v>
      </c>
      <c r="K89" s="198">
        <f>+IF(E89&lt;=0.12,(J91),(IF(E89&lt;0.16,((J90+2*J91+J92)/4),IF(E89&gt;=0.16,((J89+3*J90+2*J91+3*J92+J93)/10)))))</f>
        <v>0.41710000000000003</v>
      </c>
      <c r="L89" s="198">
        <f>ROUND(+(D84+D89)/2*(C89-C84),3)</f>
        <v>0.12</v>
      </c>
      <c r="M89" s="198">
        <f>ROUND(+K89*L89,4)</f>
        <v>5.0099999999999999E-2</v>
      </c>
      <c r="N89" s="201">
        <f>ROUND(+M89/$M$128*100,2)</f>
        <v>5.76</v>
      </c>
      <c r="O89" s="202"/>
      <c r="P89" s="20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07"/>
      <c r="C90" s="199"/>
      <c r="D90" s="199"/>
      <c r="E90" s="199"/>
      <c r="F90" s="67" t="s">
        <v>70</v>
      </c>
      <c r="G90" s="68">
        <f>IF(E89&lt;0.125,"NA",IF(0.125&lt;=E89,(0.2*E89)))</f>
        <v>4.5600000000000002E-2</v>
      </c>
      <c r="H90" s="69"/>
      <c r="I90" s="70"/>
      <c r="J90" s="71">
        <v>0.34</v>
      </c>
      <c r="K90" s="199"/>
      <c r="L90" s="199"/>
      <c r="M90" s="199"/>
      <c r="N90" s="199"/>
      <c r="O90" s="199"/>
      <c r="P90" s="204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07"/>
      <c r="C91" s="199"/>
      <c r="D91" s="199"/>
      <c r="E91" s="199"/>
      <c r="F91" s="67" t="s">
        <v>71</v>
      </c>
      <c r="G91" s="68">
        <f>+E89*0.4</f>
        <v>9.1200000000000003E-2</v>
      </c>
      <c r="H91" s="69"/>
      <c r="I91" s="70"/>
      <c r="J91" s="71">
        <v>0.372</v>
      </c>
      <c r="K91" s="199"/>
      <c r="L91" s="199"/>
      <c r="M91" s="199"/>
      <c r="N91" s="199"/>
      <c r="O91" s="199"/>
      <c r="P91" s="204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07"/>
      <c r="C92" s="199"/>
      <c r="D92" s="199"/>
      <c r="E92" s="199"/>
      <c r="F92" s="67" t="s">
        <v>72</v>
      </c>
      <c r="G92" s="68">
        <f>IF(E89&lt;0.125,"NA",IF(0.125&lt;=E89,(0.8*E89)))</f>
        <v>0.18240000000000001</v>
      </c>
      <c r="H92" s="69"/>
      <c r="I92" s="70"/>
      <c r="J92" s="71">
        <v>0.54500000000000004</v>
      </c>
      <c r="K92" s="199"/>
      <c r="L92" s="199"/>
      <c r="M92" s="199"/>
      <c r="N92" s="199"/>
      <c r="O92" s="199"/>
      <c r="P92" s="204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147"/>
      <c r="C93" s="200"/>
      <c r="D93" s="200"/>
      <c r="E93" s="200"/>
      <c r="F93" s="72" t="s">
        <v>73</v>
      </c>
      <c r="G93" s="73">
        <f>+E89</f>
        <v>0.22800000000000001</v>
      </c>
      <c r="H93" s="74"/>
      <c r="I93" s="75"/>
      <c r="J93" s="76">
        <v>0.52500000000000002</v>
      </c>
      <c r="K93" s="200"/>
      <c r="L93" s="200"/>
      <c r="M93" s="200"/>
      <c r="N93" s="200"/>
      <c r="O93" s="200"/>
      <c r="P93" s="205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61" customFormat="1" ht="13.5" customHeight="1" x14ac:dyDescent="0.25">
      <c r="A94" s="53"/>
      <c r="B94" s="206">
        <f>+B89+1</f>
        <v>16</v>
      </c>
      <c r="C94" s="208">
        <f>+C89+$N$12</f>
        <v>8.4499999999999993</v>
      </c>
      <c r="D94" s="198">
        <v>0.112</v>
      </c>
      <c r="E94" s="198">
        <v>0.182</v>
      </c>
      <c r="F94" s="62" t="s">
        <v>69</v>
      </c>
      <c r="G94" s="63">
        <v>0</v>
      </c>
      <c r="H94" s="64"/>
      <c r="I94" s="65"/>
      <c r="J94" s="66">
        <v>0.159</v>
      </c>
      <c r="K94" s="198">
        <f>+IF(E94&lt;=0.12,(J96),(IF(E94&lt;0.16,((J95+2*J96+J97)/4),IF(E94&gt;=0.16,((J94+3*J95+2*J96+3*J97+J98)/10)))))</f>
        <v>0.20610000000000001</v>
      </c>
      <c r="L94" s="198">
        <f>ROUND(+(D89+D94)/2*(C94-C89),3)</f>
        <v>7.6999999999999999E-2</v>
      </c>
      <c r="M94" s="198">
        <f>ROUND(+K94*L94,4)</f>
        <v>1.5900000000000001E-2</v>
      </c>
      <c r="N94" s="201">
        <f>ROUND(+M94/$M$128*100,2)</f>
        <v>1.83</v>
      </c>
      <c r="O94" s="202"/>
      <c r="P94" s="20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s="61" customFormat="1" ht="13.5" customHeight="1" x14ac:dyDescent="0.25">
      <c r="A95" s="53"/>
      <c r="B95" s="207"/>
      <c r="C95" s="199"/>
      <c r="D95" s="199"/>
      <c r="E95" s="199"/>
      <c r="F95" s="67" t="s">
        <v>70</v>
      </c>
      <c r="G95" s="68">
        <f>IF(E94&lt;0.125,"NA",IF(0.125&lt;=E94,(0.2*E94)))</f>
        <v>3.6400000000000002E-2</v>
      </c>
      <c r="H95" s="69"/>
      <c r="I95" s="70"/>
      <c r="J95" s="71">
        <v>0.183</v>
      </c>
      <c r="K95" s="199"/>
      <c r="L95" s="199"/>
      <c r="M95" s="199"/>
      <c r="N95" s="199"/>
      <c r="O95" s="199"/>
      <c r="P95" s="204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s="61" customFormat="1" ht="13.5" customHeight="1" x14ac:dyDescent="0.25">
      <c r="A96" s="53"/>
      <c r="B96" s="207"/>
      <c r="C96" s="199"/>
      <c r="D96" s="199"/>
      <c r="E96" s="199"/>
      <c r="F96" s="67" t="s">
        <v>71</v>
      </c>
      <c r="G96" s="68">
        <f>+E94*0.4</f>
        <v>7.2800000000000004E-2</v>
      </c>
      <c r="H96" s="69"/>
      <c r="I96" s="70"/>
      <c r="J96" s="71">
        <v>0.219</v>
      </c>
      <c r="K96" s="199"/>
      <c r="L96" s="199"/>
      <c r="M96" s="199"/>
      <c r="N96" s="199"/>
      <c r="O96" s="199"/>
      <c r="P96" s="204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s="61" customFormat="1" ht="13.5" customHeight="1" x14ac:dyDescent="0.25">
      <c r="A97" s="53"/>
      <c r="B97" s="207"/>
      <c r="C97" s="199"/>
      <c r="D97" s="199"/>
      <c r="E97" s="199"/>
      <c r="F97" s="67" t="s">
        <v>72</v>
      </c>
      <c r="G97" s="68">
        <f>IF(E94&lt;0.125,"NA",IF(0.125&lt;=E94,(0.8*E94)))</f>
        <v>0.14560000000000001</v>
      </c>
      <c r="H97" s="69"/>
      <c r="I97" s="70"/>
      <c r="J97" s="71">
        <v>0.23599999999999999</v>
      </c>
      <c r="K97" s="199"/>
      <c r="L97" s="199"/>
      <c r="M97" s="199"/>
      <c r="N97" s="199"/>
      <c r="O97" s="199"/>
      <c r="P97" s="204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s="61" customFormat="1" ht="13.5" customHeight="1" thickBot="1" x14ac:dyDescent="0.3">
      <c r="A98" s="53"/>
      <c r="B98" s="147"/>
      <c r="C98" s="200"/>
      <c r="D98" s="200"/>
      <c r="E98" s="200"/>
      <c r="F98" s="72" t="s">
        <v>73</v>
      </c>
      <c r="G98" s="73">
        <f>+E94</f>
        <v>0.182</v>
      </c>
      <c r="H98" s="74"/>
      <c r="I98" s="75"/>
      <c r="J98" s="76">
        <v>0.20699999999999999</v>
      </c>
      <c r="K98" s="200"/>
      <c r="L98" s="200"/>
      <c r="M98" s="200"/>
      <c r="N98" s="200"/>
      <c r="O98" s="200"/>
      <c r="P98" s="205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s="61" customFormat="1" ht="13.5" customHeight="1" x14ac:dyDescent="0.25">
      <c r="A99" s="53"/>
      <c r="B99" s="206">
        <f>+B94+1</f>
        <v>17</v>
      </c>
      <c r="C99" s="208">
        <f>+C94+$N$12</f>
        <v>8.9499999999999993</v>
      </c>
      <c r="D99" s="198">
        <v>9.6000000000000002E-2</v>
      </c>
      <c r="E99" s="198">
        <v>0.123</v>
      </c>
      <c r="F99" s="62" t="s">
        <v>69</v>
      </c>
      <c r="G99" s="63">
        <v>0</v>
      </c>
      <c r="H99" s="64"/>
      <c r="I99" s="65"/>
      <c r="J99" s="66">
        <v>5.8000000000000003E-2</v>
      </c>
      <c r="K99" s="198">
        <f>+IF(E99&lt;=0.12,(J101),(IF(E99&lt;0.16,((J100+2*J101+J102)/4),IF(E99&gt;=0.16,((J99+3*J100+2*J101+3*J102+J103)/10)))))</f>
        <v>8.3500000000000005E-2</v>
      </c>
      <c r="L99" s="198">
        <f>ROUND(+(D94+D99)/2*(C99-C94),3)</f>
        <v>5.1999999999999998E-2</v>
      </c>
      <c r="M99" s="198">
        <f>ROUND(+K99*L99,4)</f>
        <v>4.3E-3</v>
      </c>
      <c r="N99" s="201">
        <f>ROUND(+M99/$M$128*100,2)</f>
        <v>0.49</v>
      </c>
      <c r="O99" s="202"/>
      <c r="P99" s="20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s="61" customFormat="1" ht="13.5" customHeight="1" x14ac:dyDescent="0.25">
      <c r="A100" s="53"/>
      <c r="B100" s="207"/>
      <c r="C100" s="199"/>
      <c r="D100" s="199"/>
      <c r="E100" s="199"/>
      <c r="F100" s="67" t="s">
        <v>70</v>
      </c>
      <c r="G100" s="68" t="str">
        <f>IF(E99&lt;0.125,"NA",IF(0.125&lt;=E99,(0.2*E99)))</f>
        <v>NA</v>
      </c>
      <c r="H100" s="69"/>
      <c r="I100" s="70"/>
      <c r="J100" s="71"/>
      <c r="K100" s="199"/>
      <c r="L100" s="199"/>
      <c r="M100" s="199"/>
      <c r="N100" s="199"/>
      <c r="O100" s="199"/>
      <c r="P100" s="204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s="61" customFormat="1" ht="13.5" customHeight="1" x14ac:dyDescent="0.25">
      <c r="A101" s="53"/>
      <c r="B101" s="207"/>
      <c r="C101" s="199"/>
      <c r="D101" s="199"/>
      <c r="E101" s="199"/>
      <c r="F101" s="67" t="s">
        <v>71</v>
      </c>
      <c r="G101" s="68">
        <f>+E99*0.4</f>
        <v>4.9200000000000001E-2</v>
      </c>
      <c r="H101" s="69"/>
      <c r="I101" s="70"/>
      <c r="J101" s="71">
        <v>0.16700000000000001</v>
      </c>
      <c r="K101" s="199"/>
      <c r="L101" s="199"/>
      <c r="M101" s="199"/>
      <c r="N101" s="199"/>
      <c r="O101" s="199"/>
      <c r="P101" s="204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s="61" customFormat="1" ht="13.5" customHeight="1" x14ac:dyDescent="0.25">
      <c r="A102" s="53"/>
      <c r="B102" s="207"/>
      <c r="C102" s="199"/>
      <c r="D102" s="199"/>
      <c r="E102" s="199"/>
      <c r="F102" s="67" t="s">
        <v>72</v>
      </c>
      <c r="G102" s="68" t="str">
        <f>IF(E99&lt;0.125,"NA",IF(0.125&lt;=E99,(0.8*E99)))</f>
        <v>NA</v>
      </c>
      <c r="H102" s="69"/>
      <c r="I102" s="70"/>
      <c r="J102" s="71"/>
      <c r="K102" s="199"/>
      <c r="L102" s="199"/>
      <c r="M102" s="199"/>
      <c r="N102" s="199"/>
      <c r="O102" s="199"/>
      <c r="P102" s="204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s="61" customFormat="1" ht="13.5" customHeight="1" thickBot="1" x14ac:dyDescent="0.3">
      <c r="A103" s="53"/>
      <c r="B103" s="147"/>
      <c r="C103" s="200"/>
      <c r="D103" s="200"/>
      <c r="E103" s="200"/>
      <c r="F103" s="72" t="s">
        <v>73</v>
      </c>
      <c r="G103" s="73">
        <f>+E99</f>
        <v>0.123</v>
      </c>
      <c r="H103" s="74"/>
      <c r="I103" s="75"/>
      <c r="J103" s="76">
        <v>0.17699999999999999</v>
      </c>
      <c r="K103" s="200"/>
      <c r="L103" s="200"/>
      <c r="M103" s="200"/>
      <c r="N103" s="200"/>
      <c r="O103" s="200"/>
      <c r="P103" s="205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s="61" customFormat="1" ht="13.5" customHeight="1" x14ac:dyDescent="0.25">
      <c r="A104" s="53"/>
      <c r="B104" s="206">
        <f>+B99+1</f>
        <v>18</v>
      </c>
      <c r="C104" s="208">
        <f>+C99+0.55</f>
        <v>9.5</v>
      </c>
      <c r="D104" s="198">
        <v>4.2000000000000003E-2</v>
      </c>
      <c r="E104" s="198">
        <v>0.112</v>
      </c>
      <c r="F104" s="62" t="s">
        <v>69</v>
      </c>
      <c r="G104" s="63">
        <v>0</v>
      </c>
      <c r="H104" s="64"/>
      <c r="I104" s="65"/>
      <c r="J104" s="66">
        <v>4.8000000000000001E-2</v>
      </c>
      <c r="K104" s="198">
        <f>+IF(E104&lt;=0.12,(J106),(IF(E104&lt;0.16,((J105+2*J106+J107)/4),IF(E104&gt;=0.16,((J104+3*J105+2*J106+3*J107+J108)/10)))))</f>
        <v>7.9000000000000001E-2</v>
      </c>
      <c r="L104" s="198">
        <f>ROUND(+(D99+D104)/2*(C104-C99),3)</f>
        <v>3.7999999999999999E-2</v>
      </c>
      <c r="M104" s="198">
        <f>ROUND(+K104*L104,4)</f>
        <v>3.0000000000000001E-3</v>
      </c>
      <c r="N104" s="201">
        <f>ROUND(+M104/$M$128*100,2)</f>
        <v>0.34</v>
      </c>
      <c r="O104" s="202"/>
      <c r="P104" s="20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s="61" customFormat="1" ht="13.5" customHeight="1" x14ac:dyDescent="0.25">
      <c r="A105" s="53"/>
      <c r="B105" s="207"/>
      <c r="C105" s="199"/>
      <c r="D105" s="199"/>
      <c r="E105" s="199"/>
      <c r="F105" s="67" t="s">
        <v>70</v>
      </c>
      <c r="G105" s="68" t="str">
        <f>IF(E104&lt;0.125,"NA",IF(0.125&lt;=E104,(0.2*E104)))</f>
        <v>NA</v>
      </c>
      <c r="H105" s="69"/>
      <c r="I105" s="70"/>
      <c r="J105" s="71"/>
      <c r="K105" s="199"/>
      <c r="L105" s="199"/>
      <c r="M105" s="199"/>
      <c r="N105" s="199"/>
      <c r="O105" s="199"/>
      <c r="P105" s="204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s="61" customFormat="1" ht="13.5" customHeight="1" x14ac:dyDescent="0.25">
      <c r="A106" s="53"/>
      <c r="B106" s="207"/>
      <c r="C106" s="199"/>
      <c r="D106" s="199"/>
      <c r="E106" s="199"/>
      <c r="F106" s="67" t="s">
        <v>71</v>
      </c>
      <c r="G106" s="68">
        <f>+E104*0.4</f>
        <v>4.4800000000000006E-2</v>
      </c>
      <c r="H106" s="69"/>
      <c r="I106" s="70"/>
      <c r="J106" s="71">
        <v>7.9000000000000001E-2</v>
      </c>
      <c r="K106" s="199"/>
      <c r="L106" s="199"/>
      <c r="M106" s="199"/>
      <c r="N106" s="199"/>
      <c r="O106" s="199"/>
      <c r="P106" s="204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s="61" customFormat="1" ht="13.5" customHeight="1" x14ac:dyDescent="0.25">
      <c r="A107" s="53"/>
      <c r="B107" s="207"/>
      <c r="C107" s="199"/>
      <c r="D107" s="199"/>
      <c r="E107" s="199"/>
      <c r="F107" s="67" t="s">
        <v>72</v>
      </c>
      <c r="G107" s="68" t="str">
        <f>IF(E104&lt;0.125,"NA",IF(0.125&lt;=E104,(0.8*E104)))</f>
        <v>NA</v>
      </c>
      <c r="H107" s="69"/>
      <c r="I107" s="70"/>
      <c r="J107" s="71"/>
      <c r="K107" s="199"/>
      <c r="L107" s="199"/>
      <c r="M107" s="199"/>
      <c r="N107" s="199"/>
      <c r="O107" s="199"/>
      <c r="P107" s="204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s="61" customFormat="1" ht="13.5" customHeight="1" thickBot="1" x14ac:dyDescent="0.3">
      <c r="A108" s="53"/>
      <c r="B108" s="147"/>
      <c r="C108" s="200"/>
      <c r="D108" s="200"/>
      <c r="E108" s="200"/>
      <c r="F108" s="72" t="s">
        <v>73</v>
      </c>
      <c r="G108" s="73">
        <f>+E104</f>
        <v>0.112</v>
      </c>
      <c r="H108" s="74"/>
      <c r="I108" s="75"/>
      <c r="J108" s="76">
        <v>9.4E-2</v>
      </c>
      <c r="K108" s="200"/>
      <c r="L108" s="200"/>
      <c r="M108" s="200"/>
      <c r="N108" s="200"/>
      <c r="O108" s="200"/>
      <c r="P108" s="205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s="3" customFormat="1" ht="14.1" customHeight="1" x14ac:dyDescent="0.2">
      <c r="B109" s="209" t="s">
        <v>29</v>
      </c>
      <c r="C109" s="212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4"/>
    </row>
    <row r="110" spans="1:26" s="3" customFormat="1" ht="14.1" customHeight="1" x14ac:dyDescent="0.2">
      <c r="B110" s="210"/>
      <c r="C110" s="215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7"/>
    </row>
    <row r="111" spans="1:26" s="3" customFormat="1" ht="14.1" customHeight="1" x14ac:dyDescent="0.2">
      <c r="B111" s="210"/>
      <c r="C111" s="215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7"/>
    </row>
    <row r="112" spans="1:26" s="3" customFormat="1" ht="14.1" customHeight="1" x14ac:dyDescent="0.2">
      <c r="B112" s="210"/>
      <c r="C112" s="215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7"/>
    </row>
    <row r="113" spans="1:26" s="3" customFormat="1" ht="14.1" customHeight="1" x14ac:dyDescent="0.2">
      <c r="B113" s="210"/>
      <c r="C113" s="215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7"/>
    </row>
    <row r="114" spans="1:26" s="3" customFormat="1" ht="14.1" customHeight="1" thickBot="1" x14ac:dyDescent="0.25">
      <c r="B114" s="211"/>
      <c r="C114" s="218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20"/>
    </row>
    <row r="115" spans="1:26" s="3" customFormat="1" ht="28.5" customHeight="1" thickBot="1" x14ac:dyDescent="0.25">
      <c r="A115" s="77"/>
      <c r="B115" s="78" t="s">
        <v>74</v>
      </c>
      <c r="C115" s="221" t="s">
        <v>103</v>
      </c>
      <c r="D115" s="221"/>
      <c r="E115" s="221"/>
      <c r="F115" s="221"/>
      <c r="G115" s="221"/>
      <c r="H115" s="222"/>
      <c r="I115" s="223"/>
      <c r="J115" s="78" t="s">
        <v>75</v>
      </c>
      <c r="K115" s="221" t="s">
        <v>76</v>
      </c>
      <c r="L115" s="221"/>
      <c r="M115" s="221"/>
      <c r="N115" s="221"/>
      <c r="O115" s="221"/>
      <c r="P115" s="222"/>
    </row>
    <row r="116" spans="1:26" s="3" customFormat="1" ht="28.5" customHeight="1" thickBot="1" x14ac:dyDescent="0.25">
      <c r="B116" s="79" t="s">
        <v>77</v>
      </c>
      <c r="C116" s="225" t="s">
        <v>78</v>
      </c>
      <c r="D116" s="225"/>
      <c r="E116" s="225"/>
      <c r="F116" s="225"/>
      <c r="G116" s="225"/>
      <c r="H116" s="226"/>
      <c r="I116" s="224"/>
      <c r="J116" s="79" t="s">
        <v>79</v>
      </c>
      <c r="K116" s="225" t="s">
        <v>80</v>
      </c>
      <c r="L116" s="225"/>
      <c r="M116" s="225"/>
      <c r="N116" s="225"/>
      <c r="O116" s="225"/>
      <c r="P116" s="226"/>
    </row>
    <row r="117" spans="1:26" s="19" customFormat="1" ht="13.5" customHeight="1" x14ac:dyDescent="0.25">
      <c r="A117" s="80"/>
      <c r="B117" s="227">
        <f>+B69</f>
        <v>11</v>
      </c>
      <c r="C117" s="230">
        <f>+C64</f>
        <v>5.45</v>
      </c>
      <c r="D117" s="233">
        <f>+D64</f>
        <v>0.33200000000000002</v>
      </c>
      <c r="E117" s="233">
        <f>+E69</f>
        <v>0.35399999999999998</v>
      </c>
      <c r="F117" s="81" t="s">
        <v>69</v>
      </c>
      <c r="G117" s="81">
        <v>0.01</v>
      </c>
      <c r="H117" s="82"/>
      <c r="I117" s="83"/>
      <c r="J117" s="84">
        <v>0.22900000000000001</v>
      </c>
      <c r="K117" s="235">
        <f>+AVERAGE(J117:J127)</f>
        <v>0.46427272727272723</v>
      </c>
      <c r="L117" s="248">
        <f>ROUND(+(D117+D122)/2*(C122-C117),3)</f>
        <v>0.158</v>
      </c>
      <c r="M117" s="249">
        <f>ROUND(+K117*L117,4)</f>
        <v>7.3400000000000007E-2</v>
      </c>
      <c r="N117" s="248">
        <f>ROUND(+M117/$M$128*100,2)</f>
        <v>8.44</v>
      </c>
      <c r="O117" s="248"/>
      <c r="P117" s="250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s="19" customFormat="1" ht="13.5" customHeight="1" x14ac:dyDescent="0.25">
      <c r="A118" s="80"/>
      <c r="B118" s="228"/>
      <c r="C118" s="231"/>
      <c r="D118" s="231"/>
      <c r="E118" s="231"/>
      <c r="F118" s="86" t="s">
        <v>81</v>
      </c>
      <c r="G118" s="87">
        <f>+E117*0.1</f>
        <v>3.5400000000000001E-2</v>
      </c>
      <c r="H118" s="88"/>
      <c r="I118" s="89"/>
      <c r="J118" s="90">
        <v>0.126</v>
      </c>
      <c r="K118" s="231"/>
      <c r="L118" s="231"/>
      <c r="M118" s="231"/>
      <c r="N118" s="231"/>
      <c r="O118" s="231"/>
      <c r="P118" s="251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s="19" customFormat="1" ht="13.5" customHeight="1" x14ac:dyDescent="0.25">
      <c r="A119" s="80"/>
      <c r="B119" s="228"/>
      <c r="C119" s="231"/>
      <c r="D119" s="231"/>
      <c r="E119" s="231"/>
      <c r="F119" s="86" t="s">
        <v>82</v>
      </c>
      <c r="G119" s="87">
        <f>+E117*0.2</f>
        <v>7.0800000000000002E-2</v>
      </c>
      <c r="H119" s="88"/>
      <c r="I119" s="89"/>
      <c r="J119" s="90">
        <v>0.39</v>
      </c>
      <c r="K119" s="231"/>
      <c r="L119" s="231"/>
      <c r="M119" s="231"/>
      <c r="N119" s="231"/>
      <c r="O119" s="231"/>
      <c r="P119" s="251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s="19" customFormat="1" ht="13.5" customHeight="1" x14ac:dyDescent="0.25">
      <c r="A120" s="80"/>
      <c r="B120" s="228"/>
      <c r="C120" s="231"/>
      <c r="D120" s="231"/>
      <c r="E120" s="231"/>
      <c r="F120" s="86" t="s">
        <v>83</v>
      </c>
      <c r="G120" s="87">
        <f>+E117*0.3</f>
        <v>0.10619999999999999</v>
      </c>
      <c r="H120" s="88"/>
      <c r="I120" s="89"/>
      <c r="J120" s="90">
        <v>0.498</v>
      </c>
      <c r="K120" s="231"/>
      <c r="L120" s="231"/>
      <c r="M120" s="231"/>
      <c r="N120" s="231"/>
      <c r="O120" s="231"/>
      <c r="P120" s="251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s="19" customFormat="1" ht="13.5" customHeight="1" x14ac:dyDescent="0.25">
      <c r="A121" s="80"/>
      <c r="B121" s="228"/>
      <c r="C121" s="232"/>
      <c r="D121" s="232"/>
      <c r="E121" s="231"/>
      <c r="F121" s="86" t="s">
        <v>84</v>
      </c>
      <c r="G121" s="87">
        <f>+E117*0.4</f>
        <v>0.1416</v>
      </c>
      <c r="H121" s="88"/>
      <c r="I121" s="89"/>
      <c r="J121" s="90">
        <v>0.46700000000000003</v>
      </c>
      <c r="K121" s="231"/>
      <c r="L121" s="231"/>
      <c r="M121" s="231"/>
      <c r="N121" s="231"/>
      <c r="O121" s="231"/>
      <c r="P121" s="251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s="19" customFormat="1" ht="13.5" customHeight="1" x14ac:dyDescent="0.25">
      <c r="A122" s="80"/>
      <c r="B122" s="228"/>
      <c r="C122" s="253">
        <f>+C69</f>
        <v>5.95</v>
      </c>
      <c r="D122" s="254">
        <f>+D69</f>
        <v>0.29899999999999999</v>
      </c>
      <c r="E122" s="231"/>
      <c r="F122" s="86" t="s">
        <v>30</v>
      </c>
      <c r="G122" s="87">
        <f>+E117*0.5</f>
        <v>0.17699999999999999</v>
      </c>
      <c r="H122" s="88"/>
      <c r="I122" s="89"/>
      <c r="J122" s="90">
        <v>0.51</v>
      </c>
      <c r="K122" s="231"/>
      <c r="L122" s="231"/>
      <c r="M122" s="231"/>
      <c r="N122" s="231"/>
      <c r="O122" s="231"/>
      <c r="P122" s="251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s="19" customFormat="1" ht="13.5" customHeight="1" x14ac:dyDescent="0.25">
      <c r="A123" s="80"/>
      <c r="B123" s="228"/>
      <c r="C123" s="231"/>
      <c r="D123" s="231"/>
      <c r="E123" s="231"/>
      <c r="F123" s="86" t="s">
        <v>85</v>
      </c>
      <c r="G123" s="87">
        <f>+E117*0.6</f>
        <v>0.21239999999999998</v>
      </c>
      <c r="H123" s="88"/>
      <c r="I123" s="89"/>
      <c r="J123" s="90">
        <v>0.49299999999999999</v>
      </c>
      <c r="K123" s="231"/>
      <c r="L123" s="231"/>
      <c r="M123" s="231"/>
      <c r="N123" s="231"/>
      <c r="O123" s="231"/>
      <c r="P123" s="251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s="19" customFormat="1" ht="13.5" customHeight="1" x14ac:dyDescent="0.25">
      <c r="A124" s="80"/>
      <c r="B124" s="228"/>
      <c r="C124" s="231"/>
      <c r="D124" s="231"/>
      <c r="E124" s="231"/>
      <c r="F124" s="86" t="s">
        <v>86</v>
      </c>
      <c r="G124" s="87">
        <f>+E117*0.7</f>
        <v>0.24779999999999996</v>
      </c>
      <c r="H124" s="88"/>
      <c r="I124" s="89"/>
      <c r="J124" s="90">
        <v>0.621</v>
      </c>
      <c r="K124" s="231"/>
      <c r="L124" s="231"/>
      <c r="M124" s="231"/>
      <c r="N124" s="231"/>
      <c r="O124" s="231"/>
      <c r="P124" s="251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s="19" customFormat="1" ht="13.5" customHeight="1" x14ac:dyDescent="0.25">
      <c r="A125" s="80"/>
      <c r="B125" s="228"/>
      <c r="C125" s="231"/>
      <c r="D125" s="231"/>
      <c r="E125" s="231"/>
      <c r="F125" s="86" t="s">
        <v>87</v>
      </c>
      <c r="G125" s="87">
        <f>+E117*0.8</f>
        <v>0.28320000000000001</v>
      </c>
      <c r="H125" s="88"/>
      <c r="I125" s="89"/>
      <c r="J125" s="90">
        <v>0.55800000000000005</v>
      </c>
      <c r="K125" s="231"/>
      <c r="L125" s="231"/>
      <c r="M125" s="231"/>
      <c r="N125" s="231"/>
      <c r="O125" s="231"/>
      <c r="P125" s="251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s="19" customFormat="1" ht="13.5" customHeight="1" x14ac:dyDescent="0.25">
      <c r="A126" s="80"/>
      <c r="B126" s="228"/>
      <c r="C126" s="231"/>
      <c r="D126" s="231"/>
      <c r="E126" s="231"/>
      <c r="F126" s="86" t="s">
        <v>88</v>
      </c>
      <c r="G126" s="87">
        <f>+E117*0.9</f>
        <v>0.31859999999999999</v>
      </c>
      <c r="H126" s="88"/>
      <c r="I126" s="89"/>
      <c r="J126" s="90">
        <v>0.69699999999999995</v>
      </c>
      <c r="K126" s="231"/>
      <c r="L126" s="231"/>
      <c r="M126" s="231"/>
      <c r="N126" s="231"/>
      <c r="O126" s="231"/>
      <c r="P126" s="251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s="19" customFormat="1" ht="15.75" thickBot="1" x14ac:dyDescent="0.3">
      <c r="A127" s="80"/>
      <c r="B127" s="229"/>
      <c r="C127" s="234"/>
      <c r="D127" s="234"/>
      <c r="E127" s="234"/>
      <c r="F127" s="91" t="s">
        <v>31</v>
      </c>
      <c r="G127" s="91">
        <f>+E117</f>
        <v>0.35399999999999998</v>
      </c>
      <c r="H127" s="92"/>
      <c r="I127" s="93"/>
      <c r="J127" s="94">
        <v>0.51800000000000002</v>
      </c>
      <c r="K127" s="234"/>
      <c r="L127" s="234"/>
      <c r="M127" s="234"/>
      <c r="N127" s="234"/>
      <c r="O127" s="234"/>
      <c r="P127" s="252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s="3" customFormat="1" ht="12.75" x14ac:dyDescent="0.2">
      <c r="A128" s="11"/>
      <c r="B128" s="236" t="s">
        <v>32</v>
      </c>
      <c r="C128" s="236"/>
      <c r="D128" s="236"/>
      <c r="E128" s="236"/>
      <c r="F128" s="236"/>
      <c r="G128" s="236"/>
      <c r="H128" s="236"/>
      <c r="I128" s="236"/>
      <c r="J128" s="236"/>
      <c r="K128" s="12">
        <f>ROUND(+M128/L128,3)</f>
        <v>0.44600000000000001</v>
      </c>
      <c r="L128" s="16">
        <f>SUM(L19:L127)</f>
        <v>1.9490000000000001</v>
      </c>
      <c r="M128" s="15">
        <f>SUM(M19:M127)</f>
        <v>0.86990000000000001</v>
      </c>
      <c r="N128" s="13">
        <f>ROUND(SUM(N19:N127),0)</f>
        <v>100</v>
      </c>
      <c r="O128" s="238" t="s">
        <v>33</v>
      </c>
      <c r="P128" s="240"/>
    </row>
    <row r="129" spans="1:16" s="3" customFormat="1" ht="15" customHeight="1" thickBot="1" x14ac:dyDescent="0.25">
      <c r="A129" s="11"/>
      <c r="B129" s="237"/>
      <c r="C129" s="237"/>
      <c r="D129" s="237"/>
      <c r="E129" s="237"/>
      <c r="F129" s="237"/>
      <c r="G129" s="237"/>
      <c r="H129" s="237"/>
      <c r="I129" s="237"/>
      <c r="J129" s="237"/>
      <c r="K129" s="14" t="s">
        <v>34</v>
      </c>
      <c r="L129" s="14" t="s">
        <v>50</v>
      </c>
      <c r="M129" s="14" t="s">
        <v>51</v>
      </c>
      <c r="N129" s="14" t="s">
        <v>35</v>
      </c>
      <c r="O129" s="239"/>
      <c r="P129" s="241"/>
    </row>
    <row r="130" spans="1:16" ht="15" customHeight="1" thickBot="1" x14ac:dyDescent="0.3">
      <c r="A130" s="5"/>
      <c r="B130" s="242" t="s">
        <v>89</v>
      </c>
      <c r="C130" s="243"/>
      <c r="D130" s="243"/>
      <c r="E130" s="243"/>
      <c r="F130" s="244"/>
      <c r="G130" s="242" t="s">
        <v>90</v>
      </c>
      <c r="H130" s="243"/>
      <c r="I130" s="243"/>
      <c r="J130" s="243"/>
      <c r="K130" s="244"/>
      <c r="L130" s="245" t="s">
        <v>53</v>
      </c>
      <c r="M130" s="246"/>
      <c r="N130" s="246"/>
      <c r="O130" s="246"/>
      <c r="P130" s="247"/>
    </row>
    <row r="131" spans="1:16" ht="15" customHeight="1" x14ac:dyDescent="0.25">
      <c r="A131" s="5"/>
      <c r="B131" s="255"/>
      <c r="C131" s="256"/>
      <c r="D131" s="256"/>
      <c r="E131" s="256"/>
      <c r="F131" s="257"/>
      <c r="G131" s="255"/>
      <c r="H131" s="256"/>
      <c r="I131" s="256"/>
      <c r="J131" s="256"/>
      <c r="K131" s="257"/>
      <c r="L131" s="264" t="s">
        <v>91</v>
      </c>
      <c r="M131" s="265"/>
      <c r="N131" s="265"/>
      <c r="O131" s="266">
        <f>+AVERAGE(E18:E108)</f>
        <v>0.22311111111111115</v>
      </c>
      <c r="P131" s="267"/>
    </row>
    <row r="132" spans="1:16" ht="15" customHeight="1" thickBot="1" x14ac:dyDescent="0.3">
      <c r="A132" s="5"/>
      <c r="B132" s="258"/>
      <c r="C132" s="259"/>
      <c r="D132" s="259"/>
      <c r="E132" s="259"/>
      <c r="F132" s="260"/>
      <c r="G132" s="258"/>
      <c r="H132" s="259"/>
      <c r="I132" s="259"/>
      <c r="J132" s="259"/>
      <c r="K132" s="260"/>
      <c r="L132" s="268" t="s">
        <v>92</v>
      </c>
      <c r="M132" s="269"/>
      <c r="N132" s="269"/>
      <c r="O132" s="270">
        <f>+MAX(E18:E108)</f>
        <v>0.35399999999999998</v>
      </c>
      <c r="P132" s="271"/>
    </row>
    <row r="133" spans="1:16" ht="18.600000000000001" customHeight="1" x14ac:dyDescent="0.25">
      <c r="A133" s="6"/>
      <c r="B133" s="258"/>
      <c r="C133" s="259"/>
      <c r="D133" s="259"/>
      <c r="E133" s="259"/>
      <c r="F133" s="260"/>
      <c r="G133" s="258"/>
      <c r="H133" s="259"/>
      <c r="I133" s="259"/>
      <c r="J133" s="259"/>
      <c r="K133" s="260"/>
      <c r="L133" s="272"/>
      <c r="M133" s="273"/>
      <c r="N133" s="273"/>
      <c r="O133" s="273"/>
      <c r="P133" s="274"/>
    </row>
    <row r="134" spans="1:16" ht="61.5" customHeight="1" x14ac:dyDescent="0.25">
      <c r="A134" s="10"/>
      <c r="B134" s="258"/>
      <c r="C134" s="259"/>
      <c r="D134" s="259"/>
      <c r="E134" s="259"/>
      <c r="F134" s="260"/>
      <c r="G134" s="258"/>
      <c r="H134" s="259"/>
      <c r="I134" s="259"/>
      <c r="J134" s="259"/>
      <c r="K134" s="260"/>
      <c r="L134" s="275"/>
      <c r="M134" s="276"/>
      <c r="N134" s="276"/>
      <c r="O134" s="276"/>
      <c r="P134" s="277"/>
    </row>
    <row r="135" spans="1:16" ht="15" customHeight="1" thickBot="1" x14ac:dyDescent="0.3">
      <c r="A135" s="5"/>
      <c r="B135" s="258"/>
      <c r="C135" s="259"/>
      <c r="D135" s="259"/>
      <c r="E135" s="259"/>
      <c r="F135" s="260"/>
      <c r="G135" s="258"/>
      <c r="H135" s="259"/>
      <c r="I135" s="259"/>
      <c r="J135" s="259"/>
      <c r="K135" s="260"/>
      <c r="L135" s="278"/>
      <c r="M135" s="279"/>
      <c r="N135" s="279"/>
      <c r="O135" s="279"/>
      <c r="P135" s="280"/>
    </row>
    <row r="136" spans="1:16" ht="22.5" customHeight="1" thickBot="1" x14ac:dyDescent="0.3">
      <c r="A136" s="5"/>
      <c r="B136" s="258"/>
      <c r="C136" s="259"/>
      <c r="D136" s="259"/>
      <c r="E136" s="259"/>
      <c r="F136" s="260"/>
      <c r="G136" s="258"/>
      <c r="H136" s="259"/>
      <c r="I136" s="259"/>
      <c r="J136" s="259"/>
      <c r="K136" s="260"/>
      <c r="L136" s="281" t="s">
        <v>36</v>
      </c>
      <c r="M136" s="282"/>
      <c r="N136" s="282"/>
      <c r="O136" s="282"/>
      <c r="P136" s="95">
        <v>3.5</v>
      </c>
    </row>
    <row r="137" spans="1:16" ht="32.25" customHeight="1" thickBot="1" x14ac:dyDescent="0.3">
      <c r="A137" s="5"/>
      <c r="B137" s="261"/>
      <c r="C137" s="262"/>
      <c r="D137" s="262"/>
      <c r="E137" s="262"/>
      <c r="F137" s="263"/>
      <c r="G137" s="261"/>
      <c r="H137" s="262"/>
      <c r="I137" s="262"/>
      <c r="J137" s="262"/>
      <c r="K137" s="263"/>
      <c r="L137" s="283" t="s">
        <v>52</v>
      </c>
      <c r="M137" s="284"/>
      <c r="N137" s="284"/>
      <c r="O137" s="284"/>
      <c r="P137" s="95">
        <v>0.15720000000000001</v>
      </c>
    </row>
    <row r="138" spans="1:16" ht="23.45" customHeight="1" thickBot="1" x14ac:dyDescent="0.3">
      <c r="A138" s="7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</row>
    <row r="139" spans="1:16" ht="15.75" thickBot="1" x14ac:dyDescent="0.3">
      <c r="A139" s="291" t="s">
        <v>37</v>
      </c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3"/>
    </row>
    <row r="140" spans="1:16" ht="159" customHeight="1" thickBot="1" x14ac:dyDescent="0.3">
      <c r="A140" s="4"/>
      <c r="B140" s="304"/>
      <c r="C140" s="305"/>
      <c r="D140" s="305"/>
      <c r="E140" s="305"/>
      <c r="F140" s="297"/>
      <c r="G140" s="304"/>
      <c r="H140" s="305"/>
      <c r="I140" s="305"/>
      <c r="J140" s="305"/>
      <c r="K140" s="297"/>
      <c r="L140" s="304"/>
      <c r="M140" s="305"/>
      <c r="N140" s="305"/>
      <c r="O140" s="305"/>
      <c r="P140" s="322"/>
    </row>
    <row r="141" spans="1:16" ht="21.75" customHeight="1" thickBot="1" x14ac:dyDescent="0.3">
      <c r="A141" s="4"/>
      <c r="B141" s="306" t="s">
        <v>121</v>
      </c>
      <c r="C141" s="307"/>
      <c r="D141" s="307"/>
      <c r="E141" s="307"/>
      <c r="F141" s="308"/>
      <c r="G141" s="306" t="s">
        <v>122</v>
      </c>
      <c r="H141" s="307"/>
      <c r="I141" s="307"/>
      <c r="J141" s="307"/>
      <c r="K141" s="308"/>
      <c r="L141" s="306" t="s">
        <v>123</v>
      </c>
      <c r="M141" s="307"/>
      <c r="N141" s="307"/>
      <c r="O141" s="307"/>
      <c r="P141" s="323"/>
    </row>
    <row r="142" spans="1:16" s="9" customFormat="1" ht="16.899999999999999" customHeight="1" thickBot="1" x14ac:dyDescent="0.3">
      <c r="A142" s="8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6"/>
    </row>
    <row r="143" spans="1:16" s="3" customFormat="1" ht="15.75" customHeight="1" thickBot="1" x14ac:dyDescent="0.25">
      <c r="A143" s="287" t="s">
        <v>38</v>
      </c>
      <c r="B143" s="288"/>
      <c r="C143" s="288"/>
      <c r="D143" s="288"/>
      <c r="E143" s="288"/>
      <c r="F143" s="288"/>
      <c r="G143" s="288"/>
      <c r="H143" s="288"/>
      <c r="I143" s="288"/>
      <c r="J143" s="288" t="s">
        <v>39</v>
      </c>
      <c r="K143" s="288"/>
      <c r="L143" s="288"/>
      <c r="M143" s="288"/>
      <c r="N143" s="288"/>
      <c r="O143" s="288"/>
      <c r="P143" s="289"/>
    </row>
  </sheetData>
  <mergeCells count="285"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F141"/>
    <mergeCell ref="G141:K141"/>
    <mergeCell ref="L141:P141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6:C6"/>
    <mergeCell ref="D6:I6"/>
    <mergeCell ref="K6:L6"/>
    <mergeCell ref="M6:N6"/>
    <mergeCell ref="B2:D3"/>
    <mergeCell ref="E2:N3"/>
    <mergeCell ref="O2:P3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2019-05-16T20:45:35Z</dcterms:modified>
</cp:coreProperties>
</file>