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INFORME AFOROS\INFORMACIÓN PAGINA WEB1\"/>
    </mc:Choice>
  </mc:AlternateContent>
  <bookViews>
    <workbookView xWindow="0" yWindow="0" windowWidth="11970" windowHeight="4710" activeTab="1"/>
  </bookViews>
  <sheets>
    <sheet name="Planta y sección típica" sheetId="1" r:id="rId1"/>
    <sheet name="Aforo 1" sheetId="57" r:id="rId2"/>
    <sheet name="Aforo 2" sheetId="58" r:id="rId3"/>
    <sheet name="Aforo 3" sheetId="60" r:id="rId4"/>
    <sheet name="Aforo 4" sheetId="61" r:id="rId5"/>
  </sheets>
  <definedNames>
    <definedName name="_xlnm.Print_Area" localSheetId="1">'Aforo 1'!$B$1:$P$65</definedName>
    <definedName name="_xlnm.Print_Area" localSheetId="2">'Aforo 2'!$B$1:$P$78</definedName>
    <definedName name="_xlnm.Print_Area" localSheetId="3">'Aforo 3'!$B$1:$P$75</definedName>
    <definedName name="_xlnm.Print_Area" localSheetId="4">'Aforo 4'!$B$1:$P$75</definedName>
    <definedName name="_xlnm.Print_Titles" localSheetId="1">'Aforo 1'!$1:$15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5" i="61" l="1"/>
  <c r="D54" i="61"/>
  <c r="K49" i="61"/>
  <c r="E49" i="61"/>
  <c r="G58" i="61" s="1"/>
  <c r="G48" i="61"/>
  <c r="G47" i="61"/>
  <c r="K46" i="61"/>
  <c r="G46" i="61"/>
  <c r="D46" i="61"/>
  <c r="G45" i="61"/>
  <c r="G44" i="61"/>
  <c r="K43" i="61"/>
  <c r="G43" i="61"/>
  <c r="D43" i="61"/>
  <c r="G42" i="61"/>
  <c r="G41" i="61"/>
  <c r="K40" i="61"/>
  <c r="G40" i="61"/>
  <c r="D40" i="61"/>
  <c r="G39" i="61"/>
  <c r="G38" i="61"/>
  <c r="K37" i="61"/>
  <c r="G37" i="61"/>
  <c r="D37" i="61"/>
  <c r="G36" i="61"/>
  <c r="G35" i="61"/>
  <c r="K34" i="61"/>
  <c r="G34" i="61"/>
  <c r="D34" i="61"/>
  <c r="G33" i="61"/>
  <c r="G32" i="61"/>
  <c r="K31" i="61"/>
  <c r="G31" i="61"/>
  <c r="D31" i="61"/>
  <c r="G30" i="61"/>
  <c r="G29" i="61"/>
  <c r="G28" i="61"/>
  <c r="D28" i="61"/>
  <c r="D49" i="61" s="1"/>
  <c r="G27" i="61"/>
  <c r="G26" i="61"/>
  <c r="K25" i="61"/>
  <c r="G25" i="61"/>
  <c r="D25" i="61"/>
  <c r="G24" i="61"/>
  <c r="G23" i="61"/>
  <c r="K22" i="61"/>
  <c r="G22" i="61"/>
  <c r="D22" i="61"/>
  <c r="G21" i="61"/>
  <c r="G20" i="61"/>
  <c r="K19" i="61"/>
  <c r="G19" i="61"/>
  <c r="D19" i="61"/>
  <c r="G18" i="61"/>
  <c r="C18" i="61"/>
  <c r="C19" i="61" s="1"/>
  <c r="C21" i="61" s="1"/>
  <c r="C22" i="61" s="1"/>
  <c r="C24" i="61" s="1"/>
  <c r="G17" i="61"/>
  <c r="K16" i="61"/>
  <c r="G16" i="61"/>
  <c r="C16" i="61"/>
  <c r="L22" i="61" l="1"/>
  <c r="M22" i="61" s="1"/>
  <c r="C25" i="61"/>
  <c r="C27" i="61" s="1"/>
  <c r="C28" i="61" s="1"/>
  <c r="L25" i="61"/>
  <c r="M25" i="61" s="1"/>
  <c r="L19" i="61"/>
  <c r="M19" i="61" s="1"/>
  <c r="L16" i="61"/>
  <c r="G53" i="61"/>
  <c r="G50" i="61"/>
  <c r="G56" i="61"/>
  <c r="G51" i="61"/>
  <c r="G57" i="61"/>
  <c r="G52" i="61"/>
  <c r="G54" i="61"/>
  <c r="M16" i="61" l="1"/>
  <c r="C49" i="61"/>
  <c r="C30" i="61"/>
  <c r="C31" i="61" l="1"/>
  <c r="C33" i="61" s="1"/>
  <c r="C54" i="61"/>
  <c r="L49" i="61" s="1"/>
  <c r="M49" i="61" s="1"/>
  <c r="C34" i="61" l="1"/>
  <c r="C36" i="61" s="1"/>
  <c r="L31" i="61"/>
  <c r="M31" i="61" l="1"/>
  <c r="L34" i="61"/>
  <c r="M34" i="61" s="1"/>
  <c r="C37" i="61"/>
  <c r="C39" i="61" s="1"/>
  <c r="C40" i="61" l="1"/>
  <c r="C42" i="61" s="1"/>
  <c r="L37" i="61"/>
  <c r="M37" i="61" s="1"/>
  <c r="C43" i="61" l="1"/>
  <c r="C45" i="61" s="1"/>
  <c r="L40" i="61"/>
  <c r="M40" i="61" s="1"/>
  <c r="L43" i="61" l="1"/>
  <c r="C46" i="61"/>
  <c r="C48" i="61" s="1"/>
  <c r="L46" i="61" s="1"/>
  <c r="M46" i="61" s="1"/>
  <c r="M43" i="61" l="1"/>
  <c r="L59" i="61"/>
  <c r="M59" i="61" l="1"/>
  <c r="K59" i="61" l="1"/>
  <c r="N19" i="61"/>
  <c r="N25" i="61"/>
  <c r="N22" i="61"/>
  <c r="N16" i="61"/>
  <c r="N49" i="61"/>
  <c r="N34" i="61"/>
  <c r="N31" i="61"/>
  <c r="N37" i="61"/>
  <c r="N40" i="61"/>
  <c r="N46" i="61"/>
  <c r="N43" i="61"/>
  <c r="N59" i="61" l="1"/>
  <c r="D54" i="60" l="1"/>
  <c r="K49" i="60"/>
  <c r="E49" i="60"/>
  <c r="G58" i="60" s="1"/>
  <c r="B49" i="60"/>
  <c r="G48" i="60"/>
  <c r="G47" i="60"/>
  <c r="K46" i="60"/>
  <c r="G46" i="60"/>
  <c r="D46" i="60"/>
  <c r="G45" i="60"/>
  <c r="G44" i="60"/>
  <c r="K43" i="60"/>
  <c r="G43" i="60"/>
  <c r="D43" i="60"/>
  <c r="G42" i="60"/>
  <c r="G41" i="60"/>
  <c r="K40" i="60"/>
  <c r="G40" i="60"/>
  <c r="D40" i="60"/>
  <c r="G39" i="60"/>
  <c r="G38" i="60"/>
  <c r="K37" i="60"/>
  <c r="G37" i="60"/>
  <c r="D37" i="60"/>
  <c r="G36" i="60"/>
  <c r="G35" i="60"/>
  <c r="K34" i="60"/>
  <c r="G34" i="60"/>
  <c r="D34" i="60"/>
  <c r="G33" i="60"/>
  <c r="G32" i="60"/>
  <c r="K31" i="60"/>
  <c r="G31" i="60"/>
  <c r="D31" i="60"/>
  <c r="G30" i="60"/>
  <c r="G29" i="60"/>
  <c r="K28" i="60"/>
  <c r="G28" i="60"/>
  <c r="D28" i="60"/>
  <c r="G27" i="60"/>
  <c r="G26" i="60"/>
  <c r="G25" i="60"/>
  <c r="D25" i="60"/>
  <c r="D49" i="60" s="1"/>
  <c r="G24" i="60"/>
  <c r="G23" i="60"/>
  <c r="K22" i="60"/>
  <c r="G22" i="60"/>
  <c r="D22" i="60"/>
  <c r="G21" i="60"/>
  <c r="G20" i="60"/>
  <c r="K19" i="60"/>
  <c r="G19" i="60"/>
  <c r="D19" i="60"/>
  <c r="G18" i="60"/>
  <c r="G17" i="60"/>
  <c r="K16" i="60"/>
  <c r="G16" i="60"/>
  <c r="C16" i="60"/>
  <c r="C18" i="60" s="1"/>
  <c r="L16" i="60" l="1"/>
  <c r="C19" i="60"/>
  <c r="C21" i="60" s="1"/>
  <c r="G50" i="60"/>
  <c r="G56" i="60"/>
  <c r="G51" i="60"/>
  <c r="G57" i="60"/>
  <c r="G53" i="60"/>
  <c r="G55" i="60"/>
  <c r="G52" i="60"/>
  <c r="G54" i="60"/>
  <c r="C22" i="60" l="1"/>
  <c r="C24" i="60" s="1"/>
  <c r="L19" i="60"/>
  <c r="M19" i="60" s="1"/>
  <c r="M16" i="60"/>
  <c r="C25" i="60" l="1"/>
  <c r="L22" i="60"/>
  <c r="C49" i="60" l="1"/>
  <c r="C27" i="60"/>
  <c r="M22" i="60"/>
  <c r="C28" i="60" l="1"/>
  <c r="C30" i="60" s="1"/>
  <c r="C54" i="60"/>
  <c r="L49" i="60" s="1"/>
  <c r="M49" i="60" s="1"/>
  <c r="C31" i="60" l="1"/>
  <c r="C33" i="60" s="1"/>
  <c r="L28" i="60"/>
  <c r="M28" i="60" l="1"/>
  <c r="C34" i="60"/>
  <c r="C36" i="60" s="1"/>
  <c r="L31" i="60"/>
  <c r="M31" i="60" s="1"/>
  <c r="C37" i="60" l="1"/>
  <c r="C39" i="60" s="1"/>
  <c r="L34" i="60"/>
  <c r="M34" i="60" s="1"/>
  <c r="C40" i="60" l="1"/>
  <c r="C42" i="60" s="1"/>
  <c r="L37" i="60"/>
  <c r="M37" i="60" s="1"/>
  <c r="C43" i="60" l="1"/>
  <c r="C45" i="60" s="1"/>
  <c r="L40" i="60"/>
  <c r="M40" i="60" s="1"/>
  <c r="C46" i="60" l="1"/>
  <c r="C48" i="60" s="1"/>
  <c r="L46" i="60" s="1"/>
  <c r="L43" i="60"/>
  <c r="M43" i="60" s="1"/>
  <c r="M46" i="60" l="1"/>
  <c r="L59" i="60"/>
  <c r="M59" i="60" l="1"/>
  <c r="K59" i="60" l="1"/>
  <c r="N16" i="60"/>
  <c r="N19" i="60"/>
  <c r="N22" i="60"/>
  <c r="N49" i="60"/>
  <c r="N28" i="60"/>
  <c r="N31" i="60"/>
  <c r="N34" i="60"/>
  <c r="N37" i="60"/>
  <c r="N40" i="60"/>
  <c r="N43" i="60"/>
  <c r="N46" i="60"/>
  <c r="N59" i="60" l="1"/>
  <c r="D57" i="58" l="1"/>
  <c r="K52" i="58"/>
  <c r="E52" i="58"/>
  <c r="G61" i="58" s="1"/>
  <c r="B52" i="58"/>
  <c r="G51" i="58"/>
  <c r="G50" i="58"/>
  <c r="K49" i="58"/>
  <c r="G49" i="58"/>
  <c r="D49" i="58"/>
  <c r="G48" i="58"/>
  <c r="G47" i="58"/>
  <c r="K46" i="58"/>
  <c r="G46" i="58"/>
  <c r="D46" i="58"/>
  <c r="G45" i="58"/>
  <c r="G44" i="58"/>
  <c r="K43" i="58"/>
  <c r="G43" i="58"/>
  <c r="D43" i="58"/>
  <c r="G42" i="58"/>
  <c r="G41" i="58"/>
  <c r="K40" i="58"/>
  <c r="G40" i="58"/>
  <c r="D40" i="58"/>
  <c r="G39" i="58"/>
  <c r="G38" i="58"/>
  <c r="K37" i="58"/>
  <c r="G37" i="58"/>
  <c r="D37" i="58"/>
  <c r="G36" i="58"/>
  <c r="G35" i="58"/>
  <c r="K34" i="58"/>
  <c r="G34" i="58"/>
  <c r="D34" i="58"/>
  <c r="G33" i="58"/>
  <c r="G32" i="58"/>
  <c r="K31" i="58"/>
  <c r="G31" i="58"/>
  <c r="D31" i="58"/>
  <c r="D28" i="58"/>
  <c r="D52" i="58" s="1"/>
  <c r="G27" i="58"/>
  <c r="G26" i="58"/>
  <c r="K25" i="58"/>
  <c r="G25" i="58"/>
  <c r="D25" i="58"/>
  <c r="G24" i="58"/>
  <c r="G23" i="58"/>
  <c r="K22" i="58"/>
  <c r="G22" i="58"/>
  <c r="D22" i="58"/>
  <c r="G21" i="58"/>
  <c r="G20" i="58"/>
  <c r="K19" i="58"/>
  <c r="G19" i="58"/>
  <c r="D19" i="58"/>
  <c r="G18" i="58"/>
  <c r="C18" i="58"/>
  <c r="C19" i="58" s="1"/>
  <c r="C21" i="58" s="1"/>
  <c r="G17" i="58"/>
  <c r="K16" i="58"/>
  <c r="G16" i="58"/>
  <c r="C16" i="58"/>
  <c r="L19" i="58" l="1"/>
  <c r="C22" i="58"/>
  <c r="C24" i="58" s="1"/>
  <c r="M19" i="58"/>
  <c r="G53" i="58"/>
  <c r="G59" i="58"/>
  <c r="L16" i="58"/>
  <c r="G56" i="58"/>
  <c r="G58" i="58"/>
  <c r="G54" i="58"/>
  <c r="G60" i="58"/>
  <c r="G55" i="58"/>
  <c r="G57" i="58"/>
  <c r="M16" i="58" l="1"/>
  <c r="L22" i="58"/>
  <c r="M22" i="58" s="1"/>
  <c r="C25" i="58"/>
  <c r="C27" i="58" s="1"/>
  <c r="L25" i="58" l="1"/>
  <c r="M25" i="58" s="1"/>
  <c r="C28" i="58"/>
  <c r="C30" i="58" l="1"/>
  <c r="C52" i="58"/>
  <c r="C31" i="58" l="1"/>
  <c r="C33" i="58" s="1"/>
  <c r="C57" i="58"/>
  <c r="L52" i="58" s="1"/>
  <c r="M52" i="58" s="1"/>
  <c r="C34" i="58" l="1"/>
  <c r="C36" i="58" s="1"/>
  <c r="L31" i="58"/>
  <c r="M31" i="58" l="1"/>
  <c r="C37" i="58"/>
  <c r="C39" i="58" s="1"/>
  <c r="L34" i="58"/>
  <c r="M34" i="58" s="1"/>
  <c r="C40" i="58" l="1"/>
  <c r="C42" i="58" s="1"/>
  <c r="L37" i="58"/>
  <c r="M37" i="58" s="1"/>
  <c r="C43" i="58" l="1"/>
  <c r="C45" i="58" s="1"/>
  <c r="L40" i="58"/>
  <c r="M40" i="58" s="1"/>
  <c r="C46" i="58" l="1"/>
  <c r="C48" i="58" s="1"/>
  <c r="L43" i="58"/>
  <c r="M43" i="58" s="1"/>
  <c r="C49" i="58" l="1"/>
  <c r="C51" i="58" s="1"/>
  <c r="L49" i="58" s="1"/>
  <c r="L46" i="58"/>
  <c r="M46" i="58" s="1"/>
  <c r="M49" i="58" l="1"/>
  <c r="L62" i="58"/>
  <c r="M62" i="58" l="1"/>
  <c r="K62" i="58" l="1"/>
  <c r="N19" i="58"/>
  <c r="N22" i="58"/>
  <c r="N16" i="58"/>
  <c r="N25" i="58"/>
  <c r="N52" i="58"/>
  <c r="N31" i="58"/>
  <c r="N34" i="58"/>
  <c r="N37" i="58"/>
  <c r="N40" i="58"/>
  <c r="N43" i="58"/>
  <c r="N46" i="58"/>
  <c r="N49" i="58"/>
  <c r="N62" i="58" l="1"/>
  <c r="D45" i="57" l="1"/>
  <c r="K40" i="57"/>
  <c r="E40" i="57"/>
  <c r="G49" i="57" s="1"/>
  <c r="D40" i="57"/>
  <c r="B40" i="57"/>
  <c r="G39" i="57"/>
  <c r="G38" i="57"/>
  <c r="K37" i="57"/>
  <c r="G37" i="57"/>
  <c r="G36" i="57"/>
  <c r="G35" i="57"/>
  <c r="K34" i="57"/>
  <c r="G34" i="57"/>
  <c r="G33" i="57"/>
  <c r="G32" i="57"/>
  <c r="K31" i="57"/>
  <c r="G31" i="57"/>
  <c r="G27" i="57"/>
  <c r="G26" i="57"/>
  <c r="K25" i="57"/>
  <c r="G25" i="57"/>
  <c r="G24" i="57"/>
  <c r="G23" i="57"/>
  <c r="K22" i="57"/>
  <c r="G22" i="57"/>
  <c r="G21" i="57"/>
  <c r="G20" i="57"/>
  <c r="K19" i="57"/>
  <c r="G19" i="57"/>
  <c r="G18" i="57"/>
  <c r="G17" i="57"/>
  <c r="K16" i="57"/>
  <c r="G16" i="57"/>
  <c r="C16" i="57"/>
  <c r="C18" i="57" s="1"/>
  <c r="L16" i="57" l="1"/>
  <c r="C19" i="57"/>
  <c r="C21" i="57" s="1"/>
  <c r="G44" i="57"/>
  <c r="G41" i="57"/>
  <c r="G47" i="57"/>
  <c r="G42" i="57"/>
  <c r="G48" i="57"/>
  <c r="G46" i="57"/>
  <c r="G43" i="57"/>
  <c r="G45" i="57"/>
  <c r="M16" i="57" l="1"/>
  <c r="C22" i="57"/>
  <c r="C24" i="57" s="1"/>
  <c r="L19" i="57"/>
  <c r="M19" i="57" s="1"/>
  <c r="C25" i="57" l="1"/>
  <c r="C27" i="57" s="1"/>
  <c r="L22" i="57"/>
  <c r="M22" i="57" s="1"/>
  <c r="C28" i="57" l="1"/>
  <c r="L25" i="57"/>
  <c r="M25" i="57" s="1"/>
  <c r="C40" i="57" l="1"/>
  <c r="C30" i="57"/>
  <c r="C31" i="57" l="1"/>
  <c r="C33" i="57" s="1"/>
  <c r="C45" i="57"/>
  <c r="L40" i="57" s="1"/>
  <c r="M40" i="57" s="1"/>
  <c r="C34" i="57" l="1"/>
  <c r="C36" i="57" s="1"/>
  <c r="L31" i="57"/>
  <c r="M31" i="57" l="1"/>
  <c r="L34" i="57"/>
  <c r="M34" i="57" s="1"/>
  <c r="C37" i="57"/>
  <c r="C39" i="57" s="1"/>
  <c r="L37" i="57" s="1"/>
  <c r="M37" i="57" s="1"/>
  <c r="L50" i="57" l="1"/>
  <c r="N34" i="57"/>
  <c r="N31" i="57"/>
  <c r="M50" i="57"/>
  <c r="K50" i="57" l="1"/>
  <c r="N19" i="57"/>
  <c r="N16" i="57"/>
  <c r="N50" i="57" s="1"/>
  <c r="N22" i="57"/>
  <c r="N25" i="57"/>
  <c r="N40" i="57"/>
  <c r="N37" i="57"/>
</calcChain>
</file>

<file path=xl/sharedStrings.xml><?xml version="1.0" encoding="utf-8"?>
<sst xmlns="http://schemas.openxmlformats.org/spreadsheetml/2006/main" count="477" uniqueCount="96">
  <si>
    <t>Fecha</t>
  </si>
  <si>
    <t>Proyecto</t>
  </si>
  <si>
    <t>Lugar medición</t>
  </si>
  <si>
    <t>Coordenadas:</t>
  </si>
  <si>
    <t>X</t>
  </si>
  <si>
    <t>OTT / MF Pro</t>
  </si>
  <si>
    <t>Datos de inicio del aforo</t>
  </si>
  <si>
    <t>Inicio desde:</t>
  </si>
  <si>
    <t>Margen Izquierda</t>
  </si>
  <si>
    <t>Margen Derecha</t>
  </si>
  <si>
    <t>Hora de inicio</t>
  </si>
  <si>
    <t>Nivel inicial [m]</t>
  </si>
  <si>
    <t>Temperatura del agua ( °C )</t>
  </si>
  <si>
    <t>Ancho sección (w) [m]</t>
  </si>
  <si>
    <t>Hora de finalización</t>
  </si>
  <si>
    <t>Nivel final [m]</t>
  </si>
  <si>
    <t>Hora de medida</t>
  </si>
  <si>
    <t xml:space="preserve">Ancho dovela (b) [m] </t>
  </si>
  <si>
    <t>Nomenclatura</t>
  </si>
  <si>
    <t>Dovela #</t>
  </si>
  <si>
    <t>Abscisa [m]</t>
  </si>
  <si>
    <t>y [m]</t>
  </si>
  <si>
    <t>Bq</t>
  </si>
  <si>
    <t>[m/seg]</t>
  </si>
  <si>
    <t>[m/s]</t>
  </si>
  <si>
    <t>[%]</t>
  </si>
  <si>
    <t>[s]</t>
  </si>
  <si>
    <t>pulg</t>
  </si>
  <si>
    <t>Formulas</t>
  </si>
  <si>
    <t>0.5y</t>
  </si>
  <si>
    <t>Superficial</t>
  </si>
  <si>
    <t xml:space="preserve">Se tomaron muestras de sedimentos en las dovelas #  _____ , _____ , ______ , ______ , _______ </t>
  </si>
  <si>
    <t>Folio</t>
  </si>
  <si>
    <t>Vmedia</t>
  </si>
  <si>
    <t>%</t>
  </si>
  <si>
    <t>Distancia del sensor al nivel del agua (m)</t>
  </si>
  <si>
    <t>REGISTRO FOTOGRÁFICO</t>
  </si>
  <si>
    <t>Realizado por</t>
  </si>
  <si>
    <t>Revisado por</t>
  </si>
  <si>
    <t>VISTA EN PLANTA</t>
  </si>
  <si>
    <t>SECCIÓN TRANSVERSAL</t>
  </si>
  <si>
    <r>
      <t>h</t>
    </r>
    <r>
      <rPr>
        <b/>
        <vertAlign val="subscript"/>
        <sz val="11"/>
        <color theme="1"/>
        <rFont val="Calibri"/>
        <family val="2"/>
        <scheme val="minor"/>
      </rPr>
      <t xml:space="preserve">i      </t>
    </r>
    <r>
      <rPr>
        <b/>
        <sz val="11"/>
        <color theme="1"/>
        <rFont val="Calibri"/>
        <family val="2"/>
        <scheme val="minor"/>
      </rPr>
      <t xml:space="preserve">  [m]</t>
    </r>
  </si>
  <si>
    <r>
      <t>y</t>
    </r>
    <r>
      <rPr>
        <b/>
        <vertAlign val="subscript"/>
        <sz val="11"/>
        <color theme="1"/>
        <rFont val="Calibri"/>
        <family val="2"/>
        <scheme val="minor"/>
      </rPr>
      <t xml:space="preserve">i   </t>
    </r>
    <r>
      <rPr>
        <b/>
        <sz val="11"/>
        <color theme="1"/>
        <rFont val="Calibri"/>
        <family val="2"/>
        <scheme val="minor"/>
      </rPr>
      <t>[m]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</si>
  <si>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</si>
  <si>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</si>
  <si>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</si>
  <si>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ll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</si>
  <si>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</si>
  <si>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/s]</t>
    </r>
  </si>
  <si>
    <r>
      <t xml:space="preserve">At = </t>
    </r>
    <r>
      <rPr>
        <sz val="10"/>
        <color theme="1"/>
        <rFont val="Calibri"/>
        <family val="2"/>
      </rPr>
      <t>ΣAi</t>
    </r>
  </si>
  <si>
    <r>
      <t xml:space="preserve">Qt = </t>
    </r>
    <r>
      <rPr>
        <sz val="10"/>
        <color theme="1"/>
        <rFont val="Calibri"/>
        <family val="2"/>
      </rPr>
      <t>ΣQi</t>
    </r>
  </si>
  <si>
    <r>
      <t xml:space="preserve">Nivel del agua en el sensor (m) </t>
    </r>
    <r>
      <rPr>
        <vertAlign val="subscript"/>
        <sz val="9"/>
        <color theme="1"/>
        <rFont val="Calibri"/>
        <family val="2"/>
        <scheme val="minor"/>
      </rPr>
      <t>(Dato suministrado por el administrador de la red)</t>
    </r>
  </si>
  <si>
    <t xml:space="preserve">OBSERVACIONES: </t>
  </si>
  <si>
    <t>Cálido</t>
  </si>
  <si>
    <t>Formato L1.2: Medición de caudal por el método área-velocidad: medidas desde la superficie del agua con medidor electromagnético</t>
  </si>
  <si>
    <t>Aforo N°</t>
  </si>
  <si>
    <t>Quebrada Olivares - Bocatoma Río Blanco</t>
  </si>
  <si>
    <t>N 5° 4' 6"</t>
  </si>
  <si>
    <t>W 75° 27' 0.36"</t>
  </si>
  <si>
    <t>Marca/Referencia del equipo</t>
  </si>
  <si>
    <t>Abscisa: Inicio Dovela # 1</t>
  </si>
  <si>
    <r>
      <rPr>
        <b/>
        <i/>
        <sz val="10"/>
        <color theme="1"/>
        <rFont val="Calibri"/>
        <family val="2"/>
        <scheme val="minor"/>
      </rPr>
      <t>Vi</t>
    </r>
    <r>
      <rPr>
        <sz val="10"/>
        <color theme="1"/>
        <rFont val="Calibri"/>
        <family val="2"/>
        <scheme val="minor"/>
      </rPr>
      <t>= Velocidad a cada yi</t>
    </r>
  </si>
  <si>
    <r>
      <rPr>
        <b/>
        <i/>
        <sz val="10"/>
        <color theme="1"/>
        <rFont val="Calibri"/>
        <family val="2"/>
        <scheme val="minor"/>
      </rPr>
      <t>hi</t>
    </r>
    <r>
      <rPr>
        <sz val="10"/>
        <color theme="1"/>
        <rFont val="Calibri"/>
        <family val="2"/>
        <scheme val="minor"/>
      </rPr>
      <t>= Profundidad correspondiente a cada abscisa</t>
    </r>
  </si>
  <si>
    <r>
      <rPr>
        <b/>
        <i/>
        <sz val="10"/>
        <color theme="1"/>
        <rFont val="Calibri"/>
        <family val="2"/>
        <scheme val="minor"/>
      </rPr>
      <t>y</t>
    </r>
    <r>
      <rPr>
        <b/>
        <sz val="10"/>
        <color theme="1"/>
        <rFont val="Calibri"/>
        <family val="2"/>
        <scheme val="minor"/>
      </rPr>
      <t>=</t>
    </r>
    <r>
      <rPr>
        <sz val="10"/>
        <color theme="1"/>
        <rFont val="Calibri"/>
        <family val="2"/>
        <scheme val="minor"/>
      </rPr>
      <t xml:space="preserve"> Profundidad en la mitad dovela</t>
    </r>
  </si>
  <si>
    <r>
      <rPr>
        <b/>
        <i/>
        <sz val="10"/>
        <color theme="1"/>
        <rFont val="Calibri"/>
        <family val="2"/>
        <scheme val="minor"/>
      </rPr>
      <t>Qi</t>
    </r>
    <r>
      <rPr>
        <sz val="10"/>
        <color theme="1"/>
        <rFont val="Calibri"/>
        <family val="2"/>
        <scheme val="minor"/>
      </rPr>
      <t>= Caudal por dovela</t>
    </r>
  </si>
  <si>
    <r>
      <rPr>
        <b/>
        <i/>
        <sz val="10"/>
        <color theme="1"/>
        <rFont val="Calibri"/>
        <family val="2"/>
        <scheme val="minor"/>
      </rPr>
      <t>T</t>
    </r>
    <r>
      <rPr>
        <b/>
        <i/>
        <vertAlign val="subscript"/>
        <sz val="10"/>
        <color theme="1"/>
        <rFont val="Calibri"/>
        <family val="2"/>
        <scheme val="minor"/>
      </rPr>
      <t>ll</t>
    </r>
    <r>
      <rPr>
        <sz val="10"/>
        <color theme="1"/>
        <rFont val="Calibri"/>
        <family val="2"/>
        <scheme val="minor"/>
      </rPr>
      <t>= Tiempo de llenado-solidos suspendidos</t>
    </r>
  </si>
  <si>
    <r>
      <rPr>
        <b/>
        <i/>
        <sz val="10"/>
        <color theme="1"/>
        <rFont val="Calibri"/>
        <family val="2"/>
        <scheme val="minor"/>
      </rPr>
      <t>Ai</t>
    </r>
    <r>
      <rPr>
        <sz val="10"/>
        <color theme="1"/>
        <rFont val="Calibri"/>
        <family val="2"/>
        <scheme val="minor"/>
      </rPr>
      <t>= Área por dovela</t>
    </r>
  </si>
  <si>
    <t xml:space="preserve">     = Velocidad promedio por dovela</t>
  </si>
  <si>
    <r>
      <rPr>
        <b/>
        <i/>
        <sz val="10"/>
        <color theme="1"/>
        <rFont val="Calibri"/>
        <family val="2"/>
        <scheme val="minor"/>
      </rPr>
      <t>Bq</t>
    </r>
    <r>
      <rPr>
        <sz val="10"/>
        <color theme="1"/>
        <rFont val="Calibri"/>
        <family val="2"/>
        <scheme val="minor"/>
      </rPr>
      <t xml:space="preserve"> = Boquilla muestreador solidos suspendidos</t>
    </r>
  </si>
  <si>
    <t>0.2y</t>
  </si>
  <si>
    <t>0.6y</t>
  </si>
  <si>
    <t>0.8y</t>
  </si>
  <si>
    <t>0.1y</t>
  </si>
  <si>
    <t>0.3y</t>
  </si>
  <si>
    <t>0.4y</t>
  </si>
  <si>
    <t>0.7y</t>
  </si>
  <si>
    <t>0.9y</t>
  </si>
  <si>
    <t xml:space="preserve">Nota 1:  Qi&lt;= 0.2Qt. Si no se cumple repetir                      
</t>
  </si>
  <si>
    <t xml:space="preserve">Nota 2:  Tomar la velocidad superficial del formato L2 </t>
  </si>
  <si>
    <t xml:space="preserve">Nota 3:  Para y&lt;0.2m medir solo a 0.4y </t>
  </si>
  <si>
    <t>Clima:</t>
  </si>
  <si>
    <t>Lluvioso</t>
  </si>
  <si>
    <t>La estación de aforo quedó localizada aguas arriba del sensor de nivel. durante la jornada de aforo se determinó el perfil de la sección y el perfil longitudinal. Teniendo en cuenta las observaciones de los asesores del GTA de Ingeniería Hidráulica y Ambiental los aforos se realizaron así: Si y &lt;= 0.20m se toma la velocidad a 0.6 de y. Si y&gt;0.20 se toma la velocidad a 0,2 - 0,6 y 0,8 de y</t>
  </si>
  <si>
    <t>Nota 4:  Tll es a partir de la curva "Sampling Volume 690 CC"   ingresando           en [ft/s]</t>
  </si>
  <si>
    <t>Detalle general</t>
  </si>
  <si>
    <t>Detalle general del aforo</t>
  </si>
  <si>
    <t>Detalle toma de temperatura</t>
  </si>
  <si>
    <t>NATALIA PEREZ VALENCIA</t>
  </si>
  <si>
    <t>Quebrada Olivares - Bocatoma Rio Blanco</t>
  </si>
  <si>
    <t>x</t>
  </si>
  <si>
    <t xml:space="preserve">      = Velocidad promedio por dovela</t>
  </si>
  <si>
    <t>durante la jornada de aforo se determinó: Perfil de la sección de aforo; Perfil longitudinal del cauce; Banca llena. Teniendo en cuenta las observaciones de los asesores del GTA de Ingeniería Hidráulica y Ambiental los aforos se realizaron así: Si y &lt; 0.12m se toma la velocidad a 0.6 de y. Si y&gt;=0.12m se toma velocidades a 0,2 - 0,6 y 0,8 de y</t>
  </si>
  <si>
    <t>Detalle medida Nivel del agua al sensor</t>
  </si>
  <si>
    <t>durante la jornada de aforo se determinó: Perfil de la sección de aforo; Banca llena. Teniendo en cuenta las observaciones de los asesores del GTA de Ingeniería Hidráulica y Ambiental los aforos se realizaron así: Si y &lt;0.12m se toma la velocidad a 0.6 de y. Si y&gt;=0.12m se toma velocidades a 0.2 - 0.6 y 0.8 de y</t>
  </si>
  <si>
    <t>Detalle marcación de las dovelas</t>
  </si>
  <si>
    <t>Convenio 221/2016 OPERACIÓN Y MANTENIMIENTO REDES HIDROMETEOROLÓGICAS, SÍSMICAS Y DE CALIDAD DEL AIRE DEL DEPARTAMENTO DE CALDAS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</si>
</sst>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6" formatCode="0.0000"/>
    <numFmt numFmtId="167" formatCode="_(&quot;$&quot;\ * #,##0.00_);_(&quot;$&quot;\ * \(#,##0.00\);_(&quot;$&quot;\ * &quot;-&quot;??_);_(@_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vertAlign val="subscript"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vertAlign val="subscript"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167" fontId="11" fillId="0" borderId="0" applyFont="0" applyFill="0" applyBorder="0" applyAlignment="0" applyProtection="0"/>
  </cellStyleXfs>
  <cellXfs count="321">
    <xf numFmtId="0" fontId="0" fillId="0" borderId="0" xfId="0"/>
    <xf numFmtId="0" fontId="0" fillId="0" borderId="0" xfId="0" applyAlignment="1"/>
    <xf numFmtId="0" fontId="0" fillId="0" borderId="0" xfId="0" applyFont="1"/>
    <xf numFmtId="0" fontId="3" fillId="0" borderId="0" xfId="0" applyFont="1"/>
    <xf numFmtId="0" fontId="1" fillId="0" borderId="25" xfId="0" applyFont="1" applyFill="1" applyBorder="1" applyAlignment="1"/>
    <xf numFmtId="0" fontId="0" fillId="0" borderId="32" xfId="0" applyBorder="1"/>
    <xf numFmtId="0" fontId="0" fillId="0" borderId="32" xfId="0" applyBorder="1" applyAlignment="1">
      <alignment horizontal="center"/>
    </xf>
    <xf numFmtId="0" fontId="0" fillId="0" borderId="0" xfId="0" applyBorder="1"/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2" xfId="0" applyBorder="1" applyAlignment="1"/>
    <xf numFmtId="0" fontId="3" fillId="0" borderId="32" xfId="0" applyFont="1" applyBorder="1"/>
    <xf numFmtId="2" fontId="3" fillId="0" borderId="0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vertical="top"/>
    </xf>
    <xf numFmtId="166" fontId="5" fillId="0" borderId="36" xfId="0" applyNumberFormat="1" applyFont="1" applyBorder="1" applyAlignment="1">
      <alignment horizontal="center" vertical="center"/>
    </xf>
    <xf numFmtId="164" fontId="5" fillId="0" borderId="36" xfId="0" applyNumberFormat="1" applyFont="1" applyBorder="1" applyAlignment="1">
      <alignment horizontal="center" vertical="center"/>
    </xf>
    <xf numFmtId="0" fontId="0" fillId="0" borderId="32" xfId="0" applyFont="1" applyBorder="1"/>
    <xf numFmtId="0" fontId="3" fillId="0" borderId="32" xfId="0" applyFont="1" applyFill="1" applyBorder="1"/>
    <xf numFmtId="0" fontId="3" fillId="0" borderId="0" xfId="0" applyFont="1" applyFill="1"/>
    <xf numFmtId="0" fontId="0" fillId="0" borderId="32" xfId="0" applyFill="1" applyBorder="1"/>
    <xf numFmtId="0" fontId="3" fillId="0" borderId="27" xfId="0" applyFont="1" applyFill="1" applyBorder="1" applyAlignment="1">
      <alignment horizontal="center" vertical="center"/>
    </xf>
    <xf numFmtId="0" fontId="0" fillId="0" borderId="0" xfId="0" applyFill="1"/>
    <xf numFmtId="20" fontId="6" fillId="0" borderId="12" xfId="0" applyNumberFormat="1" applyFont="1" applyFill="1" applyBorder="1" applyAlignment="1">
      <alignment horizontal="center"/>
    </xf>
    <xf numFmtId="0" fontId="4" fillId="0" borderId="17" xfId="0" applyFont="1" applyFill="1" applyBorder="1" applyAlignment="1">
      <alignment horizontal="center"/>
    </xf>
    <xf numFmtId="0" fontId="6" fillId="0" borderId="12" xfId="0" applyFont="1" applyFill="1" applyBorder="1" applyAlignment="1">
      <alignment horizontal="center" vertical="center"/>
    </xf>
    <xf numFmtId="0" fontId="3" fillId="0" borderId="40" xfId="0" applyFont="1" applyFill="1" applyBorder="1" applyAlignment="1">
      <alignment vertical="center"/>
    </xf>
    <xf numFmtId="0" fontId="3" fillId="0" borderId="44" xfId="0" applyFont="1" applyFill="1" applyBorder="1" applyAlignment="1">
      <alignment vertical="center"/>
    </xf>
    <xf numFmtId="0" fontId="3" fillId="0" borderId="44" xfId="0" applyFont="1" applyFill="1" applyBorder="1" applyAlignment="1">
      <alignment horizontal="center" vertical="center"/>
    </xf>
    <xf numFmtId="20" fontId="6" fillId="0" borderId="14" xfId="0" applyNumberFormat="1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 vertical="center"/>
    </xf>
    <xf numFmtId="0" fontId="0" fillId="0" borderId="17" xfId="0" applyFill="1" applyBorder="1"/>
    <xf numFmtId="0" fontId="3" fillId="0" borderId="12" xfId="0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 vertical="center" wrapText="1"/>
    </xf>
    <xf numFmtId="0" fontId="3" fillId="0" borderId="2" xfId="0" applyFont="1" applyBorder="1" applyAlignment="1"/>
    <xf numFmtId="0" fontId="3" fillId="0" borderId="0" xfId="0" applyFont="1" applyBorder="1"/>
    <xf numFmtId="0" fontId="3" fillId="0" borderId="0" xfId="0" applyFont="1" applyBorder="1" applyAlignment="1"/>
    <xf numFmtId="0" fontId="1" fillId="4" borderId="15" xfId="0" applyFont="1" applyFill="1" applyBorder="1" applyAlignment="1">
      <alignment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2" fontId="5" fillId="0" borderId="16" xfId="0" applyNumberFormat="1" applyFont="1" applyBorder="1" applyAlignment="1">
      <alignment horizontal="center" vertical="center"/>
    </xf>
    <xf numFmtId="164" fontId="5" fillId="0" borderId="16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164" fontId="0" fillId="0" borderId="0" xfId="0" applyNumberFormat="1" applyFont="1"/>
    <xf numFmtId="0" fontId="5" fillId="3" borderId="16" xfId="0" applyFont="1" applyFill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0" fillId="0" borderId="17" xfId="0" applyBorder="1"/>
    <xf numFmtId="0" fontId="0" fillId="0" borderId="41" xfId="0" applyFont="1" applyBorder="1" applyAlignment="1">
      <alignment vertical="top" wrapText="1"/>
    </xf>
    <xf numFmtId="0" fontId="5" fillId="0" borderId="15" xfId="0" applyFont="1" applyFill="1" applyBorder="1" applyAlignment="1">
      <alignment horizontal="center"/>
    </xf>
    <xf numFmtId="0" fontId="5" fillId="0" borderId="17" xfId="0" applyFont="1" applyFill="1" applyBorder="1" applyAlignment="1">
      <alignment horizontal="center"/>
    </xf>
    <xf numFmtId="2" fontId="5" fillId="0" borderId="16" xfId="0" applyNumberFormat="1" applyFont="1" applyFill="1" applyBorder="1" applyAlignment="1">
      <alignment horizontal="center" vertical="center"/>
    </xf>
    <xf numFmtId="164" fontId="5" fillId="0" borderId="16" xfId="0" applyNumberFormat="1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/>
    </xf>
    <xf numFmtId="0" fontId="1" fillId="4" borderId="42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41" xfId="0" applyFont="1" applyFill="1" applyBorder="1" applyAlignment="1">
      <alignment horizontal="center"/>
    </xf>
    <xf numFmtId="0" fontId="1" fillId="0" borderId="42" xfId="0" applyFont="1" applyFill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4" borderId="9" xfId="0" applyFont="1" applyFill="1" applyBorder="1" applyAlignment="1">
      <alignment horizontal="left" vertical="top"/>
    </xf>
    <xf numFmtId="0" fontId="1" fillId="4" borderId="41" xfId="0" applyFont="1" applyFill="1" applyBorder="1" applyAlignment="1">
      <alignment horizontal="left" vertical="top"/>
    </xf>
    <xf numFmtId="0" fontId="1" fillId="4" borderId="42" xfId="0" applyFont="1" applyFill="1" applyBorder="1" applyAlignment="1">
      <alignment horizontal="left" vertical="top"/>
    </xf>
    <xf numFmtId="0" fontId="0" fillId="0" borderId="41" xfId="0" applyFont="1" applyBorder="1" applyAlignment="1">
      <alignment horizontal="left" vertical="top" wrapText="1"/>
    </xf>
    <xf numFmtId="0" fontId="0" fillId="0" borderId="42" xfId="0" applyFont="1" applyBorder="1" applyAlignment="1">
      <alignment horizontal="left" vertical="top" wrapText="1"/>
    </xf>
    <xf numFmtId="0" fontId="0" fillId="0" borderId="9" xfId="0" applyBorder="1" applyAlignment="1">
      <alignment horizontal="justify" vertical="justify" wrapText="1"/>
    </xf>
    <xf numFmtId="0" fontId="0" fillId="0" borderId="41" xfId="0" applyBorder="1" applyAlignment="1">
      <alignment horizontal="justify" vertical="justify" wrapText="1"/>
    </xf>
    <xf numFmtId="0" fontId="0" fillId="0" borderId="42" xfId="0" applyBorder="1" applyAlignment="1">
      <alignment horizontal="justify" vertical="justify" wrapText="1"/>
    </xf>
    <xf numFmtId="0" fontId="0" fillId="0" borderId="9" xfId="0" applyFont="1" applyBorder="1" applyAlignment="1">
      <alignment horizontal="center" wrapText="1"/>
    </xf>
    <xf numFmtId="0" fontId="0" fillId="0" borderId="41" xfId="0" applyFont="1" applyBorder="1" applyAlignment="1">
      <alignment horizontal="center" wrapText="1"/>
    </xf>
    <xf numFmtId="0" fontId="0" fillId="0" borderId="42" xfId="0" applyFont="1" applyBorder="1" applyAlignment="1">
      <alignment horizontal="center" wrapText="1"/>
    </xf>
    <xf numFmtId="0" fontId="16" fillId="5" borderId="9" xfId="0" applyFont="1" applyFill="1" applyBorder="1" applyAlignment="1">
      <alignment horizontal="center"/>
    </xf>
    <xf numFmtId="0" fontId="16" fillId="5" borderId="42" xfId="0" applyFont="1" applyFill="1" applyBorder="1" applyAlignment="1">
      <alignment horizontal="center"/>
    </xf>
    <xf numFmtId="0" fontId="0" fillId="0" borderId="9" xfId="0" applyFont="1" applyBorder="1" applyAlignment="1">
      <alignment horizontal="center" vertical="center" wrapText="1"/>
    </xf>
    <xf numFmtId="0" fontId="0" fillId="0" borderId="41" xfId="0" applyFont="1" applyBorder="1" applyAlignment="1">
      <alignment horizontal="center" vertical="center" wrapText="1"/>
    </xf>
    <xf numFmtId="0" fontId="0" fillId="0" borderId="42" xfId="0" applyFont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top" wrapText="1"/>
    </xf>
    <xf numFmtId="0" fontId="4" fillId="4" borderId="41" xfId="0" applyFont="1" applyFill="1" applyBorder="1" applyAlignment="1">
      <alignment horizontal="center" vertical="top" wrapText="1"/>
    </xf>
    <xf numFmtId="0" fontId="4" fillId="4" borderId="42" xfId="0" applyFont="1" applyFill="1" applyBorder="1" applyAlignment="1">
      <alignment horizontal="center" vertical="top" wrapText="1"/>
    </xf>
    <xf numFmtId="0" fontId="6" fillId="4" borderId="35" xfId="0" applyFont="1" applyFill="1" applyBorder="1" applyAlignment="1">
      <alignment horizontal="left" vertical="top" wrapText="1"/>
    </xf>
    <xf numFmtId="0" fontId="6" fillId="4" borderId="36" xfId="0" applyFont="1" applyFill="1" applyBorder="1" applyAlignment="1">
      <alignment horizontal="left" vertical="top" wrapText="1"/>
    </xf>
    <xf numFmtId="0" fontId="6" fillId="4" borderId="13" xfId="0" applyFont="1" applyFill="1" applyBorder="1" applyAlignment="1">
      <alignment horizontal="left" vertical="top" wrapText="1"/>
    </xf>
    <xf numFmtId="0" fontId="6" fillId="4" borderId="16" xfId="0" applyFont="1" applyFill="1" applyBorder="1" applyAlignment="1">
      <alignment horizontal="left" vertical="top" wrapText="1"/>
    </xf>
    <xf numFmtId="0" fontId="6" fillId="4" borderId="35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31" xfId="0" applyFont="1" applyFill="1" applyBorder="1" applyAlignment="1">
      <alignment horizontal="center" vertical="top" wrapText="1"/>
    </xf>
    <xf numFmtId="0" fontId="6" fillId="4" borderId="10" xfId="0" applyFont="1" applyFill="1" applyBorder="1" applyAlignment="1">
      <alignment horizontal="center" vertical="top" wrapText="1"/>
    </xf>
    <xf numFmtId="0" fontId="1" fillId="0" borderId="46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27" xfId="0" applyFont="1" applyFill="1" applyBorder="1" applyAlignment="1">
      <alignment horizontal="center" vertical="top" wrapText="1"/>
    </xf>
    <xf numFmtId="0" fontId="1" fillId="0" borderId="28" xfId="0" applyFont="1" applyFill="1" applyBorder="1" applyAlignment="1">
      <alignment horizontal="center" vertical="top" wrapText="1"/>
    </xf>
    <xf numFmtId="0" fontId="1" fillId="0" borderId="29" xfId="0" applyFont="1" applyFill="1" applyBorder="1" applyAlignment="1">
      <alignment horizontal="center" vertical="top" wrapText="1"/>
    </xf>
    <xf numFmtId="164" fontId="5" fillId="3" borderId="17" xfId="0" applyNumberFormat="1" applyFont="1" applyFill="1" applyBorder="1" applyAlignment="1">
      <alignment horizontal="center"/>
    </xf>
    <xf numFmtId="166" fontId="16" fillId="3" borderId="17" xfId="0" applyNumberFormat="1" applyFont="1" applyFill="1" applyBorder="1" applyAlignment="1">
      <alignment horizontal="center"/>
    </xf>
    <xf numFmtId="164" fontId="5" fillId="3" borderId="16" xfId="0" applyNumberFormat="1" applyFont="1" applyFill="1" applyBorder="1" applyAlignment="1">
      <alignment horizontal="center"/>
    </xf>
    <xf numFmtId="166" fontId="16" fillId="3" borderId="16" xfId="0" applyNumberFormat="1" applyFont="1" applyFill="1" applyBorder="1" applyAlignment="1">
      <alignment horizontal="center"/>
    </xf>
    <xf numFmtId="2" fontId="5" fillId="3" borderId="17" xfId="0" applyNumberFormat="1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164" fontId="5" fillId="3" borderId="17" xfId="0" applyNumberFormat="1" applyFont="1" applyFill="1" applyBorder="1" applyAlignment="1">
      <alignment horizontal="center" vertical="center"/>
    </xf>
    <xf numFmtId="164" fontId="5" fillId="3" borderId="16" xfId="0" applyNumberFormat="1" applyFont="1" applyFill="1" applyBorder="1" applyAlignment="1">
      <alignment horizontal="center" vertical="center"/>
    </xf>
    <xf numFmtId="164" fontId="5" fillId="3" borderId="15" xfId="0" applyNumberFormat="1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166" fontId="5" fillId="3" borderId="15" xfId="0" applyNumberFormat="1" applyFont="1" applyFill="1" applyBorder="1" applyAlignment="1">
      <alignment horizontal="center" vertical="center"/>
    </xf>
    <xf numFmtId="166" fontId="5" fillId="3" borderId="17" xfId="0" applyNumberFormat="1" applyFont="1" applyFill="1" applyBorder="1" applyAlignment="1">
      <alignment horizontal="center" vertical="center"/>
    </xf>
    <xf numFmtId="166" fontId="5" fillId="3" borderId="16" xfId="0" applyNumberFormat="1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57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4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2" fontId="5" fillId="3" borderId="15" xfId="0" applyNumberFormat="1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/>
    </xf>
    <xf numFmtId="166" fontId="16" fillId="3" borderId="15" xfId="0" applyNumberFormat="1" applyFont="1" applyFill="1" applyBorder="1" applyAlignment="1">
      <alignment horizontal="center"/>
    </xf>
    <xf numFmtId="164" fontId="5" fillId="0" borderId="15" xfId="0" applyNumberFormat="1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164" fontId="5" fillId="0" borderId="16" xfId="0" applyNumberFormat="1" applyFont="1" applyBorder="1" applyAlignment="1">
      <alignment horizontal="center" vertical="center"/>
    </xf>
    <xf numFmtId="166" fontId="5" fillId="0" borderId="15" xfId="0" applyNumberFormat="1" applyFont="1" applyBorder="1" applyAlignment="1">
      <alignment horizontal="center" vertical="center"/>
    </xf>
    <xf numFmtId="166" fontId="5" fillId="0" borderId="17" xfId="0" applyNumberFormat="1" applyFont="1" applyBorder="1" applyAlignment="1">
      <alignment horizontal="center" vertical="center"/>
    </xf>
    <xf numFmtId="166" fontId="5" fillId="0" borderId="16" xfId="0" applyNumberFormat="1" applyFont="1" applyBorder="1" applyAlignment="1">
      <alignment horizontal="center" vertical="center"/>
    </xf>
    <xf numFmtId="165" fontId="5" fillId="0" borderId="15" xfId="0" applyNumberFormat="1" applyFont="1" applyBorder="1" applyAlignment="1">
      <alignment horizontal="center" vertical="center"/>
    </xf>
    <xf numFmtId="165" fontId="5" fillId="0" borderId="17" xfId="0" applyNumberFormat="1" applyFont="1" applyBorder="1" applyAlignment="1">
      <alignment horizontal="center" vertical="center"/>
    </xf>
    <xf numFmtId="165" fontId="5" fillId="0" borderId="16" xfId="0" applyNumberFormat="1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2" fontId="5" fillId="0" borderId="15" xfId="0" applyNumberFormat="1" applyFont="1" applyBorder="1" applyAlignment="1">
      <alignment horizontal="center" vertical="center"/>
    </xf>
    <xf numFmtId="2" fontId="5" fillId="0" borderId="17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2" fontId="5" fillId="0" borderId="16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64" fontId="5" fillId="0" borderId="37" xfId="0" applyNumberFormat="1" applyFont="1" applyBorder="1" applyAlignment="1">
      <alignment horizontal="center" vertical="center"/>
    </xf>
    <xf numFmtId="164" fontId="5" fillId="0" borderId="36" xfId="0" applyNumberFormat="1" applyFont="1" applyBorder="1" applyAlignment="1">
      <alignment horizontal="center" vertical="center"/>
    </xf>
    <xf numFmtId="164" fontId="5" fillId="0" borderId="30" xfId="0" applyNumberFormat="1" applyFont="1" applyBorder="1" applyAlignment="1">
      <alignment horizontal="center" vertical="center"/>
    </xf>
    <xf numFmtId="164" fontId="5" fillId="0" borderId="55" xfId="0" applyNumberFormat="1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164" fontId="1" fillId="4" borderId="15" xfId="0" applyNumberFormat="1" applyFont="1" applyFill="1" applyBorder="1" applyAlignment="1">
      <alignment horizontal="center" vertical="center"/>
    </xf>
    <xf numFmtId="164" fontId="1" fillId="4" borderId="16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8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50" xfId="0" applyFont="1" applyFill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/>
    </xf>
    <xf numFmtId="0" fontId="1" fillId="4" borderId="43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1" fillId="4" borderId="44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top"/>
    </xf>
    <xf numFmtId="0" fontId="3" fillId="0" borderId="16" xfId="0" applyFont="1" applyFill="1" applyBorder="1" applyAlignment="1">
      <alignment horizontal="center" vertical="top"/>
    </xf>
    <xf numFmtId="20" fontId="6" fillId="0" borderId="16" xfId="0" applyNumberFormat="1" applyFont="1" applyFill="1" applyBorder="1" applyAlignment="1">
      <alignment horizontal="center" vertical="top"/>
    </xf>
    <xf numFmtId="0" fontId="6" fillId="0" borderId="14" xfId="0" applyFont="1" applyFill="1" applyBorder="1" applyAlignment="1">
      <alignment horizontal="center" vertical="top"/>
    </xf>
    <xf numFmtId="0" fontId="6" fillId="4" borderId="51" xfId="0" applyFont="1" applyFill="1" applyBorder="1" applyAlignment="1">
      <alignment horizontal="center" vertical="center" textRotation="90" wrapText="1"/>
    </xf>
    <xf numFmtId="0" fontId="6" fillId="4" borderId="52" xfId="0" applyFont="1" applyFill="1" applyBorder="1" applyAlignment="1">
      <alignment horizontal="center" vertical="center" textRotation="90" wrapText="1"/>
    </xf>
    <xf numFmtId="0" fontId="6" fillId="4" borderId="53" xfId="0" applyFont="1" applyFill="1" applyBorder="1" applyAlignment="1">
      <alignment horizontal="center" vertical="center" textRotation="90" wrapText="1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2" borderId="3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/>
    </xf>
    <xf numFmtId="0" fontId="6" fillId="0" borderId="13" xfId="0" applyFont="1" applyFill="1" applyBorder="1" applyAlignment="1">
      <alignment horizontal="center"/>
    </xf>
    <xf numFmtId="0" fontId="6" fillId="0" borderId="16" xfId="0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0" fontId="3" fillId="0" borderId="16" xfId="0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 wrapText="1"/>
    </xf>
    <xf numFmtId="0" fontId="6" fillId="0" borderId="33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34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/>
    </xf>
    <xf numFmtId="0" fontId="3" fillId="0" borderId="46" xfId="0" applyFont="1" applyFill="1" applyBorder="1" applyAlignment="1">
      <alignment horizontal="center" vertical="center" wrapText="1"/>
    </xf>
    <xf numFmtId="0" fontId="3" fillId="0" borderId="48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 vertical="center" wrapText="1"/>
    </xf>
    <xf numFmtId="0" fontId="3" fillId="0" borderId="50" xfId="0" applyFont="1" applyFill="1" applyBorder="1" applyAlignment="1">
      <alignment horizontal="center" vertical="center" wrapText="1"/>
    </xf>
    <xf numFmtId="0" fontId="6" fillId="0" borderId="4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top"/>
    </xf>
    <xf numFmtId="0" fontId="3" fillId="0" borderId="15" xfId="0" applyFont="1" applyFill="1" applyBorder="1" applyAlignment="1">
      <alignment horizontal="center" vertical="top"/>
    </xf>
    <xf numFmtId="0" fontId="6" fillId="0" borderId="15" xfId="0" applyFont="1" applyFill="1" applyBorder="1" applyAlignment="1">
      <alignment horizontal="center" vertical="top"/>
    </xf>
    <xf numFmtId="0" fontId="6" fillId="0" borderId="12" xfId="0" applyFont="1" applyFill="1" applyBorder="1" applyAlignment="1">
      <alignment horizontal="center" vertical="top"/>
    </xf>
    <xf numFmtId="0" fontId="3" fillId="0" borderId="27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/>
    </xf>
    <xf numFmtId="0" fontId="6" fillId="0" borderId="28" xfId="0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47" xfId="0" applyFont="1" applyFill="1" applyBorder="1" applyAlignment="1">
      <alignment horizontal="center" vertical="center"/>
    </xf>
    <xf numFmtId="0" fontId="6" fillId="0" borderId="45" xfId="0" applyFont="1" applyFill="1" applyBorder="1" applyAlignment="1">
      <alignment horizontal="center" vertical="center"/>
    </xf>
    <xf numFmtId="0" fontId="6" fillId="0" borderId="47" xfId="0" applyFont="1" applyFill="1" applyBorder="1" applyAlignment="1">
      <alignment horizontal="center" vertical="center"/>
    </xf>
    <xf numFmtId="0" fontId="6" fillId="0" borderId="42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horizontal="left" vertical="center"/>
    </xf>
    <xf numFmtId="0" fontId="3" fillId="0" borderId="39" xfId="0" applyFont="1" applyFill="1" applyBorder="1" applyAlignment="1">
      <alignment horizontal="left" vertical="center"/>
    </xf>
    <xf numFmtId="0" fontId="3" fillId="0" borderId="43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center"/>
    </xf>
    <xf numFmtId="0" fontId="3" fillId="0" borderId="15" xfId="0" applyFont="1" applyFill="1" applyBorder="1" applyAlignment="1">
      <alignment horizontal="center"/>
    </xf>
    <xf numFmtId="0" fontId="12" fillId="0" borderId="46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wrapText="1"/>
    </xf>
    <xf numFmtId="0" fontId="13" fillId="0" borderId="8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2" fontId="3" fillId="3" borderId="17" xfId="0" applyNumberFormat="1" applyFont="1" applyFill="1" applyBorder="1" applyAlignment="1">
      <alignment horizontal="center" vertical="center"/>
    </xf>
    <xf numFmtId="2" fontId="3" fillId="3" borderId="16" xfId="0" applyNumberFormat="1" applyFont="1" applyFill="1" applyBorder="1" applyAlignment="1">
      <alignment horizontal="center" vertical="center"/>
    </xf>
    <xf numFmtId="164" fontId="3" fillId="3" borderId="17" xfId="0" applyNumberFormat="1" applyFont="1" applyFill="1" applyBorder="1" applyAlignment="1">
      <alignment horizontal="center" vertical="center"/>
    </xf>
    <xf numFmtId="164" fontId="3" fillId="3" borderId="16" xfId="0" applyNumberFormat="1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54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2" fontId="3" fillId="3" borderId="15" xfId="0" applyNumberFormat="1" applyFont="1" applyFill="1" applyBorder="1" applyAlignment="1">
      <alignment horizontal="center" vertical="center"/>
    </xf>
    <xf numFmtId="164" fontId="3" fillId="3" borderId="15" xfId="0" applyNumberFormat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64" fontId="5" fillId="0" borderId="15" xfId="0" applyNumberFormat="1" applyFont="1" applyFill="1" applyBorder="1" applyAlignment="1">
      <alignment horizontal="center" vertical="center"/>
    </xf>
    <xf numFmtId="164" fontId="5" fillId="0" borderId="17" xfId="0" applyNumberFormat="1" applyFont="1" applyFill="1" applyBorder="1" applyAlignment="1">
      <alignment horizontal="center" vertical="center"/>
    </xf>
    <xf numFmtId="164" fontId="5" fillId="0" borderId="16" xfId="0" applyNumberFormat="1" applyFont="1" applyFill="1" applyBorder="1" applyAlignment="1">
      <alignment horizontal="center" vertical="center"/>
    </xf>
    <xf numFmtId="166" fontId="5" fillId="0" borderId="15" xfId="0" applyNumberFormat="1" applyFont="1" applyFill="1" applyBorder="1" applyAlignment="1">
      <alignment horizontal="center" vertical="center"/>
    </xf>
    <xf numFmtId="166" fontId="5" fillId="0" borderId="17" xfId="0" applyNumberFormat="1" applyFont="1" applyFill="1" applyBorder="1" applyAlignment="1">
      <alignment horizontal="center" vertical="center"/>
    </xf>
    <xf numFmtId="166" fontId="5" fillId="0" borderId="16" xfId="0" applyNumberFormat="1" applyFont="1" applyFill="1" applyBorder="1" applyAlignment="1">
      <alignment horizontal="center" vertical="center"/>
    </xf>
    <xf numFmtId="165" fontId="5" fillId="0" borderId="15" xfId="0" applyNumberFormat="1" applyFont="1" applyFill="1" applyBorder="1" applyAlignment="1">
      <alignment horizontal="center" vertical="center"/>
    </xf>
    <xf numFmtId="165" fontId="5" fillId="0" borderId="17" xfId="0" applyNumberFormat="1" applyFont="1" applyFill="1" applyBorder="1" applyAlignment="1">
      <alignment horizontal="center" vertical="center"/>
    </xf>
    <xf numFmtId="165" fontId="5" fillId="0" borderId="16" xfId="0" applyNumberFormat="1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57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3" fillId="0" borderId="54" xfId="0" applyFont="1" applyFill="1" applyBorder="1" applyAlignment="1">
      <alignment horizontal="center" vertical="center"/>
    </xf>
    <xf numFmtId="2" fontId="5" fillId="0" borderId="15" xfId="0" applyNumberFormat="1" applyFont="1" applyFill="1" applyBorder="1" applyAlignment="1">
      <alignment horizontal="center" vertical="center"/>
    </xf>
    <xf numFmtId="2" fontId="5" fillId="0" borderId="17" xfId="0" applyNumberFormat="1" applyFont="1" applyFill="1" applyBorder="1" applyAlignment="1">
      <alignment horizontal="center" vertical="center"/>
    </xf>
    <xf numFmtId="2" fontId="5" fillId="0" borderId="16" xfId="0" applyNumberFormat="1" applyFont="1" applyFill="1" applyBorder="1" applyAlignment="1">
      <alignment horizontal="center" vertical="center"/>
    </xf>
    <xf numFmtId="164" fontId="5" fillId="3" borderId="15" xfId="0" applyNumberFormat="1" applyFont="1" applyFill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164" fontId="5" fillId="0" borderId="17" xfId="0" applyNumberFormat="1" applyFont="1" applyBorder="1" applyAlignment="1">
      <alignment horizontal="center"/>
    </xf>
    <xf numFmtId="164" fontId="5" fillId="0" borderId="16" xfId="0" applyNumberFormat="1" applyFont="1" applyBorder="1" applyAlignment="1">
      <alignment horizontal="center"/>
    </xf>
    <xf numFmtId="0" fontId="5" fillId="0" borderId="11" xfId="0" applyFont="1" applyFill="1" applyBorder="1" applyAlignment="1">
      <alignment horizontal="center" vertical="center"/>
    </xf>
    <xf numFmtId="0" fontId="5" fillId="0" borderId="54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164" fontId="5" fillId="0" borderId="33" xfId="0" applyNumberFormat="1" applyFont="1" applyFill="1" applyBorder="1" applyAlignment="1">
      <alignment horizontal="center"/>
    </xf>
    <xf numFmtId="164" fontId="5" fillId="0" borderId="43" xfId="0" applyNumberFormat="1" applyFont="1" applyFill="1" applyBorder="1" applyAlignment="1">
      <alignment horizontal="center"/>
    </xf>
    <xf numFmtId="164" fontId="5" fillId="0" borderId="32" xfId="0" applyNumberFormat="1" applyFont="1" applyFill="1" applyBorder="1" applyAlignment="1">
      <alignment horizontal="center"/>
    </xf>
    <xf numFmtId="164" fontId="5" fillId="0" borderId="56" xfId="0" applyNumberFormat="1" applyFont="1" applyFill="1" applyBorder="1" applyAlignment="1">
      <alignment horizontal="center"/>
    </xf>
    <xf numFmtId="164" fontId="5" fillId="0" borderId="34" xfId="0" applyNumberFormat="1" applyFont="1" applyFill="1" applyBorder="1" applyAlignment="1">
      <alignment horizontal="center"/>
    </xf>
    <xf numFmtId="164" fontId="5" fillId="0" borderId="44" xfId="0" applyNumberFormat="1" applyFont="1" applyFill="1" applyBorder="1" applyAlignment="1">
      <alignment horizontal="center"/>
    </xf>
    <xf numFmtId="0" fontId="0" fillId="0" borderId="46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13" fillId="0" borderId="46" xfId="0" applyFont="1" applyBorder="1" applyAlignment="1">
      <alignment horizontal="center" wrapText="1"/>
    </xf>
    <xf numFmtId="0" fontId="0" fillId="0" borderId="2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13" fillId="0" borderId="25" xfId="0" applyFont="1" applyBorder="1" applyAlignment="1">
      <alignment horizontal="center" wrapText="1"/>
    </xf>
    <xf numFmtId="0" fontId="6" fillId="0" borderId="45" xfId="0" applyFont="1" applyFill="1" applyBorder="1" applyAlignment="1">
      <alignment horizontal="center" vertical="center" wrapText="1"/>
    </xf>
    <xf numFmtId="0" fontId="6" fillId="0" borderId="41" xfId="0" applyFont="1" applyFill="1" applyBorder="1" applyAlignment="1">
      <alignment horizontal="center" vertical="center" wrapText="1"/>
    </xf>
    <xf numFmtId="0" fontId="6" fillId="0" borderId="42" xfId="0" applyFont="1" applyFill="1" applyBorder="1" applyAlignment="1">
      <alignment horizontal="center" vertical="center" wrapText="1"/>
    </xf>
    <xf numFmtId="14" fontId="6" fillId="0" borderId="45" xfId="0" applyNumberFormat="1" applyFont="1" applyFill="1" applyBorder="1" applyAlignment="1">
      <alignment horizontal="center" vertical="center"/>
    </xf>
    <xf numFmtId="14" fontId="6" fillId="0" borderId="42" xfId="0" applyNumberFormat="1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vertical="center"/>
    </xf>
    <xf numFmtId="0" fontId="6" fillId="5" borderId="29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</cellXfs>
  <cellStyles count="3">
    <cellStyle name="Moned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image" Target="../media/image10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12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eg"/><Relationship Id="rId2" Type="http://schemas.openxmlformats.org/officeDocument/2006/relationships/image" Target="../media/image13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15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jpeg"/><Relationship Id="rId2" Type="http://schemas.openxmlformats.org/officeDocument/2006/relationships/image" Target="../media/image16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1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9</xdr:col>
      <xdr:colOff>0</xdr:colOff>
      <xdr:row>20</xdr:row>
      <xdr:rowOff>0</xdr:rowOff>
    </xdr:to>
    <xdr:pic>
      <xdr:nvPicPr>
        <xdr:cNvPr id="4" name="Imagen 3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647" y="470647"/>
          <a:ext cx="5334000" cy="3238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9</xdr:col>
      <xdr:colOff>0</xdr:colOff>
      <xdr:row>36</xdr:row>
      <xdr:rowOff>0</xdr:rowOff>
    </xdr:to>
    <xdr:pic>
      <xdr:nvPicPr>
        <xdr:cNvPr id="6" name="Imagen 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647" y="4269441"/>
          <a:ext cx="5334000" cy="228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335281</xdr:colOff>
      <xdr:row>13</xdr:row>
      <xdr:rowOff>0</xdr:rowOff>
    </xdr:from>
    <xdr:ext cx="153866" cy="196464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EE56AF1-9D67-421F-B207-5429EFB74E2F}"/>
            </a:ext>
          </a:extLst>
        </xdr:cNvPr>
        <xdr:cNvSpPr txBox="1"/>
      </xdr:nvSpPr>
      <xdr:spPr>
        <a:xfrm>
          <a:off x="4821556" y="2571750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318954</xdr:colOff>
      <xdr:row>53</xdr:row>
      <xdr:rowOff>69668</xdr:rowOff>
    </xdr:from>
    <xdr:to>
      <xdr:col>8</xdr:col>
      <xdr:colOff>293916</xdr:colOff>
      <xdr:row>55</xdr:row>
      <xdr:rowOff>1017814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A7941A-2CBF-4A4C-A328-E8A591425E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479" y="10299518"/>
          <a:ext cx="3518262" cy="1367246"/>
        </a:xfrm>
        <a:prstGeom prst="rect">
          <a:avLst/>
        </a:prstGeom>
      </xdr:spPr>
    </xdr:pic>
    <xdr:clientData/>
  </xdr:twoCellAnchor>
  <xdr:oneCellAnchor>
    <xdr:from>
      <xdr:col>3</xdr:col>
      <xdr:colOff>403127</xdr:colOff>
      <xdr:row>51</xdr:row>
      <xdr:rowOff>397957</xdr:rowOff>
    </xdr:from>
    <xdr:ext cx="971571" cy="2692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19 CuadroTexto"/>
            <xdr:cNvSpPr txBox="1"/>
          </xdr:nvSpPr>
          <xdr:spPr>
            <a:xfrm>
              <a:off x="1355627" y="9561007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𝑸𝒊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5" name="19 CuadroTexto"/>
            <xdr:cNvSpPr txBox="1"/>
          </xdr:nvSpPr>
          <xdr:spPr>
            <a:xfrm>
              <a:off x="1355627" y="9561007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𝑸𝒊=𝑨𝒊∗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185307</xdr:colOff>
      <xdr:row>51</xdr:row>
      <xdr:rowOff>320459</xdr:rowOff>
    </xdr:from>
    <xdr:ext cx="1857376" cy="420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20 CuadroTexto"/>
            <xdr:cNvSpPr txBox="1"/>
          </xdr:nvSpPr>
          <xdr:spPr>
            <a:xfrm>
              <a:off x="3738132" y="9483509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𝑩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20 CuadroTexto"/>
            <xdr:cNvSpPr txBox="1"/>
          </xdr:nvSpPr>
          <xdr:spPr>
            <a:xfrm>
              <a:off x="3738132" y="9483509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𝑨𝒊=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(〖(𝒉〗_𝒊+𝒉_(𝒊+𝟏 ))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𝑩)/𝟐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10</xdr:col>
      <xdr:colOff>422095</xdr:colOff>
      <xdr:row>51</xdr:row>
      <xdr:rowOff>27002</xdr:rowOff>
    </xdr:from>
    <xdr:ext cx="2933700" cy="4092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21 CuadroTexto"/>
            <xdr:cNvSpPr txBox="1"/>
          </xdr:nvSpPr>
          <xdr:spPr>
            <a:xfrm>
              <a:off x="4908370" y="9190052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𝟐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𝟒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7" name="21 CuadroTexto"/>
            <xdr:cNvSpPr txBox="1"/>
          </xdr:nvSpPr>
          <xdr:spPr>
            <a:xfrm>
              <a:off x="4908370" y="9190052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+𝟐∗𝑽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𝟒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276287</xdr:colOff>
      <xdr:row>51</xdr:row>
      <xdr:rowOff>18715</xdr:rowOff>
    </xdr:from>
    <xdr:ext cx="1055203" cy="4103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22 CuadroTexto"/>
            <xdr:cNvSpPr txBox="1"/>
          </xdr:nvSpPr>
          <xdr:spPr>
            <a:xfrm>
              <a:off x="7543862" y="9181765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𝑽</m:t>
                        </m:r>
                      </m:e>
                      <m: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𝒎𝒆𝒅𝒊𝒂</m:t>
                        </m:r>
                      </m:sub>
                    </m:sSub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𝑨𝒕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8" name="22 CuadroTexto"/>
            <xdr:cNvSpPr txBox="1"/>
          </xdr:nvSpPr>
          <xdr:spPr>
            <a:xfrm>
              <a:off x="7543862" y="9181765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𝒎𝒆𝒅𝒊𝒂=𝑸𝒕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𝑨𝒕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280349</xdr:colOff>
      <xdr:row>51</xdr:row>
      <xdr:rowOff>47061</xdr:rowOff>
    </xdr:from>
    <xdr:ext cx="4906839" cy="4165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21 CuadroTexto"/>
            <xdr:cNvSpPr txBox="1"/>
          </xdr:nvSpPr>
          <xdr:spPr>
            <a:xfrm>
              <a:off x="737549" y="9210111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𝒔𝒖𝒑𝒇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21 CuadroTexto"/>
            <xdr:cNvSpPr txBox="1"/>
          </xdr:nvSpPr>
          <xdr:spPr>
            <a:xfrm>
              <a:off x="737549" y="9210111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)+〖𝑽_(𝟎.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𝒔𝒖𝒑𝒇 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13</xdr:col>
      <xdr:colOff>166236</xdr:colOff>
      <xdr:row>51</xdr:row>
      <xdr:rowOff>319663</xdr:rowOff>
    </xdr:from>
    <xdr:ext cx="1279721" cy="3557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19 CuadroTexto"/>
            <xdr:cNvSpPr txBox="1"/>
          </xdr:nvSpPr>
          <xdr:spPr>
            <a:xfrm>
              <a:off x="6719436" y="9482713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𝑸</m:t>
                  </m:r>
                  <m:d>
                    <m:dPr>
                      <m:begChr m:val="["/>
                      <m:endChr m:val="]"/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%</m:t>
                      </m:r>
                    </m:e>
                  </m:d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𝑸𝒊</m:t>
                      </m:r>
                    </m:num>
                    <m:den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𝑸𝒕</m:t>
                      </m:r>
                    </m:den>
                  </m:f>
                </m:oMath>
              </a14:m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Choice>
      <mc:Fallback xmlns="">
        <xdr:sp macro="" textlink="">
          <xdr:nvSpPr>
            <xdr:cNvPr id="10" name="19 CuadroTexto"/>
            <xdr:cNvSpPr txBox="1"/>
          </xdr:nvSpPr>
          <xdr:spPr>
            <a:xfrm>
              <a:off x="6719436" y="9482713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[%]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𝑸𝒊/𝑸𝒕</a:t>
              </a:r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Fallback>
    </mc:AlternateContent>
    <xdr:clientData/>
  </xdr:oneCellAnchor>
  <xdr:oneCellAnchor>
    <xdr:from>
      <xdr:col>14</xdr:col>
      <xdr:colOff>777240</xdr:colOff>
      <xdr:row>58</xdr:row>
      <xdr:rowOff>0</xdr:rowOff>
    </xdr:from>
    <xdr:ext cx="153866" cy="1964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2268200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100" b="1" i="1" baseline="0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100" b="1" i="0" baseline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2268200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1" i="0" baseline="0">
                  <a:latin typeface="Cambria Math" panose="02040503050406030204" pitchFamily="18" charset="0"/>
                </a:rPr>
                <a:t>¯𝐕𝐢</a:t>
              </a:r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0</xdr:colOff>
      <xdr:row>12</xdr:row>
      <xdr:rowOff>0</xdr:rowOff>
    </xdr:from>
    <xdr:ext cx="169469" cy="196464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457200" y="2257425"/>
          <a:ext cx="169469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335281</xdr:colOff>
      <xdr:row>13</xdr:row>
      <xdr:rowOff>0</xdr:rowOff>
    </xdr:from>
    <xdr:ext cx="153866" cy="196464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7EE56AF1-9D67-421F-B207-5429EFB74E2F}"/>
            </a:ext>
          </a:extLst>
        </xdr:cNvPr>
        <xdr:cNvSpPr txBox="1"/>
      </xdr:nvSpPr>
      <xdr:spPr>
        <a:xfrm>
          <a:off x="4821556" y="2571750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318954</xdr:colOff>
      <xdr:row>53</xdr:row>
      <xdr:rowOff>69668</xdr:rowOff>
    </xdr:from>
    <xdr:to>
      <xdr:col>8</xdr:col>
      <xdr:colOff>293916</xdr:colOff>
      <xdr:row>55</xdr:row>
      <xdr:rowOff>1017814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FA7941A-2CBF-4A4C-A328-E8A591425E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479" y="10299518"/>
          <a:ext cx="3518262" cy="1367246"/>
        </a:xfrm>
        <a:prstGeom prst="rect">
          <a:avLst/>
        </a:prstGeom>
      </xdr:spPr>
    </xdr:pic>
    <xdr:clientData/>
  </xdr:twoCellAnchor>
  <xdr:oneCellAnchor>
    <xdr:from>
      <xdr:col>3</xdr:col>
      <xdr:colOff>403127</xdr:colOff>
      <xdr:row>51</xdr:row>
      <xdr:rowOff>397957</xdr:rowOff>
    </xdr:from>
    <xdr:ext cx="971571" cy="2692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19 CuadroTexto"/>
            <xdr:cNvSpPr txBox="1"/>
          </xdr:nvSpPr>
          <xdr:spPr>
            <a:xfrm>
              <a:off x="1355627" y="9561007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𝑸𝒊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5" name="19 CuadroTexto"/>
            <xdr:cNvSpPr txBox="1"/>
          </xdr:nvSpPr>
          <xdr:spPr>
            <a:xfrm>
              <a:off x="1355627" y="9561007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𝑸𝒊=𝑨𝒊∗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185307</xdr:colOff>
      <xdr:row>51</xdr:row>
      <xdr:rowOff>320459</xdr:rowOff>
    </xdr:from>
    <xdr:ext cx="1857376" cy="420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20 CuadroTexto"/>
            <xdr:cNvSpPr txBox="1"/>
          </xdr:nvSpPr>
          <xdr:spPr>
            <a:xfrm>
              <a:off x="3738132" y="9483509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𝑩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20 CuadroTexto"/>
            <xdr:cNvSpPr txBox="1"/>
          </xdr:nvSpPr>
          <xdr:spPr>
            <a:xfrm>
              <a:off x="3738132" y="9483509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𝑨𝒊=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(〖(𝒉〗_𝒊+𝒉_(𝒊+𝟏 ))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𝑩)/𝟐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10</xdr:col>
      <xdr:colOff>422095</xdr:colOff>
      <xdr:row>51</xdr:row>
      <xdr:rowOff>27002</xdr:rowOff>
    </xdr:from>
    <xdr:ext cx="2933700" cy="4092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21 CuadroTexto"/>
            <xdr:cNvSpPr txBox="1"/>
          </xdr:nvSpPr>
          <xdr:spPr>
            <a:xfrm>
              <a:off x="4908370" y="9190052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𝟐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𝟒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7" name="21 CuadroTexto"/>
            <xdr:cNvSpPr txBox="1"/>
          </xdr:nvSpPr>
          <xdr:spPr>
            <a:xfrm>
              <a:off x="4908370" y="9190052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+𝟐∗𝑽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𝟒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276287</xdr:colOff>
      <xdr:row>51</xdr:row>
      <xdr:rowOff>18715</xdr:rowOff>
    </xdr:from>
    <xdr:ext cx="1055203" cy="4103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22 CuadroTexto"/>
            <xdr:cNvSpPr txBox="1"/>
          </xdr:nvSpPr>
          <xdr:spPr>
            <a:xfrm>
              <a:off x="7543862" y="9181765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𝑽</m:t>
                        </m:r>
                      </m:e>
                      <m: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𝒎𝒆𝒅𝒊𝒂</m:t>
                        </m:r>
                      </m:sub>
                    </m:sSub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𝑨𝒕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8" name="22 CuadroTexto"/>
            <xdr:cNvSpPr txBox="1"/>
          </xdr:nvSpPr>
          <xdr:spPr>
            <a:xfrm>
              <a:off x="7543862" y="9181765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𝒎𝒆𝒅𝒊𝒂=𝑸𝒕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𝑨𝒕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280349</xdr:colOff>
      <xdr:row>51</xdr:row>
      <xdr:rowOff>47061</xdr:rowOff>
    </xdr:from>
    <xdr:ext cx="4906839" cy="4165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/>
            <xdr:cNvSpPr txBox="1"/>
          </xdr:nvSpPr>
          <xdr:spPr>
            <a:xfrm>
              <a:off x="737549" y="9210111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𝒔𝒖𝒑𝒇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/>
            <xdr:cNvSpPr txBox="1"/>
          </xdr:nvSpPr>
          <xdr:spPr>
            <a:xfrm>
              <a:off x="737549" y="9210111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)+〖𝑽_(𝟎.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𝒔𝒖𝒑𝒇 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13</xdr:col>
      <xdr:colOff>166236</xdr:colOff>
      <xdr:row>51</xdr:row>
      <xdr:rowOff>319663</xdr:rowOff>
    </xdr:from>
    <xdr:ext cx="1279721" cy="3557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19 CuadroTexto"/>
            <xdr:cNvSpPr txBox="1"/>
          </xdr:nvSpPr>
          <xdr:spPr>
            <a:xfrm>
              <a:off x="6719436" y="9482713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𝑸</m:t>
                  </m:r>
                  <m:d>
                    <m:dPr>
                      <m:begChr m:val="["/>
                      <m:endChr m:val="]"/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%</m:t>
                      </m:r>
                    </m:e>
                  </m:d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𝑸𝒊</m:t>
                      </m:r>
                    </m:num>
                    <m:den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𝑸𝒕</m:t>
                      </m:r>
                    </m:den>
                  </m:f>
                </m:oMath>
              </a14:m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Choice>
      <mc:Fallback xmlns="">
        <xdr:sp macro="" textlink="">
          <xdr:nvSpPr>
            <xdr:cNvPr id="20" name="19 CuadroTexto"/>
            <xdr:cNvSpPr txBox="1"/>
          </xdr:nvSpPr>
          <xdr:spPr>
            <a:xfrm>
              <a:off x="6719436" y="9482713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[%]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𝑸𝒊/𝑸𝒕</a:t>
              </a:r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Fallback>
    </mc:AlternateContent>
    <xdr:clientData/>
  </xdr:oneCellAnchor>
  <xdr:oneCellAnchor>
    <xdr:from>
      <xdr:col>14</xdr:col>
      <xdr:colOff>777240</xdr:colOff>
      <xdr:row>58</xdr:row>
      <xdr:rowOff>0</xdr:rowOff>
    </xdr:from>
    <xdr:ext cx="153866" cy="1964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2268200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100" b="1" i="1" baseline="0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100" b="1" i="0" baseline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2268200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1" i="0" baseline="0">
                  <a:latin typeface="Cambria Math" panose="02040503050406030204" pitchFamily="18" charset="0"/>
                </a:rPr>
                <a:t>¯𝐕𝐢</a:t>
              </a:r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Fallback>
    </mc:AlternateContent>
    <xdr:clientData/>
  </xdr:oneCellAnchor>
  <xdr:twoCellAnchor editAs="oneCell">
    <xdr:from>
      <xdr:col>2</xdr:col>
      <xdr:colOff>266700</xdr:colOff>
      <xdr:row>61</xdr:row>
      <xdr:rowOff>47899</xdr:rowOff>
    </xdr:from>
    <xdr:to>
      <xdr:col>4</xdr:col>
      <xdr:colOff>373380</xdr:colOff>
      <xdr:row>61</xdr:row>
      <xdr:rowOff>1762725</xdr:rowOff>
    </xdr:to>
    <xdr:pic>
      <xdr:nvPicPr>
        <xdr:cNvPr id="22" name="Imagen 21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9674"/>
        <a:stretch/>
      </xdr:blipFill>
      <xdr:spPr>
        <a:xfrm>
          <a:off x="723900" y="12878074"/>
          <a:ext cx="1335405" cy="1714826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</xdr:colOff>
      <xdr:row>61</xdr:row>
      <xdr:rowOff>73141</xdr:rowOff>
    </xdr:from>
    <xdr:to>
      <xdr:col>15</xdr:col>
      <xdr:colOff>3198</xdr:colOff>
      <xdr:row>61</xdr:row>
      <xdr:rowOff>1733797</xdr:rowOff>
    </xdr:to>
    <xdr:pic>
      <xdr:nvPicPr>
        <xdr:cNvPr id="23" name="Imagen 22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8616"/>
        <a:stretch/>
      </xdr:blipFill>
      <xdr:spPr>
        <a:xfrm>
          <a:off x="6560820" y="12903316"/>
          <a:ext cx="1491003" cy="1660656"/>
        </a:xfrm>
        <a:prstGeom prst="rect">
          <a:avLst/>
        </a:prstGeom>
      </xdr:spPr>
    </xdr:pic>
    <xdr:clientData/>
  </xdr:twoCellAnchor>
  <xdr:twoCellAnchor>
    <xdr:from>
      <xdr:col>8</xdr:col>
      <xdr:colOff>305259</xdr:colOff>
      <xdr:row>61</xdr:row>
      <xdr:rowOff>101830</xdr:rowOff>
    </xdr:from>
    <xdr:to>
      <xdr:col>10</xdr:col>
      <xdr:colOff>266240</xdr:colOff>
      <xdr:row>61</xdr:row>
      <xdr:rowOff>1739343</xdr:rowOff>
    </xdr:to>
    <xdr:pic>
      <xdr:nvPicPr>
        <xdr:cNvPr id="24" name="Imagen 23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8084" y="12932005"/>
          <a:ext cx="894431" cy="1637513"/>
        </a:xfrm>
        <a:prstGeom prst="rect">
          <a:avLst/>
        </a:prstGeom>
      </xdr:spPr>
    </xdr:pic>
    <xdr:clientData/>
  </xdr:twoCellAnchor>
  <xdr:oneCellAnchor>
    <xdr:from>
      <xdr:col>14</xdr:col>
      <xdr:colOff>777240</xdr:colOff>
      <xdr:row>58</xdr:row>
      <xdr:rowOff>0</xdr:rowOff>
    </xdr:from>
    <xdr:ext cx="153866" cy="1964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2268200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100" b="1" i="1" baseline="0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100" b="1" i="0" baseline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2268200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1" i="0" baseline="0">
                  <a:latin typeface="Cambria Math" panose="02040503050406030204" pitchFamily="18" charset="0"/>
                </a:rPr>
                <a:t>¯𝐕𝐢</a:t>
              </a:r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Fallback>
    </mc:AlternateContent>
    <xdr:clientData/>
  </xdr:oneCellAnchor>
  <xdr:twoCellAnchor>
    <xdr:from>
      <xdr:col>14</xdr:col>
      <xdr:colOff>89623</xdr:colOff>
      <xdr:row>61</xdr:row>
      <xdr:rowOff>1234440</xdr:rowOff>
    </xdr:from>
    <xdr:to>
      <xdr:col>14</xdr:col>
      <xdr:colOff>548640</xdr:colOff>
      <xdr:row>61</xdr:row>
      <xdr:rowOff>1391194</xdr:rowOff>
    </xdr:to>
    <xdr:cxnSp macro="">
      <xdr:nvCxnSpPr>
        <xdr:cNvPr id="26" name="Conector recto de flecha 25"/>
        <xdr:cNvCxnSpPr>
          <a:stCxn id="27" idx="0"/>
        </xdr:cNvCxnSpPr>
      </xdr:nvCxnSpPr>
      <xdr:spPr>
        <a:xfrm flipV="1">
          <a:off x="7357198" y="14064615"/>
          <a:ext cx="459017" cy="1567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388620</xdr:colOff>
      <xdr:row>61</xdr:row>
      <xdr:rowOff>1391194</xdr:rowOff>
    </xdr:from>
    <xdr:to>
      <xdr:col>14</xdr:col>
      <xdr:colOff>522145</xdr:colOff>
      <xdr:row>61</xdr:row>
      <xdr:rowOff>1608754</xdr:rowOff>
    </xdr:to>
    <xdr:sp macro="" textlink="">
      <xdr:nvSpPr>
        <xdr:cNvPr id="27" name="CuadroTexto 26"/>
        <xdr:cNvSpPr txBox="1"/>
      </xdr:nvSpPr>
      <xdr:spPr>
        <a:xfrm>
          <a:off x="6941820" y="14221369"/>
          <a:ext cx="847900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s-MX" sz="800">
              <a:solidFill>
                <a:srgbClr val="C00000"/>
              </a:solidFill>
            </a:rPr>
            <a:t>Sentido del flujo</a:t>
          </a:r>
        </a:p>
      </xdr:txBody>
    </xdr:sp>
    <xdr:clientData/>
  </xdr:twoCellAnchor>
  <xdr:twoCellAnchor>
    <xdr:from>
      <xdr:col>2</xdr:col>
      <xdr:colOff>356323</xdr:colOff>
      <xdr:row>61</xdr:row>
      <xdr:rowOff>990600</xdr:rowOff>
    </xdr:from>
    <xdr:to>
      <xdr:col>3</xdr:col>
      <xdr:colOff>411480</xdr:colOff>
      <xdr:row>61</xdr:row>
      <xdr:rowOff>1109254</xdr:rowOff>
    </xdr:to>
    <xdr:cxnSp macro="">
      <xdr:nvCxnSpPr>
        <xdr:cNvPr id="28" name="Conector recto de flecha 27"/>
        <xdr:cNvCxnSpPr/>
      </xdr:nvCxnSpPr>
      <xdr:spPr>
        <a:xfrm flipV="1">
          <a:off x="813523" y="13820775"/>
          <a:ext cx="550457" cy="1186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304800</xdr:colOff>
      <xdr:row>61</xdr:row>
      <xdr:rowOff>1055914</xdr:rowOff>
    </xdr:from>
    <xdr:to>
      <xdr:col>3</xdr:col>
      <xdr:colOff>659305</xdr:colOff>
      <xdr:row>61</xdr:row>
      <xdr:rowOff>1273474</xdr:rowOff>
    </xdr:to>
    <xdr:sp macro="" textlink="">
      <xdr:nvSpPr>
        <xdr:cNvPr id="29" name="CuadroTexto 28"/>
        <xdr:cNvSpPr txBox="1"/>
      </xdr:nvSpPr>
      <xdr:spPr>
        <a:xfrm>
          <a:off x="762000" y="13886089"/>
          <a:ext cx="84980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s-MX" sz="800">
              <a:solidFill>
                <a:srgbClr val="C00000"/>
              </a:solidFill>
            </a:rPr>
            <a:t>Sentido del flujo</a:t>
          </a:r>
        </a:p>
      </xdr:txBody>
    </xdr:sp>
    <xdr:clientData/>
  </xdr:twoCellAnchor>
  <xdr:twoCellAnchor editAs="oneCell">
    <xdr:from>
      <xdr:col>1</xdr:col>
      <xdr:colOff>104775</xdr:colOff>
      <xdr:row>1</xdr:row>
      <xdr:rowOff>15062</xdr:rowOff>
    </xdr:from>
    <xdr:to>
      <xdr:col>3</xdr:col>
      <xdr:colOff>657225</xdr:colOff>
      <xdr:row>2</xdr:row>
      <xdr:rowOff>242545</xdr:rowOff>
    </xdr:to>
    <xdr:pic>
      <xdr:nvPicPr>
        <xdr:cNvPr id="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14300" y="72212"/>
          <a:ext cx="1495425" cy="60848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451791</xdr:colOff>
      <xdr:row>1</xdr:row>
      <xdr:rowOff>38100</xdr:rowOff>
    </xdr:from>
    <xdr:to>
      <xdr:col>15</xdr:col>
      <xdr:colOff>341018</xdr:colOff>
      <xdr:row>2</xdr:row>
      <xdr:rowOff>219075</xdr:rowOff>
    </xdr:to>
    <xdr:pic>
      <xdr:nvPicPr>
        <xdr:cNvPr id="3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719366" y="95250"/>
          <a:ext cx="670277" cy="5619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11</xdr:row>
      <xdr:rowOff>0</xdr:rowOff>
    </xdr:from>
    <xdr:ext cx="169469" cy="196464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2724150" y="2038350"/>
          <a:ext cx="169469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335281</xdr:colOff>
      <xdr:row>13</xdr:row>
      <xdr:rowOff>0</xdr:rowOff>
    </xdr:from>
    <xdr:ext cx="153866" cy="196464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7EE56AF1-9D67-421F-B207-5429EFB74E2F}"/>
            </a:ext>
          </a:extLst>
        </xdr:cNvPr>
        <xdr:cNvSpPr txBox="1"/>
      </xdr:nvSpPr>
      <xdr:spPr>
        <a:xfrm>
          <a:off x="4821556" y="2571750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68581</xdr:colOff>
      <xdr:row>65</xdr:row>
      <xdr:rowOff>91440</xdr:rowOff>
    </xdr:from>
    <xdr:to>
      <xdr:col>8</xdr:col>
      <xdr:colOff>388620</xdr:colOff>
      <xdr:row>68</xdr:row>
      <xdr:rowOff>60688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FA7941A-2CBF-4A4C-A328-E8A591425E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6" y="12350115"/>
          <a:ext cx="3863339" cy="1617073"/>
        </a:xfrm>
        <a:prstGeom prst="rect">
          <a:avLst/>
        </a:prstGeom>
      </xdr:spPr>
    </xdr:pic>
    <xdr:clientData/>
  </xdr:twoCellAnchor>
  <xdr:oneCellAnchor>
    <xdr:from>
      <xdr:col>13</xdr:col>
      <xdr:colOff>294270</xdr:colOff>
      <xdr:row>63</xdr:row>
      <xdr:rowOff>104043</xdr:rowOff>
    </xdr:from>
    <xdr:ext cx="971571" cy="2692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19 CuadroTexto"/>
            <xdr:cNvSpPr txBox="1"/>
          </xdr:nvSpPr>
          <xdr:spPr>
            <a:xfrm>
              <a:off x="6847470" y="11295918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𝑸𝒊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19 CuadroTexto"/>
            <xdr:cNvSpPr txBox="1"/>
          </xdr:nvSpPr>
          <xdr:spPr>
            <a:xfrm>
              <a:off x="6847470" y="11295918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𝑸𝒊=𝑨𝒊∗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163536</xdr:colOff>
      <xdr:row>63</xdr:row>
      <xdr:rowOff>440202</xdr:rowOff>
    </xdr:from>
    <xdr:ext cx="1857376" cy="420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20 CuadroTexto"/>
            <xdr:cNvSpPr txBox="1"/>
          </xdr:nvSpPr>
          <xdr:spPr>
            <a:xfrm>
              <a:off x="3716361" y="11632077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𝑩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7" name="20 CuadroTexto"/>
            <xdr:cNvSpPr txBox="1"/>
          </xdr:nvSpPr>
          <xdr:spPr>
            <a:xfrm>
              <a:off x="3716361" y="11632077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𝑨𝒊=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(〖(𝒉〗_𝒊+𝒉_(𝒊+𝟏 ))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𝑩)/𝟐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</xdr:col>
      <xdr:colOff>367666</xdr:colOff>
      <xdr:row>63</xdr:row>
      <xdr:rowOff>473320</xdr:rowOff>
    </xdr:from>
    <xdr:ext cx="2933700" cy="4092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21 CuadroTexto"/>
            <xdr:cNvSpPr txBox="1"/>
          </xdr:nvSpPr>
          <xdr:spPr>
            <a:xfrm>
              <a:off x="377191" y="11665195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𝟐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𝟒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8" name="21 CuadroTexto"/>
            <xdr:cNvSpPr txBox="1"/>
          </xdr:nvSpPr>
          <xdr:spPr>
            <a:xfrm>
              <a:off x="377191" y="11665195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+𝟐∗𝑽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𝟒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11</xdr:col>
      <xdr:colOff>69459</xdr:colOff>
      <xdr:row>63</xdr:row>
      <xdr:rowOff>29601</xdr:rowOff>
    </xdr:from>
    <xdr:ext cx="1055203" cy="4103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22 CuadroTexto"/>
            <xdr:cNvSpPr txBox="1"/>
          </xdr:nvSpPr>
          <xdr:spPr>
            <a:xfrm>
              <a:off x="5355834" y="11221476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𝑽</m:t>
                        </m:r>
                      </m:e>
                      <m: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𝒎𝒆𝒅𝒊𝒂</m:t>
                        </m:r>
                      </m:sub>
                    </m:sSub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𝑨𝒕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22 CuadroTexto"/>
            <xdr:cNvSpPr txBox="1"/>
          </xdr:nvSpPr>
          <xdr:spPr>
            <a:xfrm>
              <a:off x="5355834" y="11221476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𝒎𝒆𝒅𝒊𝒂=𝑸𝒕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𝑨𝒕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280349</xdr:colOff>
      <xdr:row>63</xdr:row>
      <xdr:rowOff>57947</xdr:rowOff>
    </xdr:from>
    <xdr:ext cx="4906839" cy="4165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21 CuadroTexto"/>
            <xdr:cNvSpPr txBox="1"/>
          </xdr:nvSpPr>
          <xdr:spPr>
            <a:xfrm>
              <a:off x="737549" y="11249822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𝒔𝒖𝒑𝒇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0" name="21 CuadroTexto"/>
            <xdr:cNvSpPr txBox="1"/>
          </xdr:nvSpPr>
          <xdr:spPr>
            <a:xfrm>
              <a:off x="737549" y="11249822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)+〖𝑽_(𝟎.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𝒔𝒖𝒑𝒇 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13</xdr:col>
      <xdr:colOff>318636</xdr:colOff>
      <xdr:row>63</xdr:row>
      <xdr:rowOff>482949</xdr:rowOff>
    </xdr:from>
    <xdr:ext cx="1279721" cy="3557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19 CuadroTexto"/>
            <xdr:cNvSpPr txBox="1"/>
          </xdr:nvSpPr>
          <xdr:spPr>
            <a:xfrm>
              <a:off x="6871836" y="11674824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𝑸</m:t>
                  </m:r>
                  <m:d>
                    <m:dPr>
                      <m:begChr m:val="["/>
                      <m:endChr m:val="]"/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%</m:t>
                      </m:r>
                    </m:e>
                  </m:d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𝑸𝒊</m:t>
                      </m:r>
                    </m:num>
                    <m:den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𝑸𝒕</m:t>
                      </m:r>
                    </m:den>
                  </m:f>
                </m:oMath>
              </a14:m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Choice>
      <mc:Fallback xmlns="">
        <xdr:sp macro="" textlink="">
          <xdr:nvSpPr>
            <xdr:cNvPr id="11" name="19 CuadroTexto"/>
            <xdr:cNvSpPr txBox="1"/>
          </xdr:nvSpPr>
          <xdr:spPr>
            <a:xfrm>
              <a:off x="6871836" y="11674824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[%]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𝑸𝒊/𝑸𝒕</a:t>
              </a:r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Fallback>
    </mc:AlternateContent>
    <xdr:clientData/>
  </xdr:oneCellAnchor>
  <xdr:oneCellAnchor>
    <xdr:from>
      <xdr:col>14</xdr:col>
      <xdr:colOff>777240</xdr:colOff>
      <xdr:row>69</xdr:row>
      <xdr:rowOff>182888</xdr:rowOff>
    </xdr:from>
    <xdr:ext cx="153866" cy="1964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4279888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100" b="1" i="1" baseline="0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100" b="1" i="0" baseline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4279888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1" i="0" baseline="0">
                  <a:latin typeface="Cambria Math" panose="02040503050406030204" pitchFamily="18" charset="0"/>
                </a:rPr>
                <a:t>¯𝐕𝐢</a:t>
              </a:r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Fallback>
    </mc:AlternateContent>
    <xdr:clientData/>
  </xdr:oneCellAnchor>
  <xdr:twoCellAnchor editAs="oneCell">
    <xdr:from>
      <xdr:col>2</xdr:col>
      <xdr:colOff>389465</xdr:colOff>
      <xdr:row>73</xdr:row>
      <xdr:rowOff>36879</xdr:rowOff>
    </xdr:from>
    <xdr:to>
      <xdr:col>4</xdr:col>
      <xdr:colOff>414722</xdr:colOff>
      <xdr:row>73</xdr:row>
      <xdr:rowOff>1752600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615795" y="15126749"/>
          <a:ext cx="1715721" cy="1253982"/>
        </a:xfrm>
        <a:prstGeom prst="rect">
          <a:avLst/>
        </a:prstGeom>
      </xdr:spPr>
    </xdr:pic>
    <xdr:clientData/>
  </xdr:twoCellAnchor>
  <xdr:twoCellAnchor editAs="oneCell">
    <xdr:from>
      <xdr:col>7</xdr:col>
      <xdr:colOff>148167</xdr:colOff>
      <xdr:row>73</xdr:row>
      <xdr:rowOff>29633</xdr:rowOff>
    </xdr:from>
    <xdr:to>
      <xdr:col>11</xdr:col>
      <xdr:colOff>21166</xdr:colOff>
      <xdr:row>73</xdr:row>
      <xdr:rowOff>1744132</xdr:rowOff>
    </xdr:to>
    <xdr:pic>
      <xdr:nvPicPr>
        <xdr:cNvPr id="14" name="Imagen 1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9992" y="14888633"/>
          <a:ext cx="1987549" cy="1714499"/>
        </a:xfrm>
        <a:prstGeom prst="rect">
          <a:avLst/>
        </a:prstGeom>
      </xdr:spPr>
    </xdr:pic>
    <xdr:clientData/>
  </xdr:twoCellAnchor>
  <xdr:twoCellAnchor editAs="oneCell">
    <xdr:from>
      <xdr:col>12</xdr:col>
      <xdr:colOff>507999</xdr:colOff>
      <xdr:row>73</xdr:row>
      <xdr:rowOff>42334</xdr:rowOff>
    </xdr:from>
    <xdr:to>
      <xdr:col>15</xdr:col>
      <xdr:colOff>226481</xdr:colOff>
      <xdr:row>73</xdr:row>
      <xdr:rowOff>1744133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7774" y="14901334"/>
          <a:ext cx="1947332" cy="1701799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1</xdr:row>
      <xdr:rowOff>15062</xdr:rowOff>
    </xdr:from>
    <xdr:to>
      <xdr:col>3</xdr:col>
      <xdr:colOff>657225</xdr:colOff>
      <xdr:row>2</xdr:row>
      <xdr:rowOff>242545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14300" y="72212"/>
          <a:ext cx="1495425" cy="60848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451791</xdr:colOff>
      <xdr:row>1</xdr:row>
      <xdr:rowOff>38100</xdr:rowOff>
    </xdr:from>
    <xdr:to>
      <xdr:col>15</xdr:col>
      <xdr:colOff>341018</xdr:colOff>
      <xdr:row>2</xdr:row>
      <xdr:rowOff>219075</xdr:rowOff>
    </xdr:to>
    <xdr:pic>
      <xdr:nvPicPr>
        <xdr:cNvPr id="1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719366" y="95250"/>
          <a:ext cx="670277" cy="5619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11</xdr:row>
      <xdr:rowOff>0</xdr:rowOff>
    </xdr:from>
    <xdr:ext cx="169469" cy="196464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2724150" y="2038350"/>
          <a:ext cx="169469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335281</xdr:colOff>
      <xdr:row>13</xdr:row>
      <xdr:rowOff>0</xdr:rowOff>
    </xdr:from>
    <xdr:ext cx="153866" cy="196464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7EE56AF1-9D67-421F-B207-5429EFB74E2F}"/>
            </a:ext>
          </a:extLst>
        </xdr:cNvPr>
        <xdr:cNvSpPr txBox="1"/>
      </xdr:nvSpPr>
      <xdr:spPr>
        <a:xfrm>
          <a:off x="4821556" y="2571750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68581</xdr:colOff>
      <xdr:row>62</xdr:row>
      <xdr:rowOff>91440</xdr:rowOff>
    </xdr:from>
    <xdr:to>
      <xdr:col>8</xdr:col>
      <xdr:colOff>388620</xdr:colOff>
      <xdr:row>65</xdr:row>
      <xdr:rowOff>55246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FA7941A-2CBF-4A4C-A328-E8A591425E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6" y="11845290"/>
          <a:ext cx="3863339" cy="1611631"/>
        </a:xfrm>
        <a:prstGeom prst="rect">
          <a:avLst/>
        </a:prstGeom>
      </xdr:spPr>
    </xdr:pic>
    <xdr:clientData/>
  </xdr:twoCellAnchor>
  <xdr:oneCellAnchor>
    <xdr:from>
      <xdr:col>13</xdr:col>
      <xdr:colOff>294270</xdr:colOff>
      <xdr:row>60</xdr:row>
      <xdr:rowOff>104043</xdr:rowOff>
    </xdr:from>
    <xdr:ext cx="971571" cy="2692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19 CuadroTexto"/>
            <xdr:cNvSpPr txBox="1"/>
          </xdr:nvSpPr>
          <xdr:spPr>
            <a:xfrm>
              <a:off x="6847470" y="10791093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𝑸𝒊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19 CuadroTexto"/>
            <xdr:cNvSpPr txBox="1"/>
          </xdr:nvSpPr>
          <xdr:spPr>
            <a:xfrm>
              <a:off x="6847470" y="10791093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𝑸𝒊=𝑨𝒊∗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163536</xdr:colOff>
      <xdr:row>60</xdr:row>
      <xdr:rowOff>440202</xdr:rowOff>
    </xdr:from>
    <xdr:ext cx="1857376" cy="420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20 CuadroTexto"/>
            <xdr:cNvSpPr txBox="1"/>
          </xdr:nvSpPr>
          <xdr:spPr>
            <a:xfrm>
              <a:off x="3716361" y="11127252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𝑩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7" name="20 CuadroTexto"/>
            <xdr:cNvSpPr txBox="1"/>
          </xdr:nvSpPr>
          <xdr:spPr>
            <a:xfrm>
              <a:off x="3716361" y="11127252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𝑨𝒊=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(〖(𝒉〗_𝒊+𝒉_(𝒊+𝟏 ))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𝑩)/𝟐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</xdr:col>
      <xdr:colOff>367666</xdr:colOff>
      <xdr:row>60</xdr:row>
      <xdr:rowOff>473320</xdr:rowOff>
    </xdr:from>
    <xdr:ext cx="2933700" cy="4092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21 CuadroTexto"/>
            <xdr:cNvSpPr txBox="1"/>
          </xdr:nvSpPr>
          <xdr:spPr>
            <a:xfrm>
              <a:off x="377191" y="11160370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𝟐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𝟒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8" name="21 CuadroTexto"/>
            <xdr:cNvSpPr txBox="1"/>
          </xdr:nvSpPr>
          <xdr:spPr>
            <a:xfrm>
              <a:off x="377191" y="11160370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+𝟐∗𝑽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𝟒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11</xdr:col>
      <xdr:colOff>69459</xdr:colOff>
      <xdr:row>60</xdr:row>
      <xdr:rowOff>29601</xdr:rowOff>
    </xdr:from>
    <xdr:ext cx="1055203" cy="4103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22 CuadroTexto"/>
            <xdr:cNvSpPr txBox="1"/>
          </xdr:nvSpPr>
          <xdr:spPr>
            <a:xfrm>
              <a:off x="5355834" y="10716651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𝑽</m:t>
                        </m:r>
                      </m:e>
                      <m: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𝒎𝒆𝒅𝒊𝒂</m:t>
                        </m:r>
                      </m:sub>
                    </m:sSub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𝑨𝒕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22 CuadroTexto"/>
            <xdr:cNvSpPr txBox="1"/>
          </xdr:nvSpPr>
          <xdr:spPr>
            <a:xfrm>
              <a:off x="5355834" y="10716651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𝒎𝒆𝒅𝒊𝒂=𝑸𝒕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𝑨𝒕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280349</xdr:colOff>
      <xdr:row>60</xdr:row>
      <xdr:rowOff>57947</xdr:rowOff>
    </xdr:from>
    <xdr:ext cx="4906839" cy="4165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21 CuadroTexto"/>
            <xdr:cNvSpPr txBox="1"/>
          </xdr:nvSpPr>
          <xdr:spPr>
            <a:xfrm>
              <a:off x="737549" y="10744997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𝒔𝒖𝒑𝒇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0" name="21 CuadroTexto"/>
            <xdr:cNvSpPr txBox="1"/>
          </xdr:nvSpPr>
          <xdr:spPr>
            <a:xfrm>
              <a:off x="737549" y="10744997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)+〖𝑽_(𝟎.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𝒔𝒖𝒑𝒇 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13</xdr:col>
      <xdr:colOff>318636</xdr:colOff>
      <xdr:row>60</xdr:row>
      <xdr:rowOff>482949</xdr:rowOff>
    </xdr:from>
    <xdr:ext cx="1279721" cy="3557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19 CuadroTexto"/>
            <xdr:cNvSpPr txBox="1"/>
          </xdr:nvSpPr>
          <xdr:spPr>
            <a:xfrm>
              <a:off x="6871836" y="11169999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𝑸</m:t>
                  </m:r>
                  <m:d>
                    <m:dPr>
                      <m:begChr m:val="["/>
                      <m:endChr m:val="]"/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%</m:t>
                      </m:r>
                    </m:e>
                  </m:d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𝑸𝒊</m:t>
                      </m:r>
                    </m:num>
                    <m:den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𝑸𝒕</m:t>
                      </m:r>
                    </m:den>
                  </m:f>
                </m:oMath>
              </a14:m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Choice>
      <mc:Fallback xmlns="">
        <xdr:sp macro="" textlink="">
          <xdr:nvSpPr>
            <xdr:cNvPr id="11" name="19 CuadroTexto"/>
            <xdr:cNvSpPr txBox="1"/>
          </xdr:nvSpPr>
          <xdr:spPr>
            <a:xfrm>
              <a:off x="6871836" y="11169999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[%]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𝑸𝒊/𝑸𝒕</a:t>
              </a:r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Fallback>
    </mc:AlternateContent>
    <xdr:clientData/>
  </xdr:oneCellAnchor>
  <xdr:oneCellAnchor>
    <xdr:from>
      <xdr:col>14</xdr:col>
      <xdr:colOff>777240</xdr:colOff>
      <xdr:row>66</xdr:row>
      <xdr:rowOff>191354</xdr:rowOff>
    </xdr:from>
    <xdr:ext cx="153866" cy="1964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3783529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100" b="1" i="1" baseline="0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100" b="1" i="0" baseline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3783529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1" i="0" baseline="0">
                  <a:latin typeface="Cambria Math" panose="02040503050406030204" pitchFamily="18" charset="0"/>
                </a:rPr>
                <a:t>¯𝐕𝐢</a:t>
              </a:r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Fallback>
    </mc:AlternateContent>
    <xdr:clientData/>
  </xdr:oneCellAnchor>
  <xdr:twoCellAnchor editAs="oneCell">
    <xdr:from>
      <xdr:col>12</xdr:col>
      <xdr:colOff>645583</xdr:colOff>
      <xdr:row>70</xdr:row>
      <xdr:rowOff>58737</xdr:rowOff>
    </xdr:from>
    <xdr:to>
      <xdr:col>15</xdr:col>
      <xdr:colOff>243417</xdr:colOff>
      <xdr:row>70</xdr:row>
      <xdr:rowOff>1670050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65358" y="14412912"/>
          <a:ext cx="1826684" cy="1611313"/>
        </a:xfrm>
        <a:prstGeom prst="rect">
          <a:avLst/>
        </a:prstGeom>
      </xdr:spPr>
    </xdr:pic>
    <xdr:clientData/>
  </xdr:twoCellAnchor>
  <xdr:twoCellAnchor editAs="oneCell">
    <xdr:from>
      <xdr:col>1</xdr:col>
      <xdr:colOff>465666</xdr:colOff>
      <xdr:row>70</xdr:row>
      <xdr:rowOff>40214</xdr:rowOff>
    </xdr:from>
    <xdr:to>
      <xdr:col>5</xdr:col>
      <xdr:colOff>306917</xdr:colOff>
      <xdr:row>70</xdr:row>
      <xdr:rowOff>1754715</xdr:rowOff>
    </xdr:to>
    <xdr:pic>
      <xdr:nvPicPr>
        <xdr:cNvPr id="14" name="Imagen 1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141" y="14394389"/>
          <a:ext cx="1993901" cy="1714501"/>
        </a:xfrm>
        <a:prstGeom prst="rect">
          <a:avLst/>
        </a:prstGeom>
      </xdr:spPr>
    </xdr:pic>
    <xdr:clientData/>
  </xdr:twoCellAnchor>
  <xdr:twoCellAnchor editAs="oneCell">
    <xdr:from>
      <xdr:col>8</xdr:col>
      <xdr:colOff>74084</xdr:colOff>
      <xdr:row>70</xdr:row>
      <xdr:rowOff>56091</xdr:rowOff>
    </xdr:from>
    <xdr:to>
      <xdr:col>11</xdr:col>
      <xdr:colOff>317499</xdr:colOff>
      <xdr:row>70</xdr:row>
      <xdr:rowOff>1722965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6909" y="14410266"/>
          <a:ext cx="1976965" cy="1666874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1</xdr:row>
      <xdr:rowOff>15062</xdr:rowOff>
    </xdr:from>
    <xdr:to>
      <xdr:col>3</xdr:col>
      <xdr:colOff>657225</xdr:colOff>
      <xdr:row>2</xdr:row>
      <xdr:rowOff>242545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14300" y="72212"/>
          <a:ext cx="1495425" cy="60848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451791</xdr:colOff>
      <xdr:row>1</xdr:row>
      <xdr:rowOff>38100</xdr:rowOff>
    </xdr:from>
    <xdr:to>
      <xdr:col>15</xdr:col>
      <xdr:colOff>341018</xdr:colOff>
      <xdr:row>2</xdr:row>
      <xdr:rowOff>219075</xdr:rowOff>
    </xdr:to>
    <xdr:pic>
      <xdr:nvPicPr>
        <xdr:cNvPr id="1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719366" y="95250"/>
          <a:ext cx="670277" cy="5619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11</xdr:row>
      <xdr:rowOff>0</xdr:rowOff>
    </xdr:from>
    <xdr:ext cx="169469" cy="196464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2724150" y="2038350"/>
          <a:ext cx="169469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335281</xdr:colOff>
      <xdr:row>13</xdr:row>
      <xdr:rowOff>0</xdr:rowOff>
    </xdr:from>
    <xdr:ext cx="153866" cy="196464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7EE56AF1-9D67-421F-B207-5429EFB74E2F}"/>
            </a:ext>
          </a:extLst>
        </xdr:cNvPr>
        <xdr:cNvSpPr txBox="1"/>
      </xdr:nvSpPr>
      <xdr:spPr>
        <a:xfrm>
          <a:off x="4821556" y="2571750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68581</xdr:colOff>
      <xdr:row>62</xdr:row>
      <xdr:rowOff>91440</xdr:rowOff>
    </xdr:from>
    <xdr:to>
      <xdr:col>8</xdr:col>
      <xdr:colOff>388620</xdr:colOff>
      <xdr:row>65</xdr:row>
      <xdr:rowOff>53129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FA7941A-2CBF-4A4C-A328-E8A591425E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6" y="11835765"/>
          <a:ext cx="3863339" cy="1609514"/>
        </a:xfrm>
        <a:prstGeom prst="rect">
          <a:avLst/>
        </a:prstGeom>
      </xdr:spPr>
    </xdr:pic>
    <xdr:clientData/>
  </xdr:twoCellAnchor>
  <xdr:oneCellAnchor>
    <xdr:from>
      <xdr:col>13</xdr:col>
      <xdr:colOff>294270</xdr:colOff>
      <xdr:row>60</xdr:row>
      <xdr:rowOff>104043</xdr:rowOff>
    </xdr:from>
    <xdr:ext cx="971571" cy="2692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19 CuadroTexto"/>
            <xdr:cNvSpPr txBox="1"/>
          </xdr:nvSpPr>
          <xdr:spPr>
            <a:xfrm>
              <a:off x="6847470" y="10781568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𝑸𝒊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19 CuadroTexto"/>
            <xdr:cNvSpPr txBox="1"/>
          </xdr:nvSpPr>
          <xdr:spPr>
            <a:xfrm>
              <a:off x="6847470" y="10781568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𝑸𝒊=𝑨𝒊∗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163536</xdr:colOff>
      <xdr:row>60</xdr:row>
      <xdr:rowOff>440202</xdr:rowOff>
    </xdr:from>
    <xdr:ext cx="1857376" cy="420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20 CuadroTexto"/>
            <xdr:cNvSpPr txBox="1"/>
          </xdr:nvSpPr>
          <xdr:spPr>
            <a:xfrm>
              <a:off x="3716361" y="11117727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𝑩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7" name="20 CuadroTexto"/>
            <xdr:cNvSpPr txBox="1"/>
          </xdr:nvSpPr>
          <xdr:spPr>
            <a:xfrm>
              <a:off x="3716361" y="11117727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𝑨𝒊=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(〖(𝒉〗_𝒊+𝒉_(𝒊+𝟏 ))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𝑩)/𝟐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</xdr:col>
      <xdr:colOff>367666</xdr:colOff>
      <xdr:row>60</xdr:row>
      <xdr:rowOff>473320</xdr:rowOff>
    </xdr:from>
    <xdr:ext cx="2933700" cy="4092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21 CuadroTexto"/>
            <xdr:cNvSpPr txBox="1"/>
          </xdr:nvSpPr>
          <xdr:spPr>
            <a:xfrm>
              <a:off x="377191" y="11150845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𝟐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𝟒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8" name="21 CuadroTexto"/>
            <xdr:cNvSpPr txBox="1"/>
          </xdr:nvSpPr>
          <xdr:spPr>
            <a:xfrm>
              <a:off x="377191" y="11150845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+𝟐∗𝑽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𝟒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11</xdr:col>
      <xdr:colOff>69459</xdr:colOff>
      <xdr:row>60</xdr:row>
      <xdr:rowOff>29601</xdr:rowOff>
    </xdr:from>
    <xdr:ext cx="1055203" cy="4103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22 CuadroTexto"/>
            <xdr:cNvSpPr txBox="1"/>
          </xdr:nvSpPr>
          <xdr:spPr>
            <a:xfrm>
              <a:off x="5355834" y="10707126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𝑽</m:t>
                        </m:r>
                      </m:e>
                      <m: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𝒎𝒆𝒅𝒊𝒂</m:t>
                        </m:r>
                      </m:sub>
                    </m:sSub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𝑨𝒕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22 CuadroTexto"/>
            <xdr:cNvSpPr txBox="1"/>
          </xdr:nvSpPr>
          <xdr:spPr>
            <a:xfrm>
              <a:off x="5355834" y="10707126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𝒎𝒆𝒅𝒊𝒂=𝑸𝒕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𝑨𝒕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280349</xdr:colOff>
      <xdr:row>60</xdr:row>
      <xdr:rowOff>57947</xdr:rowOff>
    </xdr:from>
    <xdr:ext cx="4906839" cy="4165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21 CuadroTexto"/>
            <xdr:cNvSpPr txBox="1"/>
          </xdr:nvSpPr>
          <xdr:spPr>
            <a:xfrm>
              <a:off x="737549" y="10735472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𝒔𝒖𝒑𝒇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0" name="21 CuadroTexto"/>
            <xdr:cNvSpPr txBox="1"/>
          </xdr:nvSpPr>
          <xdr:spPr>
            <a:xfrm>
              <a:off x="737549" y="10735472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)+〖𝑽_(𝟎.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𝒔𝒖𝒑𝒇 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13</xdr:col>
      <xdr:colOff>318636</xdr:colOff>
      <xdr:row>60</xdr:row>
      <xdr:rowOff>482949</xdr:rowOff>
    </xdr:from>
    <xdr:ext cx="1279721" cy="3557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19 CuadroTexto"/>
            <xdr:cNvSpPr txBox="1"/>
          </xdr:nvSpPr>
          <xdr:spPr>
            <a:xfrm>
              <a:off x="6871836" y="11160474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𝑸</m:t>
                  </m:r>
                  <m:d>
                    <m:dPr>
                      <m:begChr m:val="["/>
                      <m:endChr m:val="]"/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%</m:t>
                      </m:r>
                    </m:e>
                  </m:d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𝑸𝒊</m:t>
                      </m:r>
                    </m:num>
                    <m:den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𝑸𝒕</m:t>
                      </m:r>
                    </m:den>
                  </m:f>
                </m:oMath>
              </a14:m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Choice>
      <mc:Fallback xmlns="">
        <xdr:sp macro="" textlink="">
          <xdr:nvSpPr>
            <xdr:cNvPr id="11" name="19 CuadroTexto"/>
            <xdr:cNvSpPr txBox="1"/>
          </xdr:nvSpPr>
          <xdr:spPr>
            <a:xfrm>
              <a:off x="6871836" y="11160474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[%]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𝑸𝒊/𝑸𝒕</a:t>
              </a:r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Fallback>
    </mc:AlternateContent>
    <xdr:clientData/>
  </xdr:oneCellAnchor>
  <xdr:oneCellAnchor>
    <xdr:from>
      <xdr:col>14</xdr:col>
      <xdr:colOff>777240</xdr:colOff>
      <xdr:row>66</xdr:row>
      <xdr:rowOff>191354</xdr:rowOff>
    </xdr:from>
    <xdr:ext cx="153866" cy="1964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3774004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100" b="1" i="1" baseline="0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100" b="1" i="0" baseline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3774004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1" i="0" baseline="0">
                  <a:latin typeface="Cambria Math" panose="02040503050406030204" pitchFamily="18" charset="0"/>
                </a:rPr>
                <a:t>¯𝐕𝐢</a:t>
              </a:r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Fallback>
    </mc:AlternateContent>
    <xdr:clientData/>
  </xdr:oneCellAnchor>
  <xdr:twoCellAnchor editAs="oneCell">
    <xdr:from>
      <xdr:col>12</xdr:col>
      <xdr:colOff>645583</xdr:colOff>
      <xdr:row>70</xdr:row>
      <xdr:rowOff>157956</xdr:rowOff>
    </xdr:from>
    <xdr:to>
      <xdr:col>15</xdr:col>
      <xdr:colOff>243417</xdr:colOff>
      <xdr:row>70</xdr:row>
      <xdr:rowOff>1570831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65358" y="14502606"/>
          <a:ext cx="1826684" cy="1412875"/>
        </a:xfrm>
        <a:prstGeom prst="rect">
          <a:avLst/>
        </a:prstGeom>
      </xdr:spPr>
    </xdr:pic>
    <xdr:clientData/>
  </xdr:twoCellAnchor>
  <xdr:twoCellAnchor editAs="oneCell">
    <xdr:from>
      <xdr:col>2</xdr:col>
      <xdr:colOff>378777</xdr:colOff>
      <xdr:row>70</xdr:row>
      <xdr:rowOff>40214</xdr:rowOff>
    </xdr:from>
    <xdr:to>
      <xdr:col>4</xdr:col>
      <xdr:colOff>403119</xdr:colOff>
      <xdr:row>70</xdr:row>
      <xdr:rowOff>1754715</xdr:rowOff>
    </xdr:to>
    <xdr:pic>
      <xdr:nvPicPr>
        <xdr:cNvPr id="14" name="Imagen 1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977" y="14384864"/>
          <a:ext cx="1253067" cy="1714501"/>
        </a:xfrm>
        <a:prstGeom prst="rect">
          <a:avLst/>
        </a:prstGeom>
      </xdr:spPr>
    </xdr:pic>
    <xdr:clientData/>
  </xdr:twoCellAnchor>
  <xdr:twoCellAnchor editAs="oneCell">
    <xdr:from>
      <xdr:col>8</xdr:col>
      <xdr:colOff>74084</xdr:colOff>
      <xdr:row>70</xdr:row>
      <xdr:rowOff>128323</xdr:rowOff>
    </xdr:from>
    <xdr:to>
      <xdr:col>11</xdr:col>
      <xdr:colOff>317499</xdr:colOff>
      <xdr:row>70</xdr:row>
      <xdr:rowOff>1650733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6909" y="14472973"/>
          <a:ext cx="1976965" cy="1522410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1</xdr:row>
      <xdr:rowOff>15062</xdr:rowOff>
    </xdr:from>
    <xdr:to>
      <xdr:col>3</xdr:col>
      <xdr:colOff>657225</xdr:colOff>
      <xdr:row>2</xdr:row>
      <xdr:rowOff>242545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14300" y="72212"/>
          <a:ext cx="1495425" cy="60848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451791</xdr:colOff>
      <xdr:row>1</xdr:row>
      <xdr:rowOff>38100</xdr:rowOff>
    </xdr:from>
    <xdr:to>
      <xdr:col>15</xdr:col>
      <xdr:colOff>341018</xdr:colOff>
      <xdr:row>2</xdr:row>
      <xdr:rowOff>219075</xdr:rowOff>
    </xdr:to>
    <xdr:pic>
      <xdr:nvPicPr>
        <xdr:cNvPr id="1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719366" y="95250"/>
          <a:ext cx="670277" cy="5619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7"/>
  <sheetViews>
    <sheetView zoomScale="85" zoomScaleNormal="85" workbookViewId="0">
      <selection activeCell="L7" sqref="L7"/>
    </sheetView>
  </sheetViews>
  <sheetFormatPr baseColWidth="10" defaultRowHeight="15" x14ac:dyDescent="0.25"/>
  <cols>
    <col min="2" max="2" width="1.28515625" customWidth="1"/>
    <col min="10" max="10" width="1.28515625" customWidth="1"/>
  </cols>
  <sheetData>
    <row r="2" spans="2:10" x14ac:dyDescent="0.25">
      <c r="B2" s="58" t="s">
        <v>39</v>
      </c>
      <c r="C2" s="58"/>
      <c r="D2" s="58"/>
      <c r="E2" s="58"/>
      <c r="F2" s="58"/>
      <c r="G2" s="58"/>
      <c r="H2" s="58"/>
      <c r="I2" s="58"/>
      <c r="J2" s="58"/>
    </row>
    <row r="3" spans="2:10" ht="6.75" customHeight="1" x14ac:dyDescent="0.25">
      <c r="B3" s="60"/>
      <c r="C3" s="61"/>
      <c r="D3" s="61"/>
      <c r="E3" s="61"/>
      <c r="F3" s="61"/>
      <c r="G3" s="61"/>
      <c r="H3" s="61"/>
      <c r="I3" s="61"/>
      <c r="J3" s="62"/>
    </row>
    <row r="4" spans="2:10" x14ac:dyDescent="0.25">
      <c r="B4" s="63"/>
      <c r="C4" s="59"/>
      <c r="D4" s="59"/>
      <c r="E4" s="59"/>
      <c r="F4" s="59"/>
      <c r="G4" s="59"/>
      <c r="H4" s="59"/>
      <c r="I4" s="59"/>
      <c r="J4" s="65"/>
    </row>
    <row r="5" spans="2:10" x14ac:dyDescent="0.25">
      <c r="B5" s="63"/>
      <c r="C5" s="59"/>
      <c r="D5" s="59"/>
      <c r="E5" s="59"/>
      <c r="F5" s="59"/>
      <c r="G5" s="59"/>
      <c r="H5" s="59"/>
      <c r="I5" s="59"/>
      <c r="J5" s="65"/>
    </row>
    <row r="6" spans="2:10" x14ac:dyDescent="0.25">
      <c r="B6" s="63"/>
      <c r="C6" s="59"/>
      <c r="D6" s="59"/>
      <c r="E6" s="59"/>
      <c r="F6" s="59"/>
      <c r="G6" s="59"/>
      <c r="H6" s="59"/>
      <c r="I6" s="59"/>
      <c r="J6" s="65"/>
    </row>
    <row r="7" spans="2:10" x14ac:dyDescent="0.25">
      <c r="B7" s="63"/>
      <c r="C7" s="59"/>
      <c r="D7" s="59"/>
      <c r="E7" s="59"/>
      <c r="F7" s="59"/>
      <c r="G7" s="59"/>
      <c r="H7" s="59"/>
      <c r="I7" s="59"/>
      <c r="J7" s="65"/>
    </row>
    <row r="8" spans="2:10" x14ac:dyDescent="0.25">
      <c r="B8" s="63"/>
      <c r="C8" s="59"/>
      <c r="D8" s="59"/>
      <c r="E8" s="59"/>
      <c r="F8" s="59"/>
      <c r="G8" s="59"/>
      <c r="H8" s="59"/>
      <c r="I8" s="59"/>
      <c r="J8" s="65"/>
    </row>
    <row r="9" spans="2:10" x14ac:dyDescent="0.25">
      <c r="B9" s="63"/>
      <c r="C9" s="59"/>
      <c r="D9" s="59"/>
      <c r="E9" s="59"/>
      <c r="F9" s="59"/>
      <c r="G9" s="59"/>
      <c r="H9" s="59"/>
      <c r="I9" s="59"/>
      <c r="J9" s="65"/>
    </row>
    <row r="10" spans="2:10" x14ac:dyDescent="0.25">
      <c r="B10" s="63"/>
      <c r="C10" s="59"/>
      <c r="D10" s="59"/>
      <c r="E10" s="59"/>
      <c r="F10" s="59"/>
      <c r="G10" s="59"/>
      <c r="H10" s="59"/>
      <c r="I10" s="59"/>
      <c r="J10" s="65"/>
    </row>
    <row r="11" spans="2:10" x14ac:dyDescent="0.25">
      <c r="B11" s="63"/>
      <c r="C11" s="59"/>
      <c r="D11" s="59"/>
      <c r="E11" s="59"/>
      <c r="F11" s="59"/>
      <c r="G11" s="59"/>
      <c r="H11" s="59"/>
      <c r="I11" s="59"/>
      <c r="J11" s="65"/>
    </row>
    <row r="12" spans="2:10" x14ac:dyDescent="0.25">
      <c r="B12" s="63"/>
      <c r="C12" s="59"/>
      <c r="D12" s="59"/>
      <c r="E12" s="59"/>
      <c r="F12" s="59"/>
      <c r="G12" s="59"/>
      <c r="H12" s="59"/>
      <c r="I12" s="59"/>
      <c r="J12" s="65"/>
    </row>
    <row r="13" spans="2:10" x14ac:dyDescent="0.25">
      <c r="B13" s="63"/>
      <c r="C13" s="59"/>
      <c r="D13" s="59"/>
      <c r="E13" s="59"/>
      <c r="F13" s="59"/>
      <c r="G13" s="59"/>
      <c r="H13" s="59"/>
      <c r="I13" s="59"/>
      <c r="J13" s="65"/>
    </row>
    <row r="14" spans="2:10" x14ac:dyDescent="0.25">
      <c r="B14" s="63"/>
      <c r="C14" s="59"/>
      <c r="D14" s="59"/>
      <c r="E14" s="59"/>
      <c r="F14" s="59"/>
      <c r="G14" s="59"/>
      <c r="H14" s="59"/>
      <c r="I14" s="59"/>
      <c r="J14" s="65"/>
    </row>
    <row r="15" spans="2:10" x14ac:dyDescent="0.25">
      <c r="B15" s="63"/>
      <c r="C15" s="59"/>
      <c r="D15" s="59"/>
      <c r="E15" s="59"/>
      <c r="F15" s="59"/>
      <c r="G15" s="59"/>
      <c r="H15" s="59"/>
      <c r="I15" s="59"/>
      <c r="J15" s="65"/>
    </row>
    <row r="16" spans="2:10" x14ac:dyDescent="0.25">
      <c r="B16" s="63"/>
      <c r="C16" s="59"/>
      <c r="D16" s="59"/>
      <c r="E16" s="59"/>
      <c r="F16" s="59"/>
      <c r="G16" s="59"/>
      <c r="H16" s="59"/>
      <c r="I16" s="59"/>
      <c r="J16" s="65"/>
    </row>
    <row r="17" spans="2:10" x14ac:dyDescent="0.25">
      <c r="B17" s="63"/>
      <c r="C17" s="59"/>
      <c r="D17" s="59"/>
      <c r="E17" s="59"/>
      <c r="F17" s="59"/>
      <c r="G17" s="59"/>
      <c r="H17" s="59"/>
      <c r="I17" s="59"/>
      <c r="J17" s="65"/>
    </row>
    <row r="18" spans="2:10" x14ac:dyDescent="0.25">
      <c r="B18" s="63"/>
      <c r="C18" s="59"/>
      <c r="D18" s="59"/>
      <c r="E18" s="59"/>
      <c r="F18" s="59"/>
      <c r="G18" s="59"/>
      <c r="H18" s="59"/>
      <c r="I18" s="59"/>
      <c r="J18" s="65"/>
    </row>
    <row r="19" spans="2:10" x14ac:dyDescent="0.25">
      <c r="B19" s="63"/>
      <c r="C19" s="59"/>
      <c r="D19" s="59"/>
      <c r="E19" s="59"/>
      <c r="F19" s="59"/>
      <c r="G19" s="59"/>
      <c r="H19" s="59"/>
      <c r="I19" s="59"/>
      <c r="J19" s="65"/>
    </row>
    <row r="20" spans="2:10" x14ac:dyDescent="0.25">
      <c r="B20" s="63"/>
      <c r="C20" s="59"/>
      <c r="D20" s="59"/>
      <c r="E20" s="59"/>
      <c r="F20" s="59"/>
      <c r="G20" s="59"/>
      <c r="H20" s="59"/>
      <c r="I20" s="59"/>
      <c r="J20" s="65"/>
    </row>
    <row r="21" spans="2:10" ht="6.75" customHeight="1" x14ac:dyDescent="0.25">
      <c r="B21" s="64"/>
      <c r="C21" s="67"/>
      <c r="D21" s="67"/>
      <c r="E21" s="67"/>
      <c r="F21" s="67"/>
      <c r="G21" s="67"/>
      <c r="H21" s="67"/>
      <c r="I21" s="67"/>
      <c r="J21" s="66"/>
    </row>
    <row r="22" spans="2:10" x14ac:dyDescent="0.25">
      <c r="B22" s="1"/>
      <c r="C22" s="1"/>
      <c r="D22" s="1"/>
      <c r="E22" s="1"/>
      <c r="F22" s="1"/>
      <c r="G22" s="1"/>
      <c r="H22" s="1"/>
      <c r="I22" s="1"/>
    </row>
    <row r="23" spans="2:10" x14ac:dyDescent="0.25">
      <c r="B23" s="58" t="s">
        <v>40</v>
      </c>
      <c r="C23" s="58"/>
      <c r="D23" s="58"/>
      <c r="E23" s="58"/>
      <c r="F23" s="58"/>
      <c r="G23" s="58"/>
      <c r="H23" s="58"/>
      <c r="I23" s="58"/>
      <c r="J23" s="58"/>
    </row>
    <row r="24" spans="2:10" ht="6.75" customHeight="1" x14ac:dyDescent="0.25">
      <c r="B24" s="60"/>
      <c r="C24" s="61"/>
      <c r="D24" s="61"/>
      <c r="E24" s="61"/>
      <c r="F24" s="61"/>
      <c r="G24" s="61"/>
      <c r="H24" s="61"/>
      <c r="I24" s="61"/>
      <c r="J24" s="62"/>
    </row>
    <row r="25" spans="2:10" x14ac:dyDescent="0.25">
      <c r="B25" s="63"/>
      <c r="C25" s="59"/>
      <c r="D25" s="59"/>
      <c r="E25" s="59"/>
      <c r="F25" s="59"/>
      <c r="G25" s="59"/>
      <c r="H25" s="59"/>
      <c r="I25" s="59"/>
      <c r="J25" s="65"/>
    </row>
    <row r="26" spans="2:10" x14ac:dyDescent="0.25">
      <c r="B26" s="63"/>
      <c r="C26" s="59"/>
      <c r="D26" s="59"/>
      <c r="E26" s="59"/>
      <c r="F26" s="59"/>
      <c r="G26" s="59"/>
      <c r="H26" s="59"/>
      <c r="I26" s="59"/>
      <c r="J26" s="65"/>
    </row>
    <row r="27" spans="2:10" x14ac:dyDescent="0.25">
      <c r="B27" s="63"/>
      <c r="C27" s="59"/>
      <c r="D27" s="59"/>
      <c r="E27" s="59"/>
      <c r="F27" s="59"/>
      <c r="G27" s="59"/>
      <c r="H27" s="59"/>
      <c r="I27" s="59"/>
      <c r="J27" s="65"/>
    </row>
    <row r="28" spans="2:10" x14ac:dyDescent="0.25">
      <c r="B28" s="63"/>
      <c r="C28" s="59"/>
      <c r="D28" s="59"/>
      <c r="E28" s="59"/>
      <c r="F28" s="59"/>
      <c r="G28" s="59"/>
      <c r="H28" s="59"/>
      <c r="I28" s="59"/>
      <c r="J28" s="65"/>
    </row>
    <row r="29" spans="2:10" x14ac:dyDescent="0.25">
      <c r="B29" s="63"/>
      <c r="C29" s="59"/>
      <c r="D29" s="59"/>
      <c r="E29" s="59"/>
      <c r="F29" s="59"/>
      <c r="G29" s="59"/>
      <c r="H29" s="59"/>
      <c r="I29" s="59"/>
      <c r="J29" s="65"/>
    </row>
    <row r="30" spans="2:10" x14ac:dyDescent="0.25">
      <c r="B30" s="63"/>
      <c r="C30" s="59"/>
      <c r="D30" s="59"/>
      <c r="E30" s="59"/>
      <c r="F30" s="59"/>
      <c r="G30" s="59"/>
      <c r="H30" s="59"/>
      <c r="I30" s="59"/>
      <c r="J30" s="65"/>
    </row>
    <row r="31" spans="2:10" x14ac:dyDescent="0.25">
      <c r="B31" s="63"/>
      <c r="C31" s="59"/>
      <c r="D31" s="59"/>
      <c r="E31" s="59"/>
      <c r="F31" s="59"/>
      <c r="G31" s="59"/>
      <c r="H31" s="59"/>
      <c r="I31" s="59"/>
      <c r="J31" s="65"/>
    </row>
    <row r="32" spans="2:10" x14ac:dyDescent="0.25">
      <c r="B32" s="63"/>
      <c r="C32" s="59"/>
      <c r="D32" s="59"/>
      <c r="E32" s="59"/>
      <c r="F32" s="59"/>
      <c r="G32" s="59"/>
      <c r="H32" s="59"/>
      <c r="I32" s="59"/>
      <c r="J32" s="65"/>
    </row>
    <row r="33" spans="2:10" x14ac:dyDescent="0.25">
      <c r="B33" s="63"/>
      <c r="C33" s="59"/>
      <c r="D33" s="59"/>
      <c r="E33" s="59"/>
      <c r="F33" s="59"/>
      <c r="G33" s="59"/>
      <c r="H33" s="59"/>
      <c r="I33" s="59"/>
      <c r="J33" s="65"/>
    </row>
    <row r="34" spans="2:10" x14ac:dyDescent="0.25">
      <c r="B34" s="63"/>
      <c r="C34" s="59"/>
      <c r="D34" s="59"/>
      <c r="E34" s="59"/>
      <c r="F34" s="59"/>
      <c r="G34" s="59"/>
      <c r="H34" s="59"/>
      <c r="I34" s="59"/>
      <c r="J34" s="65"/>
    </row>
    <row r="35" spans="2:10" x14ac:dyDescent="0.25">
      <c r="B35" s="63"/>
      <c r="C35" s="59"/>
      <c r="D35" s="59"/>
      <c r="E35" s="59"/>
      <c r="F35" s="59"/>
      <c r="G35" s="59"/>
      <c r="H35" s="59"/>
      <c r="I35" s="59"/>
      <c r="J35" s="65"/>
    </row>
    <row r="36" spans="2:10" x14ac:dyDescent="0.25">
      <c r="B36" s="63"/>
      <c r="C36" s="59"/>
      <c r="D36" s="59"/>
      <c r="E36" s="59"/>
      <c r="F36" s="59"/>
      <c r="G36" s="59"/>
      <c r="H36" s="59"/>
      <c r="I36" s="59"/>
      <c r="J36" s="65"/>
    </row>
    <row r="37" spans="2:10" ht="6.75" customHeight="1" x14ac:dyDescent="0.25">
      <c r="B37" s="64"/>
      <c r="C37" s="67"/>
      <c r="D37" s="67"/>
      <c r="E37" s="67"/>
      <c r="F37" s="67"/>
      <c r="G37" s="67"/>
      <c r="H37" s="67"/>
      <c r="I37" s="67"/>
      <c r="J37" s="66"/>
    </row>
  </sheetData>
  <mergeCells count="12">
    <mergeCell ref="B23:J23"/>
    <mergeCell ref="B24:J24"/>
    <mergeCell ref="B25:B37"/>
    <mergeCell ref="C25:I36"/>
    <mergeCell ref="J25:J37"/>
    <mergeCell ref="C37:I37"/>
    <mergeCell ref="B2:J2"/>
    <mergeCell ref="C4:I20"/>
    <mergeCell ref="B3:J3"/>
    <mergeCell ref="B4:B21"/>
    <mergeCell ref="J4:J21"/>
    <mergeCell ref="C21:I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5"/>
  <sheetViews>
    <sheetView tabSelected="1" view="pageBreakPreview" zoomScaleSheetLayoutView="100" zoomScalePageLayoutView="110" workbookViewId="0">
      <selection activeCell="E10" sqref="E10:G10"/>
    </sheetView>
  </sheetViews>
  <sheetFormatPr baseColWidth="10" defaultColWidth="11.42578125" defaultRowHeight="15" x14ac:dyDescent="0.25"/>
  <cols>
    <col min="1" max="1" width="0.140625" customWidth="1"/>
    <col min="2" max="2" width="6.7109375" customWidth="1"/>
    <col min="3" max="3" width="7.42578125" customWidth="1"/>
    <col min="4" max="4" width="11" bestFit="1" customWidth="1"/>
    <col min="5" max="5" width="6.85546875" customWidth="1"/>
    <col min="6" max="6" width="8.7109375" customWidth="1"/>
    <col min="7" max="7" width="6.7109375" customWidth="1"/>
    <col min="8" max="8" width="5.7109375" customWidth="1"/>
    <col min="9" max="9" width="6.85546875" customWidth="1"/>
    <col min="10" max="10" width="7.140625" customWidth="1"/>
    <col min="11" max="11" width="12" bestFit="1" customWidth="1"/>
    <col min="12" max="12" width="8" bestFit="1" customWidth="1"/>
    <col min="13" max="13" width="11" bestFit="1" customWidth="1"/>
    <col min="14" max="14" width="10.7109375" customWidth="1"/>
    <col min="15" max="16" width="11.7109375" customWidth="1"/>
  </cols>
  <sheetData>
    <row r="1" spans="1:16" ht="4.9000000000000004" customHeight="1" thickBot="1" x14ac:dyDescent="0.3"/>
    <row r="2" spans="1:16" s="2" customFormat="1" ht="30" customHeight="1" x14ac:dyDescent="0.25">
      <c r="A2" s="16"/>
      <c r="B2" s="305"/>
      <c r="C2" s="306"/>
      <c r="D2" s="307"/>
      <c r="E2" s="254" t="s">
        <v>54</v>
      </c>
      <c r="F2" s="255"/>
      <c r="G2" s="255"/>
      <c r="H2" s="255"/>
      <c r="I2" s="255"/>
      <c r="J2" s="255"/>
      <c r="K2" s="255"/>
      <c r="L2" s="255"/>
      <c r="M2" s="255"/>
      <c r="N2" s="255"/>
      <c r="O2" s="308"/>
      <c r="P2" s="258"/>
    </row>
    <row r="3" spans="1:16" s="2" customFormat="1" ht="20.45" customHeight="1" thickBot="1" x14ac:dyDescent="0.3">
      <c r="A3" s="16"/>
      <c r="B3" s="309"/>
      <c r="C3" s="310"/>
      <c r="D3" s="311"/>
      <c r="E3" s="256"/>
      <c r="F3" s="257"/>
      <c r="G3" s="257"/>
      <c r="H3" s="257"/>
      <c r="I3" s="257"/>
      <c r="J3" s="257"/>
      <c r="K3" s="257"/>
      <c r="L3" s="257"/>
      <c r="M3" s="257"/>
      <c r="N3" s="257"/>
      <c r="O3" s="312"/>
      <c r="P3" s="259"/>
    </row>
    <row r="4" spans="1:16" s="2" customFormat="1" ht="4.9000000000000004" customHeight="1" thickBot="1" x14ac:dyDescent="0.3">
      <c r="A4" s="16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</row>
    <row r="5" spans="1:16" s="320" customFormat="1" ht="27.75" customHeight="1" thickBot="1" x14ac:dyDescent="0.3">
      <c r="A5" s="318"/>
      <c r="B5" s="20" t="s">
        <v>0</v>
      </c>
      <c r="C5" s="316">
        <v>42860</v>
      </c>
      <c r="D5" s="317"/>
      <c r="E5" s="242" t="s">
        <v>55</v>
      </c>
      <c r="F5" s="243"/>
      <c r="G5" s="319">
        <v>1</v>
      </c>
      <c r="H5" s="242" t="s">
        <v>1</v>
      </c>
      <c r="I5" s="243"/>
      <c r="J5" s="313" t="s">
        <v>95</v>
      </c>
      <c r="K5" s="314"/>
      <c r="L5" s="314"/>
      <c r="M5" s="314"/>
      <c r="N5" s="314"/>
      <c r="O5" s="314"/>
      <c r="P5" s="315"/>
    </row>
    <row r="6" spans="1:16" s="21" customFormat="1" ht="11.25" customHeight="1" thickBot="1" x14ac:dyDescent="0.3">
      <c r="A6" s="19"/>
      <c r="B6" s="238" t="s">
        <v>2</v>
      </c>
      <c r="C6" s="239"/>
      <c r="D6" s="240" t="s">
        <v>56</v>
      </c>
      <c r="E6" s="240"/>
      <c r="F6" s="240"/>
      <c r="G6" s="240"/>
      <c r="H6" s="240"/>
      <c r="I6" s="240"/>
      <c r="J6" s="241"/>
      <c r="K6" s="242" t="s">
        <v>3</v>
      </c>
      <c r="L6" s="243"/>
      <c r="M6" s="244" t="s">
        <v>57</v>
      </c>
      <c r="N6" s="245"/>
      <c r="O6" s="244" t="s">
        <v>58</v>
      </c>
      <c r="P6" s="246"/>
    </row>
    <row r="7" spans="1:16" s="21" customFormat="1" ht="14.1" customHeight="1" x14ac:dyDescent="0.25">
      <c r="A7" s="19"/>
      <c r="B7" s="247" t="s">
        <v>59</v>
      </c>
      <c r="C7" s="227"/>
      <c r="D7" s="227"/>
      <c r="E7" s="248"/>
      <c r="F7" s="249" t="s">
        <v>10</v>
      </c>
      <c r="G7" s="250"/>
      <c r="H7" s="251"/>
      <c r="I7" s="22">
        <v>0.46319444444444446</v>
      </c>
      <c r="J7" s="252" t="s">
        <v>11</v>
      </c>
      <c r="K7" s="253"/>
      <c r="L7" s="23">
        <v>1.59</v>
      </c>
      <c r="M7" s="247" t="s">
        <v>13</v>
      </c>
      <c r="N7" s="227"/>
      <c r="O7" s="227"/>
      <c r="P7" s="24">
        <v>2.25</v>
      </c>
    </row>
    <row r="8" spans="1:16" s="21" customFormat="1" ht="14.1" customHeight="1" thickBot="1" x14ac:dyDescent="0.3">
      <c r="A8" s="19"/>
      <c r="B8" s="215" t="s">
        <v>5</v>
      </c>
      <c r="C8" s="216"/>
      <c r="D8" s="216"/>
      <c r="E8" s="217"/>
      <c r="F8" s="25" t="s">
        <v>14</v>
      </c>
      <c r="G8" s="26"/>
      <c r="H8" s="27"/>
      <c r="I8" s="28">
        <v>0.50694444444444442</v>
      </c>
      <c r="J8" s="218" t="s">
        <v>15</v>
      </c>
      <c r="K8" s="219"/>
      <c r="L8" s="23">
        <v>1.59</v>
      </c>
      <c r="M8" s="220" t="s">
        <v>17</v>
      </c>
      <c r="N8" s="200"/>
      <c r="O8" s="200"/>
      <c r="P8" s="29">
        <v>0.3</v>
      </c>
    </row>
    <row r="9" spans="1:16" s="21" customFormat="1" ht="14.1" customHeight="1" x14ac:dyDescent="0.25">
      <c r="A9" s="30"/>
      <c r="B9" s="221" t="s">
        <v>6</v>
      </c>
      <c r="C9" s="222"/>
      <c r="D9" s="225" t="s">
        <v>7</v>
      </c>
      <c r="E9" s="227" t="s">
        <v>8</v>
      </c>
      <c r="F9" s="227"/>
      <c r="G9" s="227"/>
      <c r="H9" s="31"/>
      <c r="I9" s="228" t="s">
        <v>60</v>
      </c>
      <c r="J9" s="229"/>
      <c r="K9" s="232">
        <v>5.4</v>
      </c>
      <c r="L9" s="234" t="s">
        <v>12</v>
      </c>
      <c r="M9" s="235"/>
      <c r="N9" s="235"/>
      <c r="O9" s="236">
        <v>15</v>
      </c>
      <c r="P9" s="237"/>
    </row>
    <row r="10" spans="1:16" s="21" customFormat="1" ht="14.1" customHeight="1" thickBot="1" x14ac:dyDescent="0.3">
      <c r="A10" s="30"/>
      <c r="B10" s="223"/>
      <c r="C10" s="224"/>
      <c r="D10" s="226"/>
      <c r="E10" s="200" t="s">
        <v>9</v>
      </c>
      <c r="F10" s="200"/>
      <c r="G10" s="200"/>
      <c r="H10" s="32" t="s">
        <v>4</v>
      </c>
      <c r="I10" s="230"/>
      <c r="J10" s="231"/>
      <c r="K10" s="233"/>
      <c r="L10" s="201" t="s">
        <v>16</v>
      </c>
      <c r="M10" s="202"/>
      <c r="N10" s="202"/>
      <c r="O10" s="203">
        <v>0.45833333333333331</v>
      </c>
      <c r="P10" s="204"/>
    </row>
    <row r="11" spans="1:16" s="34" customFormat="1" ht="25.15" customHeight="1" x14ac:dyDescent="0.2">
      <c r="A11" s="11"/>
      <c r="B11" s="205" t="s">
        <v>18</v>
      </c>
      <c r="C11" s="208" t="s">
        <v>61</v>
      </c>
      <c r="D11" s="208"/>
      <c r="E11" s="208"/>
      <c r="F11" s="33"/>
      <c r="G11" s="209" t="s">
        <v>62</v>
      </c>
      <c r="H11" s="209"/>
      <c r="I11" s="209"/>
      <c r="J11" s="209"/>
      <c r="K11" s="209"/>
      <c r="L11" s="210"/>
      <c r="M11" s="209" t="s">
        <v>63</v>
      </c>
      <c r="N11" s="209"/>
      <c r="O11" s="209"/>
      <c r="P11" s="213"/>
    </row>
    <row r="12" spans="1:16" s="34" customFormat="1" ht="17.45" customHeight="1" x14ac:dyDescent="0.2">
      <c r="A12" s="11"/>
      <c r="B12" s="206"/>
      <c r="C12" s="214" t="s">
        <v>64</v>
      </c>
      <c r="D12" s="214"/>
      <c r="E12" s="214"/>
      <c r="F12" s="35"/>
      <c r="G12" s="178" t="s">
        <v>65</v>
      </c>
      <c r="H12" s="178"/>
      <c r="I12" s="178"/>
      <c r="J12" s="178"/>
      <c r="K12" s="178"/>
      <c r="L12" s="211"/>
      <c r="M12" s="178" t="s">
        <v>66</v>
      </c>
      <c r="N12" s="178"/>
      <c r="O12" s="178"/>
      <c r="P12" s="179"/>
    </row>
    <row r="13" spans="1:16" s="34" customFormat="1" ht="25.15" customHeight="1" thickBot="1" x14ac:dyDescent="0.25">
      <c r="A13" s="11"/>
      <c r="B13" s="207"/>
      <c r="C13" s="180" t="s">
        <v>67</v>
      </c>
      <c r="D13" s="181"/>
      <c r="E13" s="181"/>
      <c r="F13" s="181"/>
      <c r="G13" s="182"/>
      <c r="H13" s="182"/>
      <c r="I13" s="182"/>
      <c r="J13" s="182"/>
      <c r="K13" s="182"/>
      <c r="L13" s="212"/>
      <c r="M13" s="182" t="s">
        <v>68</v>
      </c>
      <c r="N13" s="182"/>
      <c r="O13" s="182"/>
      <c r="P13" s="183"/>
    </row>
    <row r="14" spans="1:16" ht="16.5" customHeight="1" x14ac:dyDescent="0.25">
      <c r="A14" s="5"/>
      <c r="B14" s="184" t="s">
        <v>19</v>
      </c>
      <c r="C14" s="186" t="s">
        <v>20</v>
      </c>
      <c r="D14" s="186" t="s">
        <v>41</v>
      </c>
      <c r="E14" s="188" t="s">
        <v>21</v>
      </c>
      <c r="F14" s="190" t="s">
        <v>42</v>
      </c>
      <c r="G14" s="191"/>
      <c r="H14" s="192"/>
      <c r="I14" s="196" t="s">
        <v>43</v>
      </c>
      <c r="J14" s="197"/>
      <c r="K14" s="36"/>
      <c r="L14" s="37" t="s">
        <v>44</v>
      </c>
      <c r="M14" s="37" t="s">
        <v>45</v>
      </c>
      <c r="N14" s="37" t="s">
        <v>45</v>
      </c>
      <c r="O14" s="37" t="s">
        <v>46</v>
      </c>
      <c r="P14" s="38" t="s">
        <v>22</v>
      </c>
    </row>
    <row r="15" spans="1:16" ht="14.1" customHeight="1" thickBot="1" x14ac:dyDescent="0.3">
      <c r="A15" s="5"/>
      <c r="B15" s="185"/>
      <c r="C15" s="187"/>
      <c r="D15" s="187"/>
      <c r="E15" s="189"/>
      <c r="F15" s="193"/>
      <c r="G15" s="194"/>
      <c r="H15" s="195"/>
      <c r="I15" s="198" t="s">
        <v>23</v>
      </c>
      <c r="J15" s="199"/>
      <c r="K15" s="39" t="s">
        <v>24</v>
      </c>
      <c r="L15" s="39" t="s">
        <v>47</v>
      </c>
      <c r="M15" s="39" t="s">
        <v>48</v>
      </c>
      <c r="N15" s="39" t="s">
        <v>25</v>
      </c>
      <c r="O15" s="39" t="s">
        <v>26</v>
      </c>
      <c r="P15" s="40" t="s">
        <v>27</v>
      </c>
    </row>
    <row r="16" spans="1:16" s="3" customFormat="1" ht="14.1" customHeight="1" x14ac:dyDescent="0.2">
      <c r="A16" s="11"/>
      <c r="B16" s="159">
        <v>1</v>
      </c>
      <c r="C16" s="162">
        <f>+K9</f>
        <v>5.4</v>
      </c>
      <c r="D16" s="144">
        <v>2.5000000000000001E-2</v>
      </c>
      <c r="E16" s="144">
        <v>0.125</v>
      </c>
      <c r="F16" s="41" t="s">
        <v>69</v>
      </c>
      <c r="G16" s="164" t="str">
        <f>IF(E16&lt;=0.2,"NA",IF(E16&gt;0.2,0.2*E16))</f>
        <v>NA</v>
      </c>
      <c r="H16" s="164"/>
      <c r="I16" s="164"/>
      <c r="J16" s="164"/>
      <c r="K16" s="144">
        <f>ROUND(+IF(E16&lt;=0.2,(I17),(IF(E16&gt;0.2,((I16+2*I17+I18)/4)))),3)</f>
        <v>0.158</v>
      </c>
      <c r="L16" s="144">
        <f>ROUND(+(D16+D18)/2*(C18-C16),3)</f>
        <v>2.3E-2</v>
      </c>
      <c r="M16" s="147">
        <f>ROUND(+K16*L16,4)</f>
        <v>3.5999999999999999E-3</v>
      </c>
      <c r="N16" s="150">
        <f>ROUND(+M16/$M$50*100,1)</f>
        <v>2.2000000000000002</v>
      </c>
      <c r="O16" s="153"/>
      <c r="P16" s="156"/>
    </row>
    <row r="17" spans="1:16" s="3" customFormat="1" ht="14.1" customHeight="1" x14ac:dyDescent="0.2">
      <c r="A17" s="11"/>
      <c r="B17" s="160"/>
      <c r="C17" s="163"/>
      <c r="D17" s="145"/>
      <c r="E17" s="145"/>
      <c r="F17" s="42" t="s">
        <v>70</v>
      </c>
      <c r="G17" s="145">
        <f>IF(E16&lt;=0.2,0.6*E16,IF(E16&gt;0.2,0.6*E16))</f>
        <v>7.4999999999999997E-2</v>
      </c>
      <c r="H17" s="145"/>
      <c r="I17" s="165">
        <v>0.158</v>
      </c>
      <c r="J17" s="165"/>
      <c r="K17" s="145"/>
      <c r="L17" s="145"/>
      <c r="M17" s="148"/>
      <c r="N17" s="151"/>
      <c r="O17" s="154"/>
      <c r="P17" s="157"/>
    </row>
    <row r="18" spans="1:16" s="3" customFormat="1" ht="13.9" customHeight="1" thickBot="1" x14ac:dyDescent="0.25">
      <c r="A18" s="11"/>
      <c r="B18" s="161"/>
      <c r="C18" s="43">
        <f>+C16+$P$8</f>
        <v>5.7</v>
      </c>
      <c r="D18" s="44">
        <v>0.125</v>
      </c>
      <c r="E18" s="146"/>
      <c r="F18" s="45" t="s">
        <v>71</v>
      </c>
      <c r="G18" s="166" t="str">
        <f>IF(E16&lt;=0.2,"NA",IF(E16&gt;0.2,0.8*E16))</f>
        <v>NA</v>
      </c>
      <c r="H18" s="166"/>
      <c r="I18" s="167"/>
      <c r="J18" s="167"/>
      <c r="K18" s="146"/>
      <c r="L18" s="146"/>
      <c r="M18" s="149"/>
      <c r="N18" s="152"/>
      <c r="O18" s="155"/>
      <c r="P18" s="158"/>
    </row>
    <row r="19" spans="1:16" s="3" customFormat="1" ht="14.1" customHeight="1" x14ac:dyDescent="0.2">
      <c r="A19" s="11"/>
      <c r="B19" s="159">
        <v>2</v>
      </c>
      <c r="C19" s="162">
        <f>+C18</f>
        <v>5.7</v>
      </c>
      <c r="D19" s="144">
        <v>0.125</v>
      </c>
      <c r="E19" s="144">
        <v>0.14000000000000001</v>
      </c>
      <c r="F19" s="41" t="s">
        <v>69</v>
      </c>
      <c r="G19" s="164" t="str">
        <f>IF(E19&lt;=0.2,"NA",IF(E19&gt;0.2,0.2*E19))</f>
        <v>NA</v>
      </c>
      <c r="H19" s="164"/>
      <c r="I19" s="164"/>
      <c r="J19" s="164"/>
      <c r="K19" s="144">
        <f>ROUND(+IF(E19&lt;=0.2,(I20),(IF(E19&gt;0.2,((I19+2*I20+I21)/4)))),3)</f>
        <v>0.35899999999999999</v>
      </c>
      <c r="L19" s="144">
        <f>ROUND(+(D19+D21)/2*(C21-C19),3)</f>
        <v>4.3999999999999997E-2</v>
      </c>
      <c r="M19" s="147">
        <f>ROUND(+K19*L19,4)</f>
        <v>1.5800000000000002E-2</v>
      </c>
      <c r="N19" s="150">
        <f>ROUND(+M19/$M$50*100,1)</f>
        <v>9.9</v>
      </c>
      <c r="O19" s="153"/>
      <c r="P19" s="156"/>
    </row>
    <row r="20" spans="1:16" s="3" customFormat="1" ht="14.1" customHeight="1" x14ac:dyDescent="0.2">
      <c r="A20" s="11"/>
      <c r="B20" s="160"/>
      <c r="C20" s="163"/>
      <c r="D20" s="145"/>
      <c r="E20" s="145"/>
      <c r="F20" s="42" t="s">
        <v>70</v>
      </c>
      <c r="G20" s="145">
        <f>IF(E19&lt;=0.2,0.6*E19,IF(E19&gt;0.2,0.6*E19))</f>
        <v>8.4000000000000005E-2</v>
      </c>
      <c r="H20" s="145"/>
      <c r="I20" s="165">
        <v>0.35899999999999999</v>
      </c>
      <c r="J20" s="165"/>
      <c r="K20" s="145"/>
      <c r="L20" s="145"/>
      <c r="M20" s="148"/>
      <c r="N20" s="151"/>
      <c r="O20" s="154"/>
      <c r="P20" s="157"/>
    </row>
    <row r="21" spans="1:16" s="3" customFormat="1" ht="13.9" customHeight="1" thickBot="1" x14ac:dyDescent="0.25">
      <c r="A21" s="11"/>
      <c r="B21" s="161"/>
      <c r="C21" s="43">
        <f>+C19+$P$8</f>
        <v>6</v>
      </c>
      <c r="D21" s="44">
        <v>0.17100000000000001</v>
      </c>
      <c r="E21" s="146"/>
      <c r="F21" s="45" t="s">
        <v>71</v>
      </c>
      <c r="G21" s="166" t="str">
        <f>IF(E19&lt;=0.2,"NA",IF(E19&gt;0.2,0.8*E19))</f>
        <v>NA</v>
      </c>
      <c r="H21" s="166"/>
      <c r="I21" s="167"/>
      <c r="J21" s="167"/>
      <c r="K21" s="146"/>
      <c r="L21" s="146"/>
      <c r="M21" s="149"/>
      <c r="N21" s="152"/>
      <c r="O21" s="155"/>
      <c r="P21" s="158"/>
    </row>
    <row r="22" spans="1:16" s="3" customFormat="1" ht="14.1" customHeight="1" x14ac:dyDescent="0.2">
      <c r="A22" s="11"/>
      <c r="B22" s="159">
        <v>3</v>
      </c>
      <c r="C22" s="162">
        <f>+C21</f>
        <v>6</v>
      </c>
      <c r="D22" s="144">
        <v>0.17100000000000001</v>
      </c>
      <c r="E22" s="144">
        <v>0.20899999999999999</v>
      </c>
      <c r="F22" s="41" t="s">
        <v>69</v>
      </c>
      <c r="G22" s="147">
        <f>IF(E22&lt;=0.2,"NA",IF(E22&gt;0.2,0.2*E22))</f>
        <v>4.1800000000000004E-2</v>
      </c>
      <c r="H22" s="147"/>
      <c r="I22" s="164">
        <v>0.44500000000000001</v>
      </c>
      <c r="J22" s="164"/>
      <c r="K22" s="144">
        <f>ROUND(+IF(E22&lt;=0.2,(I23),(IF(E22&gt;0.2,((I22+2*I23+I24)/4)))),3)</f>
        <v>0.34200000000000003</v>
      </c>
      <c r="L22" s="144">
        <f>ROUND(+(D22+D24)/2*(C24-C22),3)</f>
        <v>0.06</v>
      </c>
      <c r="M22" s="147">
        <f>ROUND(+K22*L22,4)</f>
        <v>2.0500000000000001E-2</v>
      </c>
      <c r="N22" s="150">
        <f>ROUND(+M22/$M$50*100,1)</f>
        <v>12.8</v>
      </c>
      <c r="O22" s="153"/>
      <c r="P22" s="156"/>
    </row>
    <row r="23" spans="1:16" s="3" customFormat="1" ht="14.1" customHeight="1" x14ac:dyDescent="0.2">
      <c r="A23" s="11"/>
      <c r="B23" s="160"/>
      <c r="C23" s="163"/>
      <c r="D23" s="145"/>
      <c r="E23" s="145"/>
      <c r="F23" s="42" t="s">
        <v>70</v>
      </c>
      <c r="G23" s="148">
        <f>IF(E22&lt;=0.2,0.6*E22,IF(E22&gt;0.2,0.6*E22))</f>
        <v>0.12539999999999998</v>
      </c>
      <c r="H23" s="148"/>
      <c r="I23" s="165">
        <v>0.38100000000000001</v>
      </c>
      <c r="J23" s="165"/>
      <c r="K23" s="145"/>
      <c r="L23" s="145"/>
      <c r="M23" s="148"/>
      <c r="N23" s="151"/>
      <c r="O23" s="154"/>
      <c r="P23" s="157"/>
    </row>
    <row r="24" spans="1:16" s="3" customFormat="1" ht="13.9" customHeight="1" thickBot="1" x14ac:dyDescent="0.25">
      <c r="A24" s="11"/>
      <c r="B24" s="161"/>
      <c r="C24" s="43">
        <f>+C22+$P$8</f>
        <v>6.3</v>
      </c>
      <c r="D24" s="44">
        <v>0.23</v>
      </c>
      <c r="E24" s="146"/>
      <c r="F24" s="45" t="s">
        <v>71</v>
      </c>
      <c r="G24" s="149">
        <f>IF(E22&lt;=0.2,"NA",IF(E22&gt;0.2,0.8*E22))</f>
        <v>0.16720000000000002</v>
      </c>
      <c r="H24" s="149"/>
      <c r="I24" s="167">
        <v>0.16200000000000001</v>
      </c>
      <c r="J24" s="167"/>
      <c r="K24" s="146"/>
      <c r="L24" s="146"/>
      <c r="M24" s="149"/>
      <c r="N24" s="152"/>
      <c r="O24" s="155"/>
      <c r="P24" s="158"/>
    </row>
    <row r="25" spans="1:16" s="3" customFormat="1" ht="14.1" customHeight="1" x14ac:dyDescent="0.2">
      <c r="A25" s="11"/>
      <c r="B25" s="159">
        <v>4</v>
      </c>
      <c r="C25" s="162">
        <f>+C24</f>
        <v>6.3</v>
      </c>
      <c r="D25" s="144">
        <v>0.23</v>
      </c>
      <c r="E25" s="144">
        <v>0.22900000000000001</v>
      </c>
      <c r="F25" s="41" t="s">
        <v>69</v>
      </c>
      <c r="G25" s="147">
        <f>IF(E25&lt;=0.2,"NA",IF(E25&gt;0.2,0.2*E25))</f>
        <v>4.5800000000000007E-2</v>
      </c>
      <c r="H25" s="147"/>
      <c r="I25" s="164">
        <v>0.49299999999999999</v>
      </c>
      <c r="J25" s="164"/>
      <c r="K25" s="144">
        <f>ROUND(+IF(E25&lt;=0.2,(I26),(IF(E25&gt;0.2,((I25+2*I26+I27)/4)))),3)</f>
        <v>0.441</v>
      </c>
      <c r="L25" s="144">
        <f>ROUND(+(D25+D27)/2*(C27-C25),3)</f>
        <v>6.9000000000000006E-2</v>
      </c>
      <c r="M25" s="147">
        <f>ROUND(+K25*L25,4)</f>
        <v>3.04E-2</v>
      </c>
      <c r="N25" s="150">
        <f>ROUND(+M25/$M$50*100,1)</f>
        <v>19</v>
      </c>
      <c r="O25" s="153"/>
      <c r="P25" s="156"/>
    </row>
    <row r="26" spans="1:16" s="3" customFormat="1" ht="14.1" customHeight="1" x14ac:dyDescent="0.2">
      <c r="A26" s="11"/>
      <c r="B26" s="160"/>
      <c r="C26" s="163"/>
      <c r="D26" s="145"/>
      <c r="E26" s="145"/>
      <c r="F26" s="42" t="s">
        <v>70</v>
      </c>
      <c r="G26" s="148">
        <f>IF(E25&lt;=0.2,0.6*E25,IF(E25&gt;0.2,0.6*E25))</f>
        <v>0.13739999999999999</v>
      </c>
      <c r="H26" s="148"/>
      <c r="I26" s="145">
        <v>0.48</v>
      </c>
      <c r="J26" s="145"/>
      <c r="K26" s="145"/>
      <c r="L26" s="145"/>
      <c r="M26" s="148"/>
      <c r="N26" s="151"/>
      <c r="O26" s="154"/>
      <c r="P26" s="157"/>
    </row>
    <row r="27" spans="1:16" s="3" customFormat="1" ht="13.9" customHeight="1" thickBot="1" x14ac:dyDescent="0.25">
      <c r="A27" s="11"/>
      <c r="B27" s="161"/>
      <c r="C27" s="43">
        <f>+C25+$P$8</f>
        <v>6.6</v>
      </c>
      <c r="D27" s="44">
        <v>0.23</v>
      </c>
      <c r="E27" s="146"/>
      <c r="F27" s="45" t="s">
        <v>71</v>
      </c>
      <c r="G27" s="149">
        <f>IF(E25&lt;=0.2,"NA",IF(E25&gt;0.2,0.8*E25))</f>
        <v>0.18320000000000003</v>
      </c>
      <c r="H27" s="149"/>
      <c r="I27" s="167">
        <v>0.311</v>
      </c>
      <c r="J27" s="167"/>
      <c r="K27" s="146"/>
      <c r="L27" s="146"/>
      <c r="M27" s="149"/>
      <c r="N27" s="152"/>
      <c r="O27" s="155"/>
      <c r="P27" s="158"/>
    </row>
    <row r="28" spans="1:16" s="3" customFormat="1" ht="14.1" customHeight="1" x14ac:dyDescent="0.2">
      <c r="A28" s="11"/>
      <c r="B28" s="159">
        <v>5</v>
      </c>
      <c r="C28" s="162">
        <f>+C27</f>
        <v>6.6</v>
      </c>
      <c r="D28" s="144">
        <v>0.23</v>
      </c>
      <c r="E28" s="144">
        <v>0.26</v>
      </c>
      <c r="F28" s="41" t="s">
        <v>69</v>
      </c>
      <c r="G28" s="164"/>
      <c r="H28" s="164"/>
      <c r="I28" s="164"/>
      <c r="J28" s="164"/>
      <c r="K28" s="144"/>
      <c r="L28" s="144"/>
      <c r="M28" s="147"/>
      <c r="N28" s="150"/>
      <c r="O28" s="153"/>
      <c r="P28" s="156"/>
    </row>
    <row r="29" spans="1:16" s="3" customFormat="1" ht="14.1" customHeight="1" x14ac:dyDescent="0.2">
      <c r="A29" s="11"/>
      <c r="B29" s="160"/>
      <c r="C29" s="163"/>
      <c r="D29" s="145"/>
      <c r="E29" s="145"/>
      <c r="F29" s="42" t="s">
        <v>70</v>
      </c>
      <c r="G29" s="163"/>
      <c r="H29" s="163"/>
      <c r="I29" s="165"/>
      <c r="J29" s="165"/>
      <c r="K29" s="145"/>
      <c r="L29" s="145"/>
      <c r="M29" s="148"/>
      <c r="N29" s="151"/>
      <c r="O29" s="154"/>
      <c r="P29" s="157"/>
    </row>
    <row r="30" spans="1:16" s="3" customFormat="1" ht="13.9" customHeight="1" thickBot="1" x14ac:dyDescent="0.25">
      <c r="A30" s="11"/>
      <c r="B30" s="161"/>
      <c r="C30" s="43">
        <f>+C28+$P$8</f>
        <v>6.8999999999999995</v>
      </c>
      <c r="D30" s="44">
        <v>0.25</v>
      </c>
      <c r="E30" s="146"/>
      <c r="F30" s="45" t="s">
        <v>71</v>
      </c>
      <c r="G30" s="166"/>
      <c r="H30" s="166"/>
      <c r="I30" s="167"/>
      <c r="J30" s="167"/>
      <c r="K30" s="146"/>
      <c r="L30" s="146"/>
      <c r="M30" s="149"/>
      <c r="N30" s="152"/>
      <c r="O30" s="155"/>
      <c r="P30" s="158"/>
    </row>
    <row r="31" spans="1:16" s="3" customFormat="1" ht="14.1" customHeight="1" x14ac:dyDescent="0.2">
      <c r="A31" s="11"/>
      <c r="B31" s="159">
        <v>6</v>
      </c>
      <c r="C31" s="162">
        <f>+C30</f>
        <v>6.8999999999999995</v>
      </c>
      <c r="D31" s="168">
        <v>0.25</v>
      </c>
      <c r="E31" s="168">
        <v>0.23</v>
      </c>
      <c r="F31" s="41" t="s">
        <v>69</v>
      </c>
      <c r="G31" s="147">
        <f>IF(E31&lt;=0.2,"NA",IF(E31&gt;0.2,0.2*E31))</f>
        <v>4.6000000000000006E-2</v>
      </c>
      <c r="H31" s="147"/>
      <c r="I31" s="172">
        <v>0.56699999999999995</v>
      </c>
      <c r="J31" s="173"/>
      <c r="K31" s="144">
        <f>ROUND(+IF(E31&lt;=0.2,(I32),(IF(E31&gt;0.2,((I31+2*I32+I33)/4)))),3)</f>
        <v>0.436</v>
      </c>
      <c r="L31" s="144">
        <f>ROUND(+(D31+D33)/2*(C33-C31),3)</f>
        <v>6.8000000000000005E-2</v>
      </c>
      <c r="M31" s="147">
        <f>ROUND(+K31*L31,4)</f>
        <v>2.9600000000000001E-2</v>
      </c>
      <c r="N31" s="150">
        <f>ROUND(+M31/$M$50*100,1)</f>
        <v>18.5</v>
      </c>
      <c r="O31" s="153"/>
      <c r="P31" s="156"/>
    </row>
    <row r="32" spans="1:16" s="3" customFormat="1" ht="14.1" customHeight="1" x14ac:dyDescent="0.2">
      <c r="A32" s="11"/>
      <c r="B32" s="160"/>
      <c r="C32" s="163"/>
      <c r="D32" s="169"/>
      <c r="E32" s="170"/>
      <c r="F32" s="42" t="s">
        <v>70</v>
      </c>
      <c r="G32" s="148">
        <f>IF(E31&lt;=0.2,0.6*E31,IF(E31&gt;0.2,0.6*E31))</f>
        <v>0.13800000000000001</v>
      </c>
      <c r="H32" s="148"/>
      <c r="I32" s="174">
        <v>0.42299999999999999</v>
      </c>
      <c r="J32" s="175"/>
      <c r="K32" s="145"/>
      <c r="L32" s="145"/>
      <c r="M32" s="148"/>
      <c r="N32" s="151"/>
      <c r="O32" s="154"/>
      <c r="P32" s="157"/>
    </row>
    <row r="33" spans="1:18" s="3" customFormat="1" ht="13.9" customHeight="1" thickBot="1" x14ac:dyDescent="0.25">
      <c r="A33" s="11"/>
      <c r="B33" s="161"/>
      <c r="C33" s="43">
        <f>+C31+$P$8</f>
        <v>7.1999999999999993</v>
      </c>
      <c r="D33" s="44">
        <v>0.20499999999999999</v>
      </c>
      <c r="E33" s="171"/>
      <c r="F33" s="45" t="s">
        <v>71</v>
      </c>
      <c r="G33" s="149">
        <f>IF(E31&lt;=0.2,"NA",IF(E31&gt;0.2,0.8*E31))</f>
        <v>0.18400000000000002</v>
      </c>
      <c r="H33" s="149"/>
      <c r="I33" s="176">
        <v>0.33200000000000002</v>
      </c>
      <c r="J33" s="177"/>
      <c r="K33" s="146"/>
      <c r="L33" s="146"/>
      <c r="M33" s="149"/>
      <c r="N33" s="152"/>
      <c r="O33" s="155"/>
      <c r="P33" s="158"/>
    </row>
    <row r="34" spans="1:18" s="3" customFormat="1" ht="14.1" customHeight="1" x14ac:dyDescent="0.2">
      <c r="A34" s="11"/>
      <c r="B34" s="159">
        <v>7</v>
      </c>
      <c r="C34" s="162">
        <f>+C33</f>
        <v>7.1999999999999993</v>
      </c>
      <c r="D34" s="144">
        <v>0.20499999999999999</v>
      </c>
      <c r="E34" s="144">
        <v>0.185</v>
      </c>
      <c r="F34" s="41" t="s">
        <v>69</v>
      </c>
      <c r="G34" s="164" t="str">
        <f>IF(E34&lt;=0.2,"NA",IF(E34&gt;0.2,0.2*E34))</f>
        <v>NA</v>
      </c>
      <c r="H34" s="164"/>
      <c r="I34" s="164"/>
      <c r="J34" s="164"/>
      <c r="K34" s="144">
        <f>ROUND(+IF(E34&lt;=0.2,(I35),(IF(E34&gt;0.2,((I34+2*I35+I36)/4)))),3)</f>
        <v>0.46200000000000002</v>
      </c>
      <c r="L34" s="144">
        <f>ROUND(+(D34+D36)/2*(C36-C34),3)</f>
        <v>5.6000000000000001E-2</v>
      </c>
      <c r="M34" s="147">
        <f>ROUND(+K34*L34,4)</f>
        <v>2.5899999999999999E-2</v>
      </c>
      <c r="N34" s="150">
        <f>ROUND(+M34/$M$50*100,1)</f>
        <v>16.2</v>
      </c>
      <c r="O34" s="153"/>
      <c r="P34" s="156"/>
    </row>
    <row r="35" spans="1:18" s="3" customFormat="1" ht="14.1" customHeight="1" x14ac:dyDescent="0.2">
      <c r="A35" s="11"/>
      <c r="B35" s="160"/>
      <c r="C35" s="163"/>
      <c r="D35" s="145"/>
      <c r="E35" s="145"/>
      <c r="F35" s="42" t="s">
        <v>70</v>
      </c>
      <c r="G35" s="145">
        <f>IF(E34&lt;=0.2,0.6*E34,IF(E34&gt;0.2,0.6*E34))</f>
        <v>0.111</v>
      </c>
      <c r="H35" s="145"/>
      <c r="I35" s="165">
        <v>0.46200000000000002</v>
      </c>
      <c r="J35" s="165"/>
      <c r="K35" s="145"/>
      <c r="L35" s="145"/>
      <c r="M35" s="148"/>
      <c r="N35" s="151"/>
      <c r="O35" s="154"/>
      <c r="P35" s="157"/>
    </row>
    <row r="36" spans="1:18" s="3" customFormat="1" ht="13.9" customHeight="1" thickBot="1" x14ac:dyDescent="0.25">
      <c r="A36" s="11"/>
      <c r="B36" s="161"/>
      <c r="C36" s="43">
        <f>+C34+$P$8</f>
        <v>7.4999999999999991</v>
      </c>
      <c r="D36" s="44">
        <v>0.17</v>
      </c>
      <c r="E36" s="146"/>
      <c r="F36" s="45" t="s">
        <v>71</v>
      </c>
      <c r="G36" s="166" t="str">
        <f>IF(E34&lt;=0.2,"NA",IF(E34&gt;0.2,0.8*E34))</f>
        <v>NA</v>
      </c>
      <c r="H36" s="166"/>
      <c r="I36" s="167"/>
      <c r="J36" s="167"/>
      <c r="K36" s="146"/>
      <c r="L36" s="146"/>
      <c r="M36" s="149"/>
      <c r="N36" s="152"/>
      <c r="O36" s="155"/>
      <c r="P36" s="158"/>
    </row>
    <row r="37" spans="1:18" s="3" customFormat="1" ht="14.1" customHeight="1" x14ac:dyDescent="0.2">
      <c r="A37" s="11"/>
      <c r="B37" s="159">
        <v>8</v>
      </c>
      <c r="C37" s="162">
        <f>+C36</f>
        <v>7.4999999999999991</v>
      </c>
      <c r="D37" s="144">
        <v>0.17</v>
      </c>
      <c r="E37" s="144">
        <v>8.3000000000000004E-2</v>
      </c>
      <c r="F37" s="41" t="s">
        <v>69</v>
      </c>
      <c r="G37" s="164" t="str">
        <f>IF(E37&lt;=0.2,"NA",IF(E37&gt;0.2,0.2*E37))</f>
        <v>NA</v>
      </c>
      <c r="H37" s="164"/>
      <c r="I37" s="164"/>
      <c r="J37" s="164"/>
      <c r="K37" s="144">
        <f>ROUND(+IF(E37&lt;=0.2,(I38),(IF(E37&gt;0.2,((I37+2*I38+I39)/4)))),3)</f>
        <v>0.17499999999999999</v>
      </c>
      <c r="L37" s="144">
        <f>ROUND(+(D37+D39)/2*(C39-C37),3)</f>
        <v>1.4999999999999999E-2</v>
      </c>
      <c r="M37" s="147">
        <f>ROUND(+K37*L37,4)</f>
        <v>2.5999999999999999E-3</v>
      </c>
      <c r="N37" s="150">
        <f>ROUND(+M37/$M$50*100,1)</f>
        <v>1.6</v>
      </c>
      <c r="O37" s="153"/>
      <c r="P37" s="156"/>
    </row>
    <row r="38" spans="1:18" s="3" customFormat="1" ht="14.1" customHeight="1" x14ac:dyDescent="0.2">
      <c r="A38" s="11"/>
      <c r="B38" s="160"/>
      <c r="C38" s="163"/>
      <c r="D38" s="145"/>
      <c r="E38" s="145"/>
      <c r="F38" s="42" t="s">
        <v>70</v>
      </c>
      <c r="G38" s="145">
        <f>IF(E37&lt;=0.2,0.6*E37,IF(E37&gt;0.2,0.6*E37))</f>
        <v>4.9800000000000004E-2</v>
      </c>
      <c r="H38" s="145"/>
      <c r="I38" s="165">
        <v>0.17499999999999999</v>
      </c>
      <c r="J38" s="165"/>
      <c r="K38" s="145"/>
      <c r="L38" s="145"/>
      <c r="M38" s="148"/>
      <c r="N38" s="151"/>
      <c r="O38" s="154"/>
      <c r="P38" s="157"/>
    </row>
    <row r="39" spans="1:18" s="3" customFormat="1" ht="13.9" customHeight="1" thickBot="1" x14ac:dyDescent="0.25">
      <c r="A39" s="11"/>
      <c r="B39" s="161"/>
      <c r="C39" s="43">
        <f>+C37+0.15</f>
        <v>7.6499999999999995</v>
      </c>
      <c r="D39" s="44">
        <v>2.5000000000000001E-2</v>
      </c>
      <c r="E39" s="146"/>
      <c r="F39" s="45" t="s">
        <v>71</v>
      </c>
      <c r="G39" s="166" t="str">
        <f>IF(E37&lt;=0.2,"NA",IF(E37&gt;0.2,0.8*E37))</f>
        <v>NA</v>
      </c>
      <c r="H39" s="166"/>
      <c r="I39" s="167"/>
      <c r="J39" s="167"/>
      <c r="K39" s="146"/>
      <c r="L39" s="146"/>
      <c r="M39" s="149"/>
      <c r="N39" s="152"/>
      <c r="O39" s="155"/>
      <c r="P39" s="158"/>
    </row>
    <row r="40" spans="1:18" s="3" customFormat="1" ht="14.1" customHeight="1" x14ac:dyDescent="0.25">
      <c r="A40" s="11"/>
      <c r="B40" s="138">
        <f>+B28</f>
        <v>5</v>
      </c>
      <c r="C40" s="141">
        <f>+C28</f>
        <v>6.6</v>
      </c>
      <c r="D40" s="130">
        <f>+D28</f>
        <v>0.23</v>
      </c>
      <c r="E40" s="130">
        <f>+E28</f>
        <v>0.26</v>
      </c>
      <c r="F40" s="46" t="s">
        <v>30</v>
      </c>
      <c r="G40" s="142"/>
      <c r="H40" s="142"/>
      <c r="I40" s="143">
        <v>0.60099999999999998</v>
      </c>
      <c r="J40" s="143"/>
      <c r="K40" s="130">
        <f>AVERAGE(I40:J49)</f>
        <v>0.4415</v>
      </c>
      <c r="L40" s="131">
        <f>ROUND(+(D40+D45)/2*(C45-C40),3)</f>
        <v>7.1999999999999995E-2</v>
      </c>
      <c r="M40" s="132">
        <f>ROUND(+K40*L40,4)</f>
        <v>3.1800000000000002E-2</v>
      </c>
      <c r="N40" s="131">
        <f>ROUND(+M40/$M$50*100,1)</f>
        <v>19.899999999999999</v>
      </c>
      <c r="O40" s="131"/>
      <c r="P40" s="135"/>
    </row>
    <row r="41" spans="1:18" s="3" customFormat="1" ht="14.1" customHeight="1" x14ac:dyDescent="0.25">
      <c r="A41" s="11"/>
      <c r="B41" s="139"/>
      <c r="C41" s="126"/>
      <c r="D41" s="128"/>
      <c r="E41" s="128"/>
      <c r="F41" s="47" t="s">
        <v>72</v>
      </c>
      <c r="G41" s="121">
        <f>+ROUND(0.1*$E$40,2)</f>
        <v>0.03</v>
      </c>
      <c r="H41" s="121"/>
      <c r="I41" s="122">
        <v>0.59</v>
      </c>
      <c r="J41" s="122"/>
      <c r="K41" s="126"/>
      <c r="L41" s="126"/>
      <c r="M41" s="133"/>
      <c r="N41" s="126"/>
      <c r="O41" s="126"/>
      <c r="P41" s="136"/>
      <c r="R41" s="48"/>
    </row>
    <row r="42" spans="1:18" s="3" customFormat="1" ht="14.1" customHeight="1" x14ac:dyDescent="0.25">
      <c r="A42" s="11"/>
      <c r="B42" s="139"/>
      <c r="C42" s="126"/>
      <c r="D42" s="128"/>
      <c r="E42" s="128"/>
      <c r="F42" s="47" t="s">
        <v>69</v>
      </c>
      <c r="G42" s="121">
        <f>+ROUND(0.2*$E$40,2)</f>
        <v>0.05</v>
      </c>
      <c r="H42" s="121"/>
      <c r="I42" s="122">
        <v>0.56699999999999995</v>
      </c>
      <c r="J42" s="122"/>
      <c r="K42" s="126"/>
      <c r="L42" s="126"/>
      <c r="M42" s="133"/>
      <c r="N42" s="126"/>
      <c r="O42" s="126"/>
      <c r="P42" s="136"/>
      <c r="R42" s="48"/>
    </row>
    <row r="43" spans="1:18" s="3" customFormat="1" ht="14.1" customHeight="1" x14ac:dyDescent="0.25">
      <c r="A43" s="11"/>
      <c r="B43" s="139"/>
      <c r="C43" s="126"/>
      <c r="D43" s="128"/>
      <c r="E43" s="128"/>
      <c r="F43" s="47" t="s">
        <v>73</v>
      </c>
      <c r="G43" s="121">
        <f>+ROUND(0.3*$E$40,2)</f>
        <v>0.08</v>
      </c>
      <c r="H43" s="121"/>
      <c r="I43" s="122">
        <v>0.51100000000000001</v>
      </c>
      <c r="J43" s="122"/>
      <c r="K43" s="126"/>
      <c r="L43" s="126"/>
      <c r="M43" s="133"/>
      <c r="N43" s="126"/>
      <c r="O43" s="126"/>
      <c r="P43" s="136"/>
      <c r="R43" s="48"/>
    </row>
    <row r="44" spans="1:18" s="3" customFormat="1" ht="14.1" customHeight="1" x14ac:dyDescent="0.25">
      <c r="A44" s="11"/>
      <c r="B44" s="139"/>
      <c r="C44" s="126"/>
      <c r="D44" s="128"/>
      <c r="E44" s="128"/>
      <c r="F44" s="47" t="s">
        <v>74</v>
      </c>
      <c r="G44" s="121">
        <f>+ROUND(0.4*$E$40,2)</f>
        <v>0.1</v>
      </c>
      <c r="H44" s="121"/>
      <c r="I44" s="122">
        <v>0.49099999999999999</v>
      </c>
      <c r="J44" s="122"/>
      <c r="K44" s="126"/>
      <c r="L44" s="126"/>
      <c r="M44" s="133"/>
      <c r="N44" s="126"/>
      <c r="O44" s="126"/>
      <c r="P44" s="136"/>
      <c r="R44" s="48"/>
    </row>
    <row r="45" spans="1:18" s="3" customFormat="1" ht="14.1" customHeight="1" x14ac:dyDescent="0.25">
      <c r="A45" s="11"/>
      <c r="B45" s="139"/>
      <c r="C45" s="125">
        <f>+C30</f>
        <v>6.8999999999999995</v>
      </c>
      <c r="D45" s="128">
        <f>+D30</f>
        <v>0.25</v>
      </c>
      <c r="E45" s="128"/>
      <c r="F45" s="47" t="s">
        <v>29</v>
      </c>
      <c r="G45" s="121">
        <f>+ROUND(0.5*$E$40,2)</f>
        <v>0.13</v>
      </c>
      <c r="H45" s="121"/>
      <c r="I45" s="122">
        <v>0.432</v>
      </c>
      <c r="J45" s="122"/>
      <c r="K45" s="126"/>
      <c r="L45" s="126"/>
      <c r="M45" s="133"/>
      <c r="N45" s="126"/>
      <c r="O45" s="126"/>
      <c r="P45" s="136"/>
      <c r="R45" s="48"/>
    </row>
    <row r="46" spans="1:18" s="3" customFormat="1" ht="14.1" customHeight="1" x14ac:dyDescent="0.25">
      <c r="A46" s="11"/>
      <c r="B46" s="139"/>
      <c r="C46" s="126"/>
      <c r="D46" s="128"/>
      <c r="E46" s="128"/>
      <c r="F46" s="47" t="s">
        <v>70</v>
      </c>
      <c r="G46" s="121">
        <f>+ROUND(0.6*$E$40,2)</f>
        <v>0.16</v>
      </c>
      <c r="H46" s="121"/>
      <c r="I46" s="122">
        <v>0.41399999999999998</v>
      </c>
      <c r="J46" s="122"/>
      <c r="K46" s="126"/>
      <c r="L46" s="126"/>
      <c r="M46" s="133"/>
      <c r="N46" s="126"/>
      <c r="O46" s="126"/>
      <c r="P46" s="136"/>
      <c r="R46" s="48"/>
    </row>
    <row r="47" spans="1:18" s="3" customFormat="1" ht="14.1" customHeight="1" x14ac:dyDescent="0.25">
      <c r="A47" s="11"/>
      <c r="B47" s="139"/>
      <c r="C47" s="126"/>
      <c r="D47" s="128"/>
      <c r="E47" s="128"/>
      <c r="F47" s="47" t="s">
        <v>75</v>
      </c>
      <c r="G47" s="121">
        <f>+ROUND(0.7*$E$40,2)</f>
        <v>0.18</v>
      </c>
      <c r="H47" s="121"/>
      <c r="I47" s="122">
        <v>0.39</v>
      </c>
      <c r="J47" s="122"/>
      <c r="K47" s="126"/>
      <c r="L47" s="126"/>
      <c r="M47" s="133"/>
      <c r="N47" s="126"/>
      <c r="O47" s="126"/>
      <c r="P47" s="136"/>
      <c r="R47" s="48"/>
    </row>
    <row r="48" spans="1:18" s="3" customFormat="1" ht="14.1" customHeight="1" x14ac:dyDescent="0.25">
      <c r="A48" s="11"/>
      <c r="B48" s="139"/>
      <c r="C48" s="126"/>
      <c r="D48" s="128"/>
      <c r="E48" s="128"/>
      <c r="F48" s="47" t="s">
        <v>71</v>
      </c>
      <c r="G48" s="121">
        <f>+ROUND(0.8*$E$40,2)</f>
        <v>0.21</v>
      </c>
      <c r="H48" s="121"/>
      <c r="I48" s="122">
        <v>0.26700000000000002</v>
      </c>
      <c r="J48" s="122"/>
      <c r="K48" s="126"/>
      <c r="L48" s="126"/>
      <c r="M48" s="133"/>
      <c r="N48" s="126"/>
      <c r="O48" s="126"/>
      <c r="P48" s="136"/>
      <c r="R48" s="48"/>
    </row>
    <row r="49" spans="1:18" s="3" customFormat="1" ht="15.75" thickBot="1" x14ac:dyDescent="0.3">
      <c r="A49" s="11"/>
      <c r="B49" s="140"/>
      <c r="C49" s="127"/>
      <c r="D49" s="129"/>
      <c r="E49" s="129"/>
      <c r="F49" s="49" t="s">
        <v>76</v>
      </c>
      <c r="G49" s="123">
        <f>+ROUND(0.9*$E$40,2)</f>
        <v>0.23</v>
      </c>
      <c r="H49" s="123"/>
      <c r="I49" s="124">
        <v>0.152</v>
      </c>
      <c r="J49" s="124"/>
      <c r="K49" s="127"/>
      <c r="L49" s="127"/>
      <c r="M49" s="134"/>
      <c r="N49" s="127"/>
      <c r="O49" s="127"/>
      <c r="P49" s="137"/>
      <c r="R49" s="48"/>
    </row>
    <row r="50" spans="1:18" s="3" customFormat="1" ht="12.75" x14ac:dyDescent="0.2">
      <c r="A50" s="11"/>
      <c r="B50" s="107" t="s">
        <v>31</v>
      </c>
      <c r="C50" s="108"/>
      <c r="D50" s="108"/>
      <c r="E50" s="108"/>
      <c r="F50" s="108"/>
      <c r="G50" s="108"/>
      <c r="H50" s="108"/>
      <c r="I50" s="108"/>
      <c r="J50" s="108"/>
      <c r="K50" s="50">
        <f>ROUND(+M50/L50,3)</f>
        <v>0.39400000000000002</v>
      </c>
      <c r="L50" s="15">
        <f>SUM(L16:L49)</f>
        <v>0.40700000000000003</v>
      </c>
      <c r="M50" s="14">
        <f>SUM(M16:M49)</f>
        <v>0.16019999999999998</v>
      </c>
      <c r="N50" s="12">
        <f>ROUND(SUM(N16:N49),0)</f>
        <v>100</v>
      </c>
      <c r="O50" s="111" t="s">
        <v>32</v>
      </c>
      <c r="P50" s="113"/>
    </row>
    <row r="51" spans="1:18" s="3" customFormat="1" ht="15" customHeight="1" thickBot="1" x14ac:dyDescent="0.25">
      <c r="A51" s="11"/>
      <c r="B51" s="109"/>
      <c r="C51" s="110"/>
      <c r="D51" s="110"/>
      <c r="E51" s="110"/>
      <c r="F51" s="110"/>
      <c r="G51" s="110"/>
      <c r="H51" s="110"/>
      <c r="I51" s="110"/>
      <c r="J51" s="110"/>
      <c r="K51" s="13" t="s">
        <v>33</v>
      </c>
      <c r="L51" s="13" t="s">
        <v>49</v>
      </c>
      <c r="M51" s="13" t="s">
        <v>50</v>
      </c>
      <c r="N51" s="13" t="s">
        <v>34</v>
      </c>
      <c r="O51" s="112"/>
      <c r="P51" s="114"/>
    </row>
    <row r="52" spans="1:18" ht="69.599999999999994" customHeight="1" thickBot="1" x14ac:dyDescent="0.3">
      <c r="A52" s="51"/>
      <c r="B52" s="115" t="s">
        <v>28</v>
      </c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7"/>
    </row>
    <row r="53" spans="1:18" ht="15" customHeight="1" thickBot="1" x14ac:dyDescent="0.3">
      <c r="A53" s="5"/>
      <c r="B53" s="118" t="s">
        <v>77</v>
      </c>
      <c r="C53" s="119"/>
      <c r="D53" s="119"/>
      <c r="E53" s="119"/>
      <c r="F53" s="119"/>
      <c r="G53" s="119" t="s">
        <v>78</v>
      </c>
      <c r="H53" s="119"/>
      <c r="I53" s="119"/>
      <c r="J53" s="119"/>
      <c r="K53" s="119"/>
      <c r="L53" s="119"/>
      <c r="M53" s="119" t="s">
        <v>79</v>
      </c>
      <c r="N53" s="119"/>
      <c r="O53" s="119"/>
      <c r="P53" s="120"/>
    </row>
    <row r="54" spans="1:18" ht="15" customHeight="1" thickBot="1" x14ac:dyDescent="0.3">
      <c r="A54" s="5"/>
      <c r="B54" s="82"/>
      <c r="C54" s="83"/>
      <c r="D54" s="83"/>
      <c r="E54" s="83"/>
      <c r="F54" s="83"/>
      <c r="G54" s="83"/>
      <c r="H54" s="83"/>
      <c r="I54" s="84"/>
      <c r="J54" s="88" t="s">
        <v>52</v>
      </c>
      <c r="K54" s="89"/>
      <c r="L54" s="89"/>
      <c r="M54" s="89"/>
      <c r="N54" s="89"/>
      <c r="O54" s="89"/>
      <c r="P54" s="90"/>
    </row>
    <row r="55" spans="1:18" ht="18.600000000000001" customHeight="1" thickBot="1" x14ac:dyDescent="0.3">
      <c r="A55" s="6"/>
      <c r="B55" s="82"/>
      <c r="C55" s="83"/>
      <c r="D55" s="83"/>
      <c r="E55" s="83"/>
      <c r="F55" s="83"/>
      <c r="G55" s="83"/>
      <c r="H55" s="83"/>
      <c r="I55" s="84"/>
      <c r="J55" s="52" t="s">
        <v>80</v>
      </c>
      <c r="K55" s="91" t="s">
        <v>81</v>
      </c>
      <c r="L55" s="91"/>
      <c r="M55" s="91"/>
      <c r="N55" s="91"/>
      <c r="O55" s="91"/>
      <c r="P55" s="92"/>
    </row>
    <row r="56" spans="1:18" ht="97.15" customHeight="1" thickBot="1" x14ac:dyDescent="0.3">
      <c r="A56" s="10"/>
      <c r="B56" s="82"/>
      <c r="C56" s="83"/>
      <c r="D56" s="83"/>
      <c r="E56" s="83"/>
      <c r="F56" s="83"/>
      <c r="G56" s="83"/>
      <c r="H56" s="83"/>
      <c r="I56" s="84"/>
      <c r="J56" s="93" t="s">
        <v>82</v>
      </c>
      <c r="K56" s="94"/>
      <c r="L56" s="94"/>
      <c r="M56" s="94"/>
      <c r="N56" s="94"/>
      <c r="O56" s="94"/>
      <c r="P56" s="95"/>
    </row>
    <row r="57" spans="1:18" ht="15" customHeight="1" thickBot="1" x14ac:dyDescent="0.3">
      <c r="A57" s="5"/>
      <c r="B57" s="82"/>
      <c r="C57" s="83"/>
      <c r="D57" s="83"/>
      <c r="E57" s="83"/>
      <c r="F57" s="83"/>
      <c r="G57" s="83"/>
      <c r="H57" s="83"/>
      <c r="I57" s="84"/>
      <c r="J57" s="96" t="s">
        <v>35</v>
      </c>
      <c r="K57" s="97"/>
      <c r="L57" s="97"/>
      <c r="M57" s="97"/>
      <c r="N57" s="98"/>
      <c r="O57" s="99">
        <v>4.03</v>
      </c>
      <c r="P57" s="100"/>
    </row>
    <row r="58" spans="1:18" ht="15.75" thickBot="1" x14ac:dyDescent="0.3">
      <c r="A58" s="5"/>
      <c r="B58" s="82"/>
      <c r="C58" s="83"/>
      <c r="D58" s="83"/>
      <c r="E58" s="83"/>
      <c r="F58" s="83"/>
      <c r="G58" s="83"/>
      <c r="H58" s="83"/>
      <c r="I58" s="84"/>
      <c r="J58" s="101" t="s">
        <v>51</v>
      </c>
      <c r="K58" s="102"/>
      <c r="L58" s="102"/>
      <c r="M58" s="102"/>
      <c r="N58" s="103"/>
      <c r="O58" s="99">
        <v>0.2495</v>
      </c>
      <c r="P58" s="100"/>
    </row>
    <row r="59" spans="1:18" ht="14.45" customHeight="1" thickBot="1" x14ac:dyDescent="0.3">
      <c r="A59" s="5"/>
      <c r="B59" s="85"/>
      <c r="C59" s="86"/>
      <c r="D59" s="86"/>
      <c r="E59" s="86"/>
      <c r="F59" s="86"/>
      <c r="G59" s="86"/>
      <c r="H59" s="86"/>
      <c r="I59" s="87"/>
      <c r="J59" s="104" t="s">
        <v>83</v>
      </c>
      <c r="K59" s="105"/>
      <c r="L59" s="105"/>
      <c r="M59" s="105"/>
      <c r="N59" s="105"/>
      <c r="O59" s="105"/>
      <c r="P59" s="106"/>
    </row>
    <row r="60" spans="1:18" ht="14.45" customHeight="1" thickBot="1" x14ac:dyDescent="0.3">
      <c r="A60" s="7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4"/>
    </row>
    <row r="61" spans="1:18" ht="15.75" thickBot="1" x14ac:dyDescent="0.3">
      <c r="A61" s="75" t="s">
        <v>36</v>
      </c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7"/>
    </row>
    <row r="62" spans="1:18" ht="141.6" customHeight="1" thickBot="1" x14ac:dyDescent="0.3">
      <c r="A62" s="4"/>
      <c r="B62" s="78"/>
      <c r="C62" s="79"/>
      <c r="D62" s="79"/>
      <c r="E62" s="79"/>
      <c r="F62" s="80"/>
      <c r="G62" s="78"/>
      <c r="H62" s="79"/>
      <c r="I62" s="79"/>
      <c r="J62" s="79"/>
      <c r="K62" s="79"/>
      <c r="L62" s="80"/>
      <c r="M62" s="78"/>
      <c r="N62" s="79"/>
      <c r="O62" s="79"/>
      <c r="P62" s="80"/>
    </row>
    <row r="63" spans="1:18" s="9" customFormat="1" ht="13.9" customHeight="1" thickBot="1" x14ac:dyDescent="0.3">
      <c r="A63" s="8" t="s">
        <v>84</v>
      </c>
      <c r="B63" s="81" t="s">
        <v>85</v>
      </c>
      <c r="C63" s="68"/>
      <c r="D63" s="68"/>
      <c r="E63" s="68"/>
      <c r="F63" s="69"/>
      <c r="G63" s="81" t="s">
        <v>86</v>
      </c>
      <c r="H63" s="68"/>
      <c r="I63" s="68"/>
      <c r="J63" s="68"/>
      <c r="K63" s="68"/>
      <c r="L63" s="68"/>
      <c r="M63" s="68"/>
      <c r="N63" s="68"/>
      <c r="O63" s="68"/>
      <c r="P63" s="69"/>
    </row>
    <row r="64" spans="1:18" s="9" customFormat="1" ht="52.15" customHeight="1" thickBot="1" x14ac:dyDescent="0.3">
      <c r="A64" s="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9"/>
    </row>
    <row r="65" spans="1:16" s="3" customFormat="1" ht="15.75" customHeight="1" thickBot="1" x14ac:dyDescent="0.25">
      <c r="A65" s="70" t="s">
        <v>37</v>
      </c>
      <c r="B65" s="71"/>
      <c r="C65" s="71"/>
      <c r="D65" s="71" t="s">
        <v>87</v>
      </c>
      <c r="E65" s="71"/>
      <c r="F65" s="71"/>
      <c r="G65" s="71"/>
      <c r="H65" s="71"/>
      <c r="I65" s="71"/>
      <c r="J65" s="71" t="s">
        <v>38</v>
      </c>
      <c r="K65" s="71"/>
      <c r="L65" s="71"/>
      <c r="M65" s="71"/>
      <c r="N65" s="71"/>
      <c r="O65" s="71"/>
      <c r="P65" s="72"/>
    </row>
  </sheetData>
  <mergeCells count="235">
    <mergeCell ref="O2:P3"/>
    <mergeCell ref="B4:P4"/>
    <mergeCell ref="C5:D5"/>
    <mergeCell ref="E5:F5"/>
    <mergeCell ref="H5:I5"/>
    <mergeCell ref="J5:P5"/>
    <mergeCell ref="B2:D3"/>
    <mergeCell ref="E2:N3"/>
    <mergeCell ref="B6:C6"/>
    <mergeCell ref="D6:J6"/>
    <mergeCell ref="K6:L6"/>
    <mergeCell ref="M6:N6"/>
    <mergeCell ref="O6:P6"/>
    <mergeCell ref="B7:E7"/>
    <mergeCell ref="F7:H7"/>
    <mergeCell ref="J7:K7"/>
    <mergeCell ref="M7:O7"/>
    <mergeCell ref="B8:E8"/>
    <mergeCell ref="J8:K8"/>
    <mergeCell ref="M8:O8"/>
    <mergeCell ref="B9:C10"/>
    <mergeCell ref="D9:D10"/>
    <mergeCell ref="E9:G9"/>
    <mergeCell ref="I9:J10"/>
    <mergeCell ref="K9:K10"/>
    <mergeCell ref="L9:N9"/>
    <mergeCell ref="O9:P9"/>
    <mergeCell ref="E10:G10"/>
    <mergeCell ref="L10:N10"/>
    <mergeCell ref="O10:P10"/>
    <mergeCell ref="B11:B13"/>
    <mergeCell ref="C11:E11"/>
    <mergeCell ref="G11:K11"/>
    <mergeCell ref="L11:L13"/>
    <mergeCell ref="M11:P11"/>
    <mergeCell ref="C12:E12"/>
    <mergeCell ref="G12:K13"/>
    <mergeCell ref="M12:P12"/>
    <mergeCell ref="C13:F13"/>
    <mergeCell ref="M13:P13"/>
    <mergeCell ref="B14:B15"/>
    <mergeCell ref="C14:C15"/>
    <mergeCell ref="D14:D15"/>
    <mergeCell ref="E14:E15"/>
    <mergeCell ref="F14:H15"/>
    <mergeCell ref="I14:J14"/>
    <mergeCell ref="I15:J15"/>
    <mergeCell ref="K16:K18"/>
    <mergeCell ref="L16:L18"/>
    <mergeCell ref="M16:M18"/>
    <mergeCell ref="N16:N18"/>
    <mergeCell ref="O16:O18"/>
    <mergeCell ref="P16:P18"/>
    <mergeCell ref="B16:B18"/>
    <mergeCell ref="C16:C17"/>
    <mergeCell ref="D16:D17"/>
    <mergeCell ref="E16:E18"/>
    <mergeCell ref="G16:H16"/>
    <mergeCell ref="I16:J16"/>
    <mergeCell ref="G17:H17"/>
    <mergeCell ref="I17:J17"/>
    <mergeCell ref="G18:H18"/>
    <mergeCell ref="I18:J18"/>
    <mergeCell ref="K19:K21"/>
    <mergeCell ref="L19:L21"/>
    <mergeCell ref="M19:M21"/>
    <mergeCell ref="N19:N21"/>
    <mergeCell ref="O19:O21"/>
    <mergeCell ref="P19:P21"/>
    <mergeCell ref="B19:B21"/>
    <mergeCell ref="C19:C20"/>
    <mergeCell ref="D19:D20"/>
    <mergeCell ref="E19:E21"/>
    <mergeCell ref="G19:H19"/>
    <mergeCell ref="I19:J19"/>
    <mergeCell ref="G20:H20"/>
    <mergeCell ref="I20:J20"/>
    <mergeCell ref="G21:H21"/>
    <mergeCell ref="I21:J21"/>
    <mergeCell ref="K22:K24"/>
    <mergeCell ref="L22:L24"/>
    <mergeCell ref="M22:M24"/>
    <mergeCell ref="N22:N24"/>
    <mergeCell ref="O22:O24"/>
    <mergeCell ref="P22:P24"/>
    <mergeCell ref="B22:B24"/>
    <mergeCell ref="C22:C23"/>
    <mergeCell ref="D22:D23"/>
    <mergeCell ref="E22:E24"/>
    <mergeCell ref="G22:H22"/>
    <mergeCell ref="I22:J22"/>
    <mergeCell ref="G23:H23"/>
    <mergeCell ref="I23:J23"/>
    <mergeCell ref="G24:H24"/>
    <mergeCell ref="I24:J24"/>
    <mergeCell ref="K25:K27"/>
    <mergeCell ref="L25:L27"/>
    <mergeCell ref="M25:M27"/>
    <mergeCell ref="N25:N27"/>
    <mergeCell ref="O25:O27"/>
    <mergeCell ref="P25:P27"/>
    <mergeCell ref="B25:B27"/>
    <mergeCell ref="C25:C26"/>
    <mergeCell ref="D25:D26"/>
    <mergeCell ref="E25:E27"/>
    <mergeCell ref="G25:H25"/>
    <mergeCell ref="I25:J25"/>
    <mergeCell ref="G26:H26"/>
    <mergeCell ref="I26:J26"/>
    <mergeCell ref="G27:H27"/>
    <mergeCell ref="I27:J27"/>
    <mergeCell ref="K28:K30"/>
    <mergeCell ref="L28:L30"/>
    <mergeCell ref="M28:M30"/>
    <mergeCell ref="N28:N30"/>
    <mergeCell ref="O28:O30"/>
    <mergeCell ref="P28:P30"/>
    <mergeCell ref="B28:B30"/>
    <mergeCell ref="C28:C29"/>
    <mergeCell ref="D28:D29"/>
    <mergeCell ref="E28:E30"/>
    <mergeCell ref="G28:H28"/>
    <mergeCell ref="I28:J28"/>
    <mergeCell ref="G29:H29"/>
    <mergeCell ref="I29:J29"/>
    <mergeCell ref="G30:H30"/>
    <mergeCell ref="I30:J30"/>
    <mergeCell ref="K31:K33"/>
    <mergeCell ref="L31:L33"/>
    <mergeCell ref="M31:M33"/>
    <mergeCell ref="N31:N33"/>
    <mergeCell ref="O31:O33"/>
    <mergeCell ref="P31:P33"/>
    <mergeCell ref="B31:B33"/>
    <mergeCell ref="C31:C32"/>
    <mergeCell ref="D31:D32"/>
    <mergeCell ref="E31:E33"/>
    <mergeCell ref="G31:H31"/>
    <mergeCell ref="I31:J31"/>
    <mergeCell ref="G32:H32"/>
    <mergeCell ref="I32:J32"/>
    <mergeCell ref="G33:H33"/>
    <mergeCell ref="I33:J33"/>
    <mergeCell ref="K34:K36"/>
    <mergeCell ref="L34:L36"/>
    <mergeCell ref="M34:M36"/>
    <mergeCell ref="N34:N36"/>
    <mergeCell ref="O34:O36"/>
    <mergeCell ref="P34:P36"/>
    <mergeCell ref="B34:B36"/>
    <mergeCell ref="C34:C35"/>
    <mergeCell ref="D34:D35"/>
    <mergeCell ref="E34:E36"/>
    <mergeCell ref="G34:H34"/>
    <mergeCell ref="I34:J34"/>
    <mergeCell ref="G35:H35"/>
    <mergeCell ref="I35:J35"/>
    <mergeCell ref="G36:H36"/>
    <mergeCell ref="I36:J36"/>
    <mergeCell ref="K37:K39"/>
    <mergeCell ref="L37:L39"/>
    <mergeCell ref="M37:M39"/>
    <mergeCell ref="N37:N39"/>
    <mergeCell ref="O37:O39"/>
    <mergeCell ref="P37:P39"/>
    <mergeCell ref="B37:B39"/>
    <mergeCell ref="C37:C38"/>
    <mergeCell ref="D37:D38"/>
    <mergeCell ref="E37:E39"/>
    <mergeCell ref="G37:H37"/>
    <mergeCell ref="I37:J37"/>
    <mergeCell ref="G38:H38"/>
    <mergeCell ref="I38:J38"/>
    <mergeCell ref="G39:H39"/>
    <mergeCell ref="I39:J39"/>
    <mergeCell ref="G43:H43"/>
    <mergeCell ref="I43:J43"/>
    <mergeCell ref="G44:H44"/>
    <mergeCell ref="I44:J44"/>
    <mergeCell ref="C45:C49"/>
    <mergeCell ref="D45:D49"/>
    <mergeCell ref="G45:H45"/>
    <mergeCell ref="I45:J45"/>
    <mergeCell ref="G46:H46"/>
    <mergeCell ref="I46:J46"/>
    <mergeCell ref="C40:C44"/>
    <mergeCell ref="D40:D44"/>
    <mergeCell ref="E40:E49"/>
    <mergeCell ref="G40:H40"/>
    <mergeCell ref="I40:J40"/>
    <mergeCell ref="G41:H41"/>
    <mergeCell ref="I41:J41"/>
    <mergeCell ref="G42:H42"/>
    <mergeCell ref="I42:J42"/>
    <mergeCell ref="B50:J51"/>
    <mergeCell ref="O50:O51"/>
    <mergeCell ref="P50:P51"/>
    <mergeCell ref="B52:P52"/>
    <mergeCell ref="B53:F53"/>
    <mergeCell ref="G53:L53"/>
    <mergeCell ref="M53:P53"/>
    <mergeCell ref="G47:H47"/>
    <mergeCell ref="I47:J47"/>
    <mergeCell ref="G48:H48"/>
    <mergeCell ref="I48:J48"/>
    <mergeCell ref="G49:H49"/>
    <mergeCell ref="I49:J49"/>
    <mergeCell ref="K40:K49"/>
    <mergeCell ref="L40:L49"/>
    <mergeCell ref="M40:M49"/>
    <mergeCell ref="N40:N49"/>
    <mergeCell ref="O40:O49"/>
    <mergeCell ref="P40:P49"/>
    <mergeCell ref="B40:B49"/>
    <mergeCell ref="B54:I59"/>
    <mergeCell ref="J54:P54"/>
    <mergeCell ref="K55:P55"/>
    <mergeCell ref="J56:P56"/>
    <mergeCell ref="J57:N57"/>
    <mergeCell ref="O57:P57"/>
    <mergeCell ref="J58:N58"/>
    <mergeCell ref="O58:P58"/>
    <mergeCell ref="J59:P59"/>
    <mergeCell ref="B64:P64"/>
    <mergeCell ref="A65:C65"/>
    <mergeCell ref="D65:I65"/>
    <mergeCell ref="J65:K65"/>
    <mergeCell ref="L65:P65"/>
    <mergeCell ref="B60:P60"/>
    <mergeCell ref="A61:P61"/>
    <mergeCell ref="B62:F62"/>
    <mergeCell ref="G62:L62"/>
    <mergeCell ref="M62:P62"/>
    <mergeCell ref="B63:F63"/>
    <mergeCell ref="G63:P63"/>
  </mergeCells>
  <printOptions horizontalCentered="1"/>
  <pageMargins left="0.35433070866141736" right="0.23622047244094491" top="0.74803149606299213" bottom="0.74803149606299213" header="0.19685039370078741" footer="0.31496062992125984"/>
  <pageSetup scale="76" fitToHeight="0" orientation="portrait" r:id="rId1"/>
  <headerFooter>
    <oddHeader>&amp;C&amp;"-,Negrita Cursiva"&amp;12Protocolo integrado de aforo en ríos de montaña 
Universidad Nacional de Colombia-Sede Manizales</oddHeader>
  </headerFooter>
  <rowBreaks count="1" manualBreakCount="1">
    <brk id="51" min="1" max="15" man="1"/>
  </rowBreaks>
  <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8"/>
  <sheetViews>
    <sheetView view="pageBreakPreview" zoomScale="90" zoomScaleSheetLayoutView="90" zoomScalePageLayoutView="110" workbookViewId="0">
      <selection activeCell="J5" sqref="J5:P5"/>
    </sheetView>
  </sheetViews>
  <sheetFormatPr baseColWidth="10" defaultColWidth="11.42578125" defaultRowHeight="15" x14ac:dyDescent="0.25"/>
  <cols>
    <col min="1" max="1" width="0.140625" customWidth="1"/>
    <col min="2" max="2" width="6.7109375" customWidth="1"/>
    <col min="3" max="3" width="7.42578125" customWidth="1"/>
    <col min="4" max="4" width="11" bestFit="1" customWidth="1"/>
    <col min="5" max="5" width="6.85546875" customWidth="1"/>
    <col min="6" max="6" width="8.7109375" customWidth="1"/>
    <col min="7" max="7" width="6.7109375" customWidth="1"/>
    <col min="8" max="8" width="5.7109375" customWidth="1"/>
    <col min="9" max="9" width="6.85546875" customWidth="1"/>
    <col min="10" max="10" width="7.140625" customWidth="1"/>
    <col min="11" max="11" width="12" bestFit="1" customWidth="1"/>
    <col min="12" max="12" width="8" bestFit="1" customWidth="1"/>
    <col min="13" max="13" width="11" bestFit="1" customWidth="1"/>
    <col min="14" max="14" width="10.7109375" customWidth="1"/>
    <col min="15" max="16" width="11.7109375" customWidth="1"/>
  </cols>
  <sheetData>
    <row r="1" spans="1:16" ht="4.9000000000000004" customHeight="1" thickBot="1" x14ac:dyDescent="0.3"/>
    <row r="2" spans="1:16" s="2" customFormat="1" ht="30" customHeight="1" x14ac:dyDescent="0.25">
      <c r="A2" s="16"/>
      <c r="B2" s="305"/>
      <c r="C2" s="306"/>
      <c r="D2" s="307"/>
      <c r="E2" s="254" t="s">
        <v>54</v>
      </c>
      <c r="F2" s="255"/>
      <c r="G2" s="255"/>
      <c r="H2" s="255"/>
      <c r="I2" s="255"/>
      <c r="J2" s="255"/>
      <c r="K2" s="255"/>
      <c r="L2" s="255"/>
      <c r="M2" s="255"/>
      <c r="N2" s="255"/>
      <c r="O2" s="308"/>
      <c r="P2" s="258"/>
    </row>
    <row r="3" spans="1:16" s="2" customFormat="1" ht="20.45" customHeight="1" thickBot="1" x14ac:dyDescent="0.3">
      <c r="A3" s="16"/>
      <c r="B3" s="309"/>
      <c r="C3" s="310"/>
      <c r="D3" s="311"/>
      <c r="E3" s="256"/>
      <c r="F3" s="257"/>
      <c r="G3" s="257"/>
      <c r="H3" s="257"/>
      <c r="I3" s="257"/>
      <c r="J3" s="257"/>
      <c r="K3" s="257"/>
      <c r="L3" s="257"/>
      <c r="M3" s="257"/>
      <c r="N3" s="257"/>
      <c r="O3" s="312"/>
      <c r="P3" s="259"/>
    </row>
    <row r="4" spans="1:16" s="2" customFormat="1" ht="4.9000000000000004" customHeight="1" thickBot="1" x14ac:dyDescent="0.3">
      <c r="A4" s="16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</row>
    <row r="5" spans="1:16" s="320" customFormat="1" ht="27.75" customHeight="1" thickBot="1" x14ac:dyDescent="0.3">
      <c r="A5" s="318"/>
      <c r="B5" s="20" t="s">
        <v>0</v>
      </c>
      <c r="C5" s="316">
        <v>42874</v>
      </c>
      <c r="D5" s="317"/>
      <c r="E5" s="242" t="s">
        <v>55</v>
      </c>
      <c r="F5" s="243"/>
      <c r="G5" s="319">
        <v>2</v>
      </c>
      <c r="H5" s="242" t="s">
        <v>1</v>
      </c>
      <c r="I5" s="243"/>
      <c r="J5" s="313" t="s">
        <v>95</v>
      </c>
      <c r="K5" s="314"/>
      <c r="L5" s="314"/>
      <c r="M5" s="314"/>
      <c r="N5" s="314"/>
      <c r="O5" s="314"/>
      <c r="P5" s="315"/>
    </row>
    <row r="6" spans="1:16" s="21" customFormat="1" ht="11.25" customHeight="1" thickBot="1" x14ac:dyDescent="0.3">
      <c r="A6" s="19"/>
      <c r="B6" s="238" t="s">
        <v>2</v>
      </c>
      <c r="C6" s="239"/>
      <c r="D6" s="240" t="s">
        <v>88</v>
      </c>
      <c r="E6" s="240"/>
      <c r="F6" s="240"/>
      <c r="G6" s="240"/>
      <c r="H6" s="240"/>
      <c r="I6" s="240"/>
      <c r="J6" s="241"/>
      <c r="K6" s="242" t="s">
        <v>3</v>
      </c>
      <c r="L6" s="243"/>
      <c r="M6" s="244" t="s">
        <v>57</v>
      </c>
      <c r="N6" s="245"/>
      <c r="O6" s="244" t="s">
        <v>58</v>
      </c>
      <c r="P6" s="246"/>
    </row>
    <row r="7" spans="1:16" s="21" customFormat="1" ht="14.1" customHeight="1" x14ac:dyDescent="0.25">
      <c r="A7" s="19"/>
      <c r="B7" s="247" t="s">
        <v>59</v>
      </c>
      <c r="C7" s="227"/>
      <c r="D7" s="227"/>
      <c r="E7" s="248"/>
      <c r="F7" s="249" t="s">
        <v>10</v>
      </c>
      <c r="G7" s="250"/>
      <c r="H7" s="251"/>
      <c r="I7" s="22">
        <v>0.40763888888888888</v>
      </c>
      <c r="J7" s="252" t="s">
        <v>11</v>
      </c>
      <c r="K7" s="253"/>
      <c r="L7" s="23">
        <v>1.54</v>
      </c>
      <c r="M7" s="247" t="s">
        <v>13</v>
      </c>
      <c r="N7" s="227"/>
      <c r="O7" s="227"/>
      <c r="P7" s="24">
        <v>2.4300000000000002</v>
      </c>
    </row>
    <row r="8" spans="1:16" s="21" customFormat="1" ht="14.1" customHeight="1" thickBot="1" x14ac:dyDescent="0.3">
      <c r="A8" s="19"/>
      <c r="B8" s="215" t="s">
        <v>5</v>
      </c>
      <c r="C8" s="216"/>
      <c r="D8" s="216"/>
      <c r="E8" s="217"/>
      <c r="F8" s="25" t="s">
        <v>14</v>
      </c>
      <c r="G8" s="26"/>
      <c r="H8" s="27"/>
      <c r="I8" s="28">
        <v>0.45694444444444443</v>
      </c>
      <c r="J8" s="218" t="s">
        <v>15</v>
      </c>
      <c r="K8" s="219"/>
      <c r="L8" s="23">
        <v>1.54</v>
      </c>
      <c r="M8" s="220" t="s">
        <v>17</v>
      </c>
      <c r="N8" s="200"/>
      <c r="O8" s="200"/>
      <c r="P8" s="29">
        <v>0.2</v>
      </c>
    </row>
    <row r="9" spans="1:16" s="21" customFormat="1" ht="14.1" customHeight="1" x14ac:dyDescent="0.25">
      <c r="A9" s="30"/>
      <c r="B9" s="221" t="s">
        <v>6</v>
      </c>
      <c r="C9" s="222"/>
      <c r="D9" s="225" t="s">
        <v>7</v>
      </c>
      <c r="E9" s="227" t="s">
        <v>8</v>
      </c>
      <c r="F9" s="227"/>
      <c r="G9" s="227"/>
      <c r="H9" s="31"/>
      <c r="I9" s="228" t="s">
        <v>60</v>
      </c>
      <c r="J9" s="229"/>
      <c r="K9" s="232">
        <v>5.4</v>
      </c>
      <c r="L9" s="234" t="s">
        <v>12</v>
      </c>
      <c r="M9" s="235"/>
      <c r="N9" s="235"/>
      <c r="O9" s="236">
        <v>14</v>
      </c>
      <c r="P9" s="237"/>
    </row>
    <row r="10" spans="1:16" s="21" customFormat="1" ht="14.1" customHeight="1" thickBot="1" x14ac:dyDescent="0.3">
      <c r="A10" s="30"/>
      <c r="B10" s="223"/>
      <c r="C10" s="224"/>
      <c r="D10" s="226"/>
      <c r="E10" s="200" t="s">
        <v>9</v>
      </c>
      <c r="F10" s="200"/>
      <c r="G10" s="200"/>
      <c r="H10" s="32" t="s">
        <v>89</v>
      </c>
      <c r="I10" s="230"/>
      <c r="J10" s="231"/>
      <c r="K10" s="233"/>
      <c r="L10" s="201" t="s">
        <v>16</v>
      </c>
      <c r="M10" s="202"/>
      <c r="N10" s="202"/>
      <c r="O10" s="203">
        <v>0.4055555555555555</v>
      </c>
      <c r="P10" s="204"/>
    </row>
    <row r="11" spans="1:16" s="34" customFormat="1" ht="25.15" customHeight="1" x14ac:dyDescent="0.2">
      <c r="A11" s="11"/>
      <c r="B11" s="205" t="s">
        <v>18</v>
      </c>
      <c r="C11" s="208" t="s">
        <v>61</v>
      </c>
      <c r="D11" s="208"/>
      <c r="E11" s="208"/>
      <c r="F11" s="33"/>
      <c r="G11" s="209" t="s">
        <v>62</v>
      </c>
      <c r="H11" s="209"/>
      <c r="I11" s="209"/>
      <c r="J11" s="209"/>
      <c r="K11" s="209"/>
      <c r="L11" s="210"/>
      <c r="M11" s="209" t="s">
        <v>63</v>
      </c>
      <c r="N11" s="209"/>
      <c r="O11" s="209"/>
      <c r="P11" s="213"/>
    </row>
    <row r="12" spans="1:16" s="34" customFormat="1" ht="17.45" customHeight="1" x14ac:dyDescent="0.2">
      <c r="A12" s="11"/>
      <c r="B12" s="206"/>
      <c r="C12" s="214" t="s">
        <v>64</v>
      </c>
      <c r="D12" s="214"/>
      <c r="E12" s="214"/>
      <c r="F12" s="35"/>
      <c r="G12" s="178" t="s">
        <v>90</v>
      </c>
      <c r="H12" s="178"/>
      <c r="I12" s="178"/>
      <c r="J12" s="178"/>
      <c r="K12" s="178"/>
      <c r="L12" s="211"/>
      <c r="M12" s="178" t="s">
        <v>66</v>
      </c>
      <c r="N12" s="178"/>
      <c r="O12" s="178"/>
      <c r="P12" s="179"/>
    </row>
    <row r="13" spans="1:16" s="34" customFormat="1" ht="25.15" customHeight="1" thickBot="1" x14ac:dyDescent="0.25">
      <c r="A13" s="11"/>
      <c r="B13" s="207"/>
      <c r="C13" s="180"/>
      <c r="D13" s="181"/>
      <c r="E13" s="181"/>
      <c r="F13" s="181"/>
      <c r="G13" s="182" t="s">
        <v>65</v>
      </c>
      <c r="H13" s="182"/>
      <c r="I13" s="182"/>
      <c r="J13" s="182"/>
      <c r="K13" s="182"/>
      <c r="L13" s="212"/>
      <c r="M13" s="182" t="s">
        <v>68</v>
      </c>
      <c r="N13" s="182"/>
      <c r="O13" s="182"/>
      <c r="P13" s="183"/>
    </row>
    <row r="14" spans="1:16" ht="16.5" customHeight="1" x14ac:dyDescent="0.25">
      <c r="A14" s="5"/>
      <c r="B14" s="184" t="s">
        <v>19</v>
      </c>
      <c r="C14" s="186" t="s">
        <v>20</v>
      </c>
      <c r="D14" s="186" t="s">
        <v>41</v>
      </c>
      <c r="E14" s="188" t="s">
        <v>21</v>
      </c>
      <c r="F14" s="190" t="s">
        <v>42</v>
      </c>
      <c r="G14" s="191"/>
      <c r="H14" s="192"/>
      <c r="I14" s="196" t="s">
        <v>43</v>
      </c>
      <c r="J14" s="197"/>
      <c r="K14" s="36"/>
      <c r="L14" s="37" t="s">
        <v>44</v>
      </c>
      <c r="M14" s="37" t="s">
        <v>45</v>
      </c>
      <c r="N14" s="37" t="s">
        <v>45</v>
      </c>
      <c r="O14" s="37" t="s">
        <v>46</v>
      </c>
      <c r="P14" s="38" t="s">
        <v>22</v>
      </c>
    </row>
    <row r="15" spans="1:16" ht="14.1" customHeight="1" thickBot="1" x14ac:dyDescent="0.3">
      <c r="A15" s="5"/>
      <c r="B15" s="185"/>
      <c r="C15" s="187"/>
      <c r="D15" s="187"/>
      <c r="E15" s="189"/>
      <c r="F15" s="193"/>
      <c r="G15" s="194"/>
      <c r="H15" s="195"/>
      <c r="I15" s="198" t="s">
        <v>23</v>
      </c>
      <c r="J15" s="199"/>
      <c r="K15" s="39" t="s">
        <v>24</v>
      </c>
      <c r="L15" s="39" t="s">
        <v>47</v>
      </c>
      <c r="M15" s="39" t="s">
        <v>48</v>
      </c>
      <c r="N15" s="39" t="s">
        <v>25</v>
      </c>
      <c r="O15" s="39" t="s">
        <v>26</v>
      </c>
      <c r="P15" s="40" t="s">
        <v>27</v>
      </c>
    </row>
    <row r="16" spans="1:16" s="3" customFormat="1" ht="14.1" customHeight="1" x14ac:dyDescent="0.2">
      <c r="A16" s="11"/>
      <c r="B16" s="159">
        <v>1</v>
      </c>
      <c r="C16" s="162">
        <f>K9</f>
        <v>5.4</v>
      </c>
      <c r="D16" s="144">
        <v>0.1</v>
      </c>
      <c r="E16" s="144">
        <v>0.15</v>
      </c>
      <c r="F16" s="41" t="s">
        <v>69</v>
      </c>
      <c r="G16" s="164">
        <f>IF(E16&lt;0.12,"NA",IF(E16&gt;=0.12,0.2*E16))</f>
        <v>0.03</v>
      </c>
      <c r="H16" s="164"/>
      <c r="I16" s="164">
        <v>0.08</v>
      </c>
      <c r="J16" s="164"/>
      <c r="K16" s="144">
        <f>ROUND(+IF(E16&lt;0.12,(I17),(IF(E16&gt;=0.12,((I16+2*I17+I18)/4)))),3)</f>
        <v>4.5999999999999999E-2</v>
      </c>
      <c r="L16" s="144">
        <f>ROUND(+(D16+D18)/2*(C18-C16),3)</f>
        <v>2.7E-2</v>
      </c>
      <c r="M16" s="147">
        <f>ROUND(+K16*L16,4)</f>
        <v>1.1999999999999999E-3</v>
      </c>
      <c r="N16" s="150">
        <f>ROUND(+M16/$M$62*100,1)</f>
        <v>0.4</v>
      </c>
      <c r="O16" s="164"/>
      <c r="P16" s="270"/>
    </row>
    <row r="17" spans="1:16" s="3" customFormat="1" ht="14.1" customHeight="1" x14ac:dyDescent="0.2">
      <c r="A17" s="11"/>
      <c r="B17" s="160"/>
      <c r="C17" s="163"/>
      <c r="D17" s="145"/>
      <c r="E17" s="145"/>
      <c r="F17" s="42" t="s">
        <v>70</v>
      </c>
      <c r="G17" s="163">
        <f>IF(E16&lt;0.12,0.6*E16,IF(E16&gt;=0.12,0.6*E16))</f>
        <v>0.09</v>
      </c>
      <c r="H17" s="163"/>
      <c r="I17" s="165">
        <v>4.2000000000000003E-2</v>
      </c>
      <c r="J17" s="165"/>
      <c r="K17" s="145"/>
      <c r="L17" s="145"/>
      <c r="M17" s="148"/>
      <c r="N17" s="151"/>
      <c r="O17" s="165"/>
      <c r="P17" s="271"/>
    </row>
    <row r="18" spans="1:16" s="3" customFormat="1" ht="13.9" customHeight="1" thickBot="1" x14ac:dyDescent="0.25">
      <c r="A18" s="11"/>
      <c r="B18" s="161"/>
      <c r="C18" s="43">
        <f>C16+P8</f>
        <v>5.6000000000000005</v>
      </c>
      <c r="D18" s="44">
        <v>0.17</v>
      </c>
      <c r="E18" s="146"/>
      <c r="F18" s="45" t="s">
        <v>71</v>
      </c>
      <c r="G18" s="166">
        <f>IF(E16&lt;0.12,"NA",IF(E16&gt;=0.12,0.8*E16))</f>
        <v>0.12</v>
      </c>
      <c r="H18" s="166"/>
      <c r="I18" s="167">
        <v>1.7999999999999999E-2</v>
      </c>
      <c r="J18" s="167"/>
      <c r="K18" s="146"/>
      <c r="L18" s="146"/>
      <c r="M18" s="149"/>
      <c r="N18" s="152"/>
      <c r="O18" s="167"/>
      <c r="P18" s="272"/>
    </row>
    <row r="19" spans="1:16" s="3" customFormat="1" ht="14.1" customHeight="1" x14ac:dyDescent="0.2">
      <c r="A19" s="11"/>
      <c r="B19" s="159">
        <v>2</v>
      </c>
      <c r="C19" s="162">
        <f>+C18</f>
        <v>5.6000000000000005</v>
      </c>
      <c r="D19" s="144">
        <f>D18</f>
        <v>0.17</v>
      </c>
      <c r="E19" s="144">
        <v>0.27500000000000002</v>
      </c>
      <c r="F19" s="41" t="s">
        <v>69</v>
      </c>
      <c r="G19" s="164">
        <f t="shared" ref="G19" si="0">IF(E19&lt;0.12,"NA",IF(E19&gt;=0.12,0.2*E19))</f>
        <v>5.5000000000000007E-2</v>
      </c>
      <c r="H19" s="164"/>
      <c r="I19" s="164">
        <v>0.29699999999999999</v>
      </c>
      <c r="J19" s="164"/>
      <c r="K19" s="144">
        <f>ROUND(+IF(E19&lt;0.12,(I20),(IF(E19&gt;=0.12,((I19+2*I20+I21)/4)))),3)</f>
        <v>0.185</v>
      </c>
      <c r="L19" s="144">
        <f>ROUND(+(D19+D21)/2*(C21-C19),3)</f>
        <v>3.6999999999999998E-2</v>
      </c>
      <c r="M19" s="147">
        <f>ROUND(+K19*L19,4)</f>
        <v>6.7999999999999996E-3</v>
      </c>
      <c r="N19" s="150">
        <f>ROUND(+M19/$M$62*100,1)</f>
        <v>2.5</v>
      </c>
      <c r="O19" s="164"/>
      <c r="P19" s="270"/>
    </row>
    <row r="20" spans="1:16" s="3" customFormat="1" ht="14.1" customHeight="1" x14ac:dyDescent="0.2">
      <c r="A20" s="11"/>
      <c r="B20" s="160"/>
      <c r="C20" s="163"/>
      <c r="D20" s="145"/>
      <c r="E20" s="145"/>
      <c r="F20" s="42" t="s">
        <v>70</v>
      </c>
      <c r="G20" s="163">
        <f t="shared" ref="G20" si="1">IF(E19&lt;0.12,0.6*E19,IF(E19&gt;=0.12,0.6*E19))</f>
        <v>0.16500000000000001</v>
      </c>
      <c r="H20" s="163"/>
      <c r="I20" s="165">
        <v>0.21199999999999999</v>
      </c>
      <c r="J20" s="165"/>
      <c r="K20" s="145"/>
      <c r="L20" s="145"/>
      <c r="M20" s="148"/>
      <c r="N20" s="151"/>
      <c r="O20" s="165"/>
      <c r="P20" s="271"/>
    </row>
    <row r="21" spans="1:16" s="3" customFormat="1" ht="13.9" customHeight="1" thickBot="1" x14ac:dyDescent="0.25">
      <c r="A21" s="11"/>
      <c r="B21" s="161"/>
      <c r="C21" s="43">
        <f>C19+P8</f>
        <v>5.8000000000000007</v>
      </c>
      <c r="D21" s="44">
        <v>0.2</v>
      </c>
      <c r="E21" s="146"/>
      <c r="F21" s="45" t="s">
        <v>71</v>
      </c>
      <c r="G21" s="166">
        <f t="shared" ref="G21" si="2">IF(E19&lt;0.12,"NA",IF(E19&gt;=0.12,0.8*E19))</f>
        <v>0.22000000000000003</v>
      </c>
      <c r="H21" s="166"/>
      <c r="I21" s="167">
        <v>0.02</v>
      </c>
      <c r="J21" s="167"/>
      <c r="K21" s="146"/>
      <c r="L21" s="146"/>
      <c r="M21" s="149"/>
      <c r="N21" s="152"/>
      <c r="O21" s="167"/>
      <c r="P21" s="272"/>
    </row>
    <row r="22" spans="1:16" s="3" customFormat="1" ht="14.1" customHeight="1" x14ac:dyDescent="0.2">
      <c r="A22" s="11"/>
      <c r="B22" s="159">
        <v>3</v>
      </c>
      <c r="C22" s="162">
        <f>+C21</f>
        <v>5.8000000000000007</v>
      </c>
      <c r="D22" s="144">
        <f>D21</f>
        <v>0.2</v>
      </c>
      <c r="E22" s="144">
        <v>0.3</v>
      </c>
      <c r="F22" s="41" t="s">
        <v>69</v>
      </c>
      <c r="G22" s="164">
        <f t="shared" ref="G22" si="3">IF(E22&lt;0.12,"NA",IF(E22&gt;=0.12,0.2*E22))</f>
        <v>0.06</v>
      </c>
      <c r="H22" s="164"/>
      <c r="I22" s="164">
        <v>0.63700000000000001</v>
      </c>
      <c r="J22" s="164"/>
      <c r="K22" s="144">
        <f>ROUND(+IF(E22&lt;0.12,(I23),(IF(E22&gt;=0.12,((I22+2*I23+I24)/4)))),3)</f>
        <v>0.219</v>
      </c>
      <c r="L22" s="144">
        <f>ROUND(+(D22+D24)/2*(C24-C22),3)</f>
        <v>4.3999999999999997E-2</v>
      </c>
      <c r="M22" s="147">
        <f>ROUND(+K22*L22,4)</f>
        <v>9.5999999999999992E-3</v>
      </c>
      <c r="N22" s="150">
        <f>ROUND(+M22/$M$62*100,1)</f>
        <v>3.5</v>
      </c>
      <c r="O22" s="164"/>
      <c r="P22" s="270"/>
    </row>
    <row r="23" spans="1:16" s="3" customFormat="1" ht="14.1" customHeight="1" x14ac:dyDescent="0.2">
      <c r="A23" s="11"/>
      <c r="B23" s="160"/>
      <c r="C23" s="163"/>
      <c r="D23" s="145"/>
      <c r="E23" s="145"/>
      <c r="F23" s="42" t="s">
        <v>70</v>
      </c>
      <c r="G23" s="163">
        <f t="shared" ref="G23" si="4">IF(E22&lt;0.12,0.6*E22,IF(E22&gt;=0.12,0.6*E22))</f>
        <v>0.18</v>
      </c>
      <c r="H23" s="163"/>
      <c r="I23" s="165">
        <v>0.104</v>
      </c>
      <c r="J23" s="165"/>
      <c r="K23" s="145"/>
      <c r="L23" s="145"/>
      <c r="M23" s="148"/>
      <c r="N23" s="151"/>
      <c r="O23" s="165"/>
      <c r="P23" s="271"/>
    </row>
    <row r="24" spans="1:16" s="3" customFormat="1" ht="13.9" customHeight="1" thickBot="1" x14ac:dyDescent="0.25">
      <c r="A24" s="11"/>
      <c r="B24" s="161"/>
      <c r="C24" s="43">
        <f>+C22+P8</f>
        <v>6.0000000000000009</v>
      </c>
      <c r="D24" s="44">
        <v>0.23499999999999999</v>
      </c>
      <c r="E24" s="146"/>
      <c r="F24" s="45" t="s">
        <v>71</v>
      </c>
      <c r="G24" s="166">
        <f t="shared" ref="G24" si="5">IF(E22&lt;0.12,"NA",IF(E22&gt;=0.12,0.8*E22))</f>
        <v>0.24</v>
      </c>
      <c r="H24" s="166"/>
      <c r="I24" s="167">
        <v>0.03</v>
      </c>
      <c r="J24" s="167"/>
      <c r="K24" s="146"/>
      <c r="L24" s="146"/>
      <c r="M24" s="149"/>
      <c r="N24" s="152"/>
      <c r="O24" s="167"/>
      <c r="P24" s="272"/>
    </row>
    <row r="25" spans="1:16" s="18" customFormat="1" ht="14.1" customHeight="1" x14ac:dyDescent="0.2">
      <c r="A25" s="17"/>
      <c r="B25" s="247">
        <v>4</v>
      </c>
      <c r="C25" s="289">
        <f>+C24</f>
        <v>6.0000000000000009</v>
      </c>
      <c r="D25" s="273">
        <f>D24</f>
        <v>0.23499999999999999</v>
      </c>
      <c r="E25" s="273">
        <v>0.28899999999999998</v>
      </c>
      <c r="F25" s="53" t="s">
        <v>69</v>
      </c>
      <c r="G25" s="164">
        <f t="shared" ref="G25" si="6">IF(E25&lt;0.12,"NA",IF(E25&gt;=0.12,0.2*E25))</f>
        <v>5.7799999999999997E-2</v>
      </c>
      <c r="H25" s="164"/>
      <c r="I25" s="282">
        <v>0.64800000000000002</v>
      </c>
      <c r="J25" s="282"/>
      <c r="K25" s="144">
        <f>ROUND(+IF(E25&lt;0.12,(I26),(IF(E25&gt;=0.12,((I25+2*I26+I27)/4)))),3)</f>
        <v>0.45300000000000001</v>
      </c>
      <c r="L25" s="273">
        <f>ROUND(+(D25+D27)/2*(C27-C25),3)</f>
        <v>5.7000000000000002E-2</v>
      </c>
      <c r="M25" s="276">
        <f>ROUND(+K25*L25,4)</f>
        <v>2.58E-2</v>
      </c>
      <c r="N25" s="279">
        <f>ROUND(+M25/$M$62*100,1)</f>
        <v>9.4</v>
      </c>
      <c r="O25" s="282"/>
      <c r="P25" s="285"/>
    </row>
    <row r="26" spans="1:16" s="18" customFormat="1" ht="14.1" customHeight="1" x14ac:dyDescent="0.2">
      <c r="A26" s="17"/>
      <c r="B26" s="288"/>
      <c r="C26" s="290"/>
      <c r="D26" s="274"/>
      <c r="E26" s="274"/>
      <c r="F26" s="54" t="s">
        <v>70</v>
      </c>
      <c r="G26" s="163">
        <f t="shared" ref="G26" si="7">IF(E25&lt;0.12,0.6*E25,IF(E25&gt;=0.12,0.6*E25))</f>
        <v>0.17339999999999997</v>
      </c>
      <c r="H26" s="163"/>
      <c r="I26" s="283">
        <v>0.46500000000000002</v>
      </c>
      <c r="J26" s="283"/>
      <c r="K26" s="145"/>
      <c r="L26" s="274"/>
      <c r="M26" s="277"/>
      <c r="N26" s="280"/>
      <c r="O26" s="283"/>
      <c r="P26" s="286"/>
    </row>
    <row r="27" spans="1:16" s="18" customFormat="1" ht="13.9" customHeight="1" thickBot="1" x14ac:dyDescent="0.25">
      <c r="A27" s="17"/>
      <c r="B27" s="220"/>
      <c r="C27" s="55">
        <f>+C25+P8</f>
        <v>6.2000000000000011</v>
      </c>
      <c r="D27" s="56">
        <v>0.33500000000000002</v>
      </c>
      <c r="E27" s="275"/>
      <c r="F27" s="57" t="s">
        <v>71</v>
      </c>
      <c r="G27" s="166">
        <f t="shared" ref="G27" si="8">IF(E25&lt;0.12,"NA",IF(E25&gt;=0.12,0.8*E25))</f>
        <v>0.23119999999999999</v>
      </c>
      <c r="H27" s="166"/>
      <c r="I27" s="284">
        <v>0.23200000000000001</v>
      </c>
      <c r="J27" s="284"/>
      <c r="K27" s="146"/>
      <c r="L27" s="275"/>
      <c r="M27" s="278"/>
      <c r="N27" s="281"/>
      <c r="O27" s="284"/>
      <c r="P27" s="287"/>
    </row>
    <row r="28" spans="1:16" s="18" customFormat="1" ht="14.1" customHeight="1" x14ac:dyDescent="0.2">
      <c r="A28" s="17"/>
      <c r="B28" s="247">
        <v>5</v>
      </c>
      <c r="C28" s="289">
        <f>+C27</f>
        <v>6.2000000000000011</v>
      </c>
      <c r="D28" s="273">
        <f>+D27</f>
        <v>0.33500000000000002</v>
      </c>
      <c r="E28" s="273">
        <v>0.317</v>
      </c>
      <c r="F28" s="53" t="s">
        <v>69</v>
      </c>
      <c r="G28" s="282"/>
      <c r="H28" s="282"/>
      <c r="I28" s="282"/>
      <c r="J28" s="282"/>
      <c r="K28" s="273"/>
      <c r="L28" s="273"/>
      <c r="M28" s="276"/>
      <c r="N28" s="279"/>
      <c r="O28" s="282"/>
      <c r="P28" s="285"/>
    </row>
    <row r="29" spans="1:16" s="18" customFormat="1" ht="14.1" customHeight="1" x14ac:dyDescent="0.2">
      <c r="A29" s="17"/>
      <c r="B29" s="288"/>
      <c r="C29" s="290"/>
      <c r="D29" s="274"/>
      <c r="E29" s="274"/>
      <c r="F29" s="54" t="s">
        <v>70</v>
      </c>
      <c r="G29" s="290"/>
      <c r="H29" s="290"/>
      <c r="I29" s="165"/>
      <c r="J29" s="165"/>
      <c r="K29" s="274"/>
      <c r="L29" s="274"/>
      <c r="M29" s="277"/>
      <c r="N29" s="280"/>
      <c r="O29" s="283"/>
      <c r="P29" s="286"/>
    </row>
    <row r="30" spans="1:16" s="18" customFormat="1" ht="13.9" customHeight="1" thickBot="1" x14ac:dyDescent="0.25">
      <c r="A30" s="17"/>
      <c r="B30" s="220"/>
      <c r="C30" s="55">
        <f>+C28+P8</f>
        <v>6.4000000000000012</v>
      </c>
      <c r="D30" s="56">
        <v>0.3</v>
      </c>
      <c r="E30" s="275"/>
      <c r="F30" s="57" t="s">
        <v>71</v>
      </c>
      <c r="G30" s="291"/>
      <c r="H30" s="291"/>
      <c r="I30" s="167"/>
      <c r="J30" s="167"/>
      <c r="K30" s="275"/>
      <c r="L30" s="275"/>
      <c r="M30" s="278"/>
      <c r="N30" s="281"/>
      <c r="O30" s="284"/>
      <c r="P30" s="287"/>
    </row>
    <row r="31" spans="1:16" s="3" customFormat="1" ht="14.1" customHeight="1" x14ac:dyDescent="0.2">
      <c r="A31" s="11"/>
      <c r="B31" s="159">
        <v>6</v>
      </c>
      <c r="C31" s="162">
        <f>+C30</f>
        <v>6.4000000000000012</v>
      </c>
      <c r="D31" s="144">
        <f>D30</f>
        <v>0.3</v>
      </c>
      <c r="E31" s="144">
        <v>0.29499999999999998</v>
      </c>
      <c r="F31" s="41" t="s">
        <v>69</v>
      </c>
      <c r="G31" s="164">
        <f t="shared" ref="G31" si="9">IF(E31&lt;0.12,"NA",IF(E31&gt;=0.12,0.2*E31))</f>
        <v>5.8999999999999997E-2</v>
      </c>
      <c r="H31" s="164"/>
      <c r="I31" s="282">
        <v>1.29</v>
      </c>
      <c r="J31" s="282"/>
      <c r="K31" s="144">
        <f t="shared" ref="K31" si="10">ROUND(+IF(E31&lt;0.12,(I32),(IF(E31&gt;=0.12,((I31+2*I32+I33)/4)))),3)</f>
        <v>0.78400000000000003</v>
      </c>
      <c r="L31" s="273">
        <f>ROUND(+(D31+D33)/2*(C33-C31),3)</f>
        <v>5.7000000000000002E-2</v>
      </c>
      <c r="M31" s="276">
        <f>ROUND(+K31*L31,4)</f>
        <v>4.4699999999999997E-2</v>
      </c>
      <c r="N31" s="279">
        <f>ROUND(+M31/$M$62*100,1)</f>
        <v>16.3</v>
      </c>
      <c r="O31" s="164"/>
      <c r="P31" s="270"/>
    </row>
    <row r="32" spans="1:16" s="3" customFormat="1" ht="14.1" customHeight="1" x14ac:dyDescent="0.2">
      <c r="A32" s="11"/>
      <c r="B32" s="160"/>
      <c r="C32" s="163"/>
      <c r="D32" s="145"/>
      <c r="E32" s="145"/>
      <c r="F32" s="42" t="s">
        <v>70</v>
      </c>
      <c r="G32" s="163">
        <f t="shared" ref="G32" si="11">IF(E31&lt;0.12,0.6*E31,IF(E31&gt;=0.12,0.6*E31))</f>
        <v>0.17699999999999999</v>
      </c>
      <c r="H32" s="163"/>
      <c r="I32" s="165">
        <v>0.70599999999999996</v>
      </c>
      <c r="J32" s="165"/>
      <c r="K32" s="145"/>
      <c r="L32" s="274"/>
      <c r="M32" s="277"/>
      <c r="N32" s="280"/>
      <c r="O32" s="165"/>
      <c r="P32" s="271"/>
    </row>
    <row r="33" spans="1:16" s="3" customFormat="1" ht="13.9" customHeight="1" thickBot="1" x14ac:dyDescent="0.25">
      <c r="A33" s="11"/>
      <c r="B33" s="161"/>
      <c r="C33" s="43">
        <f>+C31+P8</f>
        <v>6.6000000000000014</v>
      </c>
      <c r="D33" s="44">
        <v>0.26500000000000001</v>
      </c>
      <c r="E33" s="146"/>
      <c r="F33" s="45" t="s">
        <v>71</v>
      </c>
      <c r="G33" s="166">
        <f t="shared" ref="G33" si="12">IF(E31&lt;0.12,"NA",IF(E31&gt;=0.12,0.8*E31))</f>
        <v>0.23599999999999999</v>
      </c>
      <c r="H33" s="166"/>
      <c r="I33" s="167">
        <v>0.435</v>
      </c>
      <c r="J33" s="167"/>
      <c r="K33" s="146"/>
      <c r="L33" s="275"/>
      <c r="M33" s="278"/>
      <c r="N33" s="281"/>
      <c r="O33" s="167"/>
      <c r="P33" s="272"/>
    </row>
    <row r="34" spans="1:16" s="3" customFormat="1" ht="14.1" customHeight="1" x14ac:dyDescent="0.2">
      <c r="A34" s="11"/>
      <c r="B34" s="159">
        <v>7</v>
      </c>
      <c r="C34" s="162">
        <f>C33</f>
        <v>6.6000000000000014</v>
      </c>
      <c r="D34" s="144">
        <f>D33</f>
        <v>0.26500000000000001</v>
      </c>
      <c r="E34" s="144">
        <v>0.26</v>
      </c>
      <c r="F34" s="41" t="s">
        <v>69</v>
      </c>
      <c r="G34" s="164">
        <f t="shared" ref="G34" si="13">IF(E34&lt;0.12,"NA",IF(E34&gt;=0.12,0.2*E34))</f>
        <v>5.2000000000000005E-2</v>
      </c>
      <c r="H34" s="164"/>
      <c r="I34" s="282">
        <v>1.1140000000000001</v>
      </c>
      <c r="J34" s="282"/>
      <c r="K34" s="144">
        <f t="shared" ref="K34" si="14">ROUND(+IF(E34&lt;0.12,(I35),(IF(E34&gt;=0.12,((I34+2*I35+I36)/4)))),3)</f>
        <v>0.74299999999999999</v>
      </c>
      <c r="L34" s="273">
        <f>ROUND(+(D34+D36)/2*(C36-C34),3)</f>
        <v>5.0999999999999997E-2</v>
      </c>
      <c r="M34" s="276">
        <f>ROUND(+K34*L34,4)</f>
        <v>3.7900000000000003E-2</v>
      </c>
      <c r="N34" s="279">
        <f>ROUND(+M34/$M$62*100,1)</f>
        <v>13.8</v>
      </c>
      <c r="O34" s="164"/>
      <c r="P34" s="270"/>
    </row>
    <row r="35" spans="1:16" s="3" customFormat="1" ht="14.1" customHeight="1" x14ac:dyDescent="0.2">
      <c r="A35" s="11"/>
      <c r="B35" s="160"/>
      <c r="C35" s="163"/>
      <c r="D35" s="145"/>
      <c r="E35" s="145"/>
      <c r="F35" s="42" t="s">
        <v>70</v>
      </c>
      <c r="G35" s="163">
        <f t="shared" ref="G35" si="15">IF(E34&lt;0.12,0.6*E34,IF(E34&gt;=0.12,0.6*E34))</f>
        <v>0.156</v>
      </c>
      <c r="H35" s="163"/>
      <c r="I35" s="165">
        <v>0.79100000000000004</v>
      </c>
      <c r="J35" s="165"/>
      <c r="K35" s="145"/>
      <c r="L35" s="274"/>
      <c r="M35" s="277"/>
      <c r="N35" s="280"/>
      <c r="O35" s="165"/>
      <c r="P35" s="271"/>
    </row>
    <row r="36" spans="1:16" s="3" customFormat="1" ht="13.9" customHeight="1" thickBot="1" x14ac:dyDescent="0.25">
      <c r="A36" s="11"/>
      <c r="B36" s="161"/>
      <c r="C36" s="43">
        <f>C34+P8</f>
        <v>6.8000000000000016</v>
      </c>
      <c r="D36" s="44">
        <v>0.247</v>
      </c>
      <c r="E36" s="146"/>
      <c r="F36" s="45" t="s">
        <v>71</v>
      </c>
      <c r="G36" s="166">
        <f t="shared" ref="G36" si="16">IF(E34&lt;0.12,"NA",IF(E34&gt;=0.12,0.8*E34))</f>
        <v>0.20800000000000002</v>
      </c>
      <c r="H36" s="166"/>
      <c r="I36" s="167">
        <v>0.27700000000000002</v>
      </c>
      <c r="J36" s="167"/>
      <c r="K36" s="146"/>
      <c r="L36" s="275"/>
      <c r="M36" s="278"/>
      <c r="N36" s="281"/>
      <c r="O36" s="167"/>
      <c r="P36" s="272"/>
    </row>
    <row r="37" spans="1:16" s="3" customFormat="1" ht="14.1" customHeight="1" x14ac:dyDescent="0.2">
      <c r="A37" s="11"/>
      <c r="B37" s="159">
        <v>8</v>
      </c>
      <c r="C37" s="162">
        <f>+C36</f>
        <v>6.8000000000000016</v>
      </c>
      <c r="D37" s="144">
        <f>+D36</f>
        <v>0.247</v>
      </c>
      <c r="E37" s="144">
        <v>0.23</v>
      </c>
      <c r="F37" s="41" t="s">
        <v>69</v>
      </c>
      <c r="G37" s="164">
        <f t="shared" ref="G37" si="17">IF(E37&lt;0.12,"NA",IF(E37&gt;=0.12,0.2*E37))</f>
        <v>4.6000000000000006E-2</v>
      </c>
      <c r="H37" s="164"/>
      <c r="I37" s="282">
        <v>1.1100000000000001</v>
      </c>
      <c r="J37" s="282"/>
      <c r="K37" s="144">
        <f t="shared" ref="K37" si="18">ROUND(+IF(E37&lt;0.12,(I38),(IF(E37&gt;=0.12,((I37+2*I38+I39)/4)))),3)</f>
        <v>0.78400000000000003</v>
      </c>
      <c r="L37" s="273">
        <f>ROUND(+(D37+D39)/2*(C39-C37),3)</f>
        <v>4.8000000000000001E-2</v>
      </c>
      <c r="M37" s="276">
        <f>ROUND(+K37*L37,4)</f>
        <v>3.7600000000000001E-2</v>
      </c>
      <c r="N37" s="279">
        <f>ROUND(+M37/$M$62*100,1)</f>
        <v>13.7</v>
      </c>
      <c r="O37" s="164"/>
      <c r="P37" s="270"/>
    </row>
    <row r="38" spans="1:16" s="3" customFormat="1" ht="14.1" customHeight="1" x14ac:dyDescent="0.2">
      <c r="A38" s="11"/>
      <c r="B38" s="160"/>
      <c r="C38" s="163"/>
      <c r="D38" s="145"/>
      <c r="E38" s="145"/>
      <c r="F38" s="42" t="s">
        <v>70</v>
      </c>
      <c r="G38" s="163">
        <f t="shared" ref="G38" si="19">IF(E37&lt;0.12,0.6*E37,IF(E37&gt;=0.12,0.6*E37))</f>
        <v>0.13800000000000001</v>
      </c>
      <c r="H38" s="163"/>
      <c r="I38" s="165">
        <v>0.71</v>
      </c>
      <c r="J38" s="165"/>
      <c r="K38" s="145"/>
      <c r="L38" s="274"/>
      <c r="M38" s="277"/>
      <c r="N38" s="280"/>
      <c r="O38" s="165"/>
      <c r="P38" s="271"/>
    </row>
    <row r="39" spans="1:16" s="3" customFormat="1" ht="13.9" customHeight="1" thickBot="1" x14ac:dyDescent="0.25">
      <c r="A39" s="11"/>
      <c r="B39" s="161"/>
      <c r="C39" s="43">
        <f>+C37+P8</f>
        <v>7.0000000000000018</v>
      </c>
      <c r="D39" s="44">
        <v>0.23</v>
      </c>
      <c r="E39" s="146"/>
      <c r="F39" s="45" t="s">
        <v>71</v>
      </c>
      <c r="G39" s="166">
        <f t="shared" ref="G39" si="20">IF(E37&lt;0.12,"NA",IF(E37&gt;=0.12,0.8*E37))</f>
        <v>0.18400000000000002</v>
      </c>
      <c r="H39" s="166"/>
      <c r="I39" s="167">
        <v>0.60499999999999998</v>
      </c>
      <c r="J39" s="167"/>
      <c r="K39" s="146"/>
      <c r="L39" s="275"/>
      <c r="M39" s="278"/>
      <c r="N39" s="281"/>
      <c r="O39" s="167"/>
      <c r="P39" s="272"/>
    </row>
    <row r="40" spans="1:16" s="3" customFormat="1" ht="14.1" customHeight="1" x14ac:dyDescent="0.2">
      <c r="A40" s="11"/>
      <c r="B40" s="159">
        <v>9</v>
      </c>
      <c r="C40" s="162">
        <f>+C39</f>
        <v>7.0000000000000018</v>
      </c>
      <c r="D40" s="144">
        <f>D39</f>
        <v>0.23</v>
      </c>
      <c r="E40" s="144">
        <v>0.22</v>
      </c>
      <c r="F40" s="41" t="s">
        <v>69</v>
      </c>
      <c r="G40" s="164">
        <f t="shared" ref="G40" si="21">IF(E40&lt;0.12,"NA",IF(E40&gt;=0.12,0.2*E40))</f>
        <v>4.4000000000000004E-2</v>
      </c>
      <c r="H40" s="164"/>
      <c r="I40" s="164">
        <v>1.1040000000000001</v>
      </c>
      <c r="J40" s="164"/>
      <c r="K40" s="144">
        <f t="shared" ref="K40" si="22">ROUND(+IF(E40&lt;0.12,(I41),(IF(E40&gt;=0.12,((I40+2*I41+I42)/4)))),3)</f>
        <v>0.72699999999999998</v>
      </c>
      <c r="L40" s="144">
        <f>ROUND(+(D40+D42)/2*(C42-C40),3)</f>
        <v>4.3999999999999997E-2</v>
      </c>
      <c r="M40" s="147">
        <f>ROUND(+K40*L40,4)</f>
        <v>3.2000000000000001E-2</v>
      </c>
      <c r="N40" s="150">
        <f>ROUND(+M40/$M$62*100,1)</f>
        <v>11.7</v>
      </c>
      <c r="O40" s="164"/>
      <c r="P40" s="270"/>
    </row>
    <row r="41" spans="1:16" s="3" customFormat="1" ht="14.1" customHeight="1" x14ac:dyDescent="0.2">
      <c r="A41" s="11"/>
      <c r="B41" s="160"/>
      <c r="C41" s="163"/>
      <c r="D41" s="145"/>
      <c r="E41" s="145"/>
      <c r="F41" s="42" t="s">
        <v>70</v>
      </c>
      <c r="G41" s="163">
        <f t="shared" ref="G41" si="23">IF(E40&lt;0.12,0.6*E40,IF(E40&gt;=0.12,0.6*E40))</f>
        <v>0.13200000000000001</v>
      </c>
      <c r="H41" s="163"/>
      <c r="I41" s="165">
        <v>0.78200000000000003</v>
      </c>
      <c r="J41" s="165"/>
      <c r="K41" s="145"/>
      <c r="L41" s="145"/>
      <c r="M41" s="148"/>
      <c r="N41" s="151"/>
      <c r="O41" s="165"/>
      <c r="P41" s="271"/>
    </row>
    <row r="42" spans="1:16" s="3" customFormat="1" ht="13.9" customHeight="1" thickBot="1" x14ac:dyDescent="0.25">
      <c r="A42" s="11"/>
      <c r="B42" s="161"/>
      <c r="C42" s="43">
        <f>+C40+P8</f>
        <v>7.200000000000002</v>
      </c>
      <c r="D42" s="44">
        <v>0.21</v>
      </c>
      <c r="E42" s="146"/>
      <c r="F42" s="45" t="s">
        <v>71</v>
      </c>
      <c r="G42" s="166">
        <f t="shared" ref="G42" si="24">IF(E40&lt;0.12,"NA",IF(E40&gt;=0.12,0.8*E40))</f>
        <v>0.17600000000000002</v>
      </c>
      <c r="H42" s="166"/>
      <c r="I42" s="167">
        <v>0.23899999999999999</v>
      </c>
      <c r="J42" s="167"/>
      <c r="K42" s="146"/>
      <c r="L42" s="146"/>
      <c r="M42" s="149"/>
      <c r="N42" s="152"/>
      <c r="O42" s="167"/>
      <c r="P42" s="272"/>
    </row>
    <row r="43" spans="1:16" s="3" customFormat="1" ht="14.1" customHeight="1" x14ac:dyDescent="0.2">
      <c r="A43" s="11"/>
      <c r="B43" s="159">
        <v>10</v>
      </c>
      <c r="C43" s="162">
        <f>+C42</f>
        <v>7.200000000000002</v>
      </c>
      <c r="D43" s="144">
        <f>+D42</f>
        <v>0.21</v>
      </c>
      <c r="E43" s="144">
        <v>0.20499999999999999</v>
      </c>
      <c r="F43" s="41" t="s">
        <v>69</v>
      </c>
      <c r="G43" s="164">
        <f t="shared" ref="G43" si="25">IF(E43&lt;0.12,"NA",IF(E43&gt;=0.12,0.2*E43))</f>
        <v>4.1000000000000002E-2</v>
      </c>
      <c r="H43" s="164"/>
      <c r="I43" s="164">
        <v>0.78500000000000003</v>
      </c>
      <c r="J43" s="164"/>
      <c r="K43" s="144">
        <f t="shared" ref="K43" si="26">ROUND(+IF(E43&lt;0.12,(I44),(IF(E43&gt;=0.12,((I43+2*I44+I45)/4)))),3)</f>
        <v>0.53700000000000003</v>
      </c>
      <c r="L43" s="144">
        <f>ROUND(+(D43+D45)/2*(C45-C43),3)</f>
        <v>4.1000000000000002E-2</v>
      </c>
      <c r="M43" s="147">
        <f>ROUND(+K43*L43,4)</f>
        <v>2.1999999999999999E-2</v>
      </c>
      <c r="N43" s="150">
        <f>ROUND(+M43/$M$62*100,1)</f>
        <v>8</v>
      </c>
      <c r="O43" s="164"/>
      <c r="P43" s="270"/>
    </row>
    <row r="44" spans="1:16" s="3" customFormat="1" ht="14.1" customHeight="1" x14ac:dyDescent="0.2">
      <c r="A44" s="11"/>
      <c r="B44" s="160"/>
      <c r="C44" s="163"/>
      <c r="D44" s="145"/>
      <c r="E44" s="145"/>
      <c r="F44" s="42" t="s">
        <v>70</v>
      </c>
      <c r="G44" s="163">
        <f t="shared" ref="G44" si="27">IF(E43&lt;0.12,0.6*E43,IF(E43&gt;=0.12,0.6*E43))</f>
        <v>0.12299999999999998</v>
      </c>
      <c r="H44" s="163"/>
      <c r="I44" s="165">
        <v>0.57199999999999995</v>
      </c>
      <c r="J44" s="165"/>
      <c r="K44" s="145"/>
      <c r="L44" s="145"/>
      <c r="M44" s="148"/>
      <c r="N44" s="151"/>
      <c r="O44" s="165"/>
      <c r="P44" s="271"/>
    </row>
    <row r="45" spans="1:16" s="3" customFormat="1" ht="13.9" customHeight="1" thickBot="1" x14ac:dyDescent="0.25">
      <c r="A45" s="11"/>
      <c r="B45" s="161"/>
      <c r="C45" s="43">
        <f>+C43+P8</f>
        <v>7.4000000000000021</v>
      </c>
      <c r="D45" s="44">
        <v>0.20300000000000001</v>
      </c>
      <c r="E45" s="146"/>
      <c r="F45" s="45" t="s">
        <v>71</v>
      </c>
      <c r="G45" s="166">
        <f t="shared" ref="G45" si="28">IF(E43&lt;0.12,"NA",IF(E43&gt;=0.12,0.8*E43))</f>
        <v>0.16400000000000001</v>
      </c>
      <c r="H45" s="166"/>
      <c r="I45" s="167">
        <v>0.219</v>
      </c>
      <c r="J45" s="167"/>
      <c r="K45" s="146"/>
      <c r="L45" s="146"/>
      <c r="M45" s="149"/>
      <c r="N45" s="152"/>
      <c r="O45" s="167"/>
      <c r="P45" s="272"/>
    </row>
    <row r="46" spans="1:16" s="3" customFormat="1" ht="14.1" customHeight="1" x14ac:dyDescent="0.2">
      <c r="A46" s="11"/>
      <c r="B46" s="159">
        <v>11</v>
      </c>
      <c r="C46" s="162">
        <f>+C45</f>
        <v>7.4000000000000021</v>
      </c>
      <c r="D46" s="144">
        <f>+D45</f>
        <v>0.20300000000000001</v>
      </c>
      <c r="E46" s="144">
        <v>0.193</v>
      </c>
      <c r="F46" s="41" t="s">
        <v>69</v>
      </c>
      <c r="G46" s="164">
        <f t="shared" ref="G46" si="29">IF(E46&lt;0.12,"NA",IF(E46&gt;=0.12,0.2*E46))</f>
        <v>3.8600000000000002E-2</v>
      </c>
      <c r="H46" s="164"/>
      <c r="I46" s="164">
        <v>0.254</v>
      </c>
      <c r="J46" s="164"/>
      <c r="K46" s="144">
        <f t="shared" ref="K46" si="30">ROUND(+IF(E46&lt;0.12,(I47),(IF(E46&gt;=0.12,((I46+2*I47+I48)/4)))),3)</f>
        <v>0.17199999999999999</v>
      </c>
      <c r="L46" s="144">
        <f>ROUND(+(D46+D48)/2*(C48-C46),3)</f>
        <v>0.04</v>
      </c>
      <c r="M46" s="147">
        <f>ROUND(+K46*L46,4)</f>
        <v>6.8999999999999999E-3</v>
      </c>
      <c r="N46" s="150">
        <f>ROUND(+M46/$M$62*100,1)</f>
        <v>2.5</v>
      </c>
      <c r="O46" s="164"/>
      <c r="P46" s="270"/>
    </row>
    <row r="47" spans="1:16" s="3" customFormat="1" ht="14.1" customHeight="1" x14ac:dyDescent="0.2">
      <c r="A47" s="11"/>
      <c r="B47" s="160"/>
      <c r="C47" s="163"/>
      <c r="D47" s="145"/>
      <c r="E47" s="145"/>
      <c r="F47" s="42" t="s">
        <v>70</v>
      </c>
      <c r="G47" s="163">
        <f t="shared" ref="G47" si="31">IF(E46&lt;0.12,0.6*E46,IF(E46&gt;=0.12,0.6*E46))</f>
        <v>0.1158</v>
      </c>
      <c r="H47" s="163"/>
      <c r="I47" s="165">
        <v>0.19400000000000001</v>
      </c>
      <c r="J47" s="165"/>
      <c r="K47" s="145"/>
      <c r="L47" s="145"/>
      <c r="M47" s="148"/>
      <c r="N47" s="151"/>
      <c r="O47" s="165"/>
      <c r="P47" s="271"/>
    </row>
    <row r="48" spans="1:16" s="3" customFormat="1" ht="13.9" customHeight="1" thickBot="1" x14ac:dyDescent="0.25">
      <c r="A48" s="11"/>
      <c r="B48" s="161"/>
      <c r="C48" s="43">
        <f>+C46+P8</f>
        <v>7.6000000000000023</v>
      </c>
      <c r="D48" s="44">
        <v>0.19600000000000001</v>
      </c>
      <c r="E48" s="146"/>
      <c r="F48" s="45" t="s">
        <v>71</v>
      </c>
      <c r="G48" s="166">
        <f t="shared" ref="G48" si="32">IF(E46&lt;0.12,"NA",IF(E46&gt;=0.12,0.8*E46))</f>
        <v>0.15440000000000001</v>
      </c>
      <c r="H48" s="166"/>
      <c r="I48" s="167">
        <v>4.4999999999999998E-2</v>
      </c>
      <c r="J48" s="167"/>
      <c r="K48" s="146"/>
      <c r="L48" s="146"/>
      <c r="M48" s="149"/>
      <c r="N48" s="152"/>
      <c r="O48" s="167"/>
      <c r="P48" s="272"/>
    </row>
    <row r="49" spans="1:16" s="3" customFormat="1" ht="14.1" customHeight="1" x14ac:dyDescent="0.2">
      <c r="A49" s="11"/>
      <c r="B49" s="159">
        <v>12</v>
      </c>
      <c r="C49" s="162">
        <f>+C48</f>
        <v>7.6000000000000023</v>
      </c>
      <c r="D49" s="144">
        <f>+D48</f>
        <v>0.19600000000000001</v>
      </c>
      <c r="E49" s="144">
        <v>0.11799999999999999</v>
      </c>
      <c r="F49" s="41" t="s">
        <v>69</v>
      </c>
      <c r="G49" s="164" t="str">
        <f t="shared" ref="G49" si="33">IF(E49&lt;0.12,"NA",IF(E49&gt;=0.12,0.2*E49))</f>
        <v>NA</v>
      </c>
      <c r="H49" s="164"/>
      <c r="I49" s="164"/>
      <c r="J49" s="164"/>
      <c r="K49" s="144">
        <f t="shared" ref="K49" si="34">ROUND(+IF(E49&lt;0.12,(I50),(IF(E49&gt;=0.12,((I49+2*I50+I51)/4)))),3)</f>
        <v>3.6999999999999998E-2</v>
      </c>
      <c r="L49" s="144">
        <f>ROUND(+(D49+D51)/2*(C51-C49),3)</f>
        <v>3.4000000000000002E-2</v>
      </c>
      <c r="M49" s="147">
        <f>ROUND(+K49*L49,4)</f>
        <v>1.2999999999999999E-3</v>
      </c>
      <c r="N49" s="150">
        <f>ROUND(+M49/$M$62*100,1)</f>
        <v>0.5</v>
      </c>
      <c r="O49" s="164"/>
      <c r="P49" s="270"/>
    </row>
    <row r="50" spans="1:16" s="3" customFormat="1" ht="14.1" customHeight="1" x14ac:dyDescent="0.2">
      <c r="A50" s="11"/>
      <c r="B50" s="160"/>
      <c r="C50" s="163"/>
      <c r="D50" s="145"/>
      <c r="E50" s="145"/>
      <c r="F50" s="42" t="s">
        <v>70</v>
      </c>
      <c r="G50" s="163">
        <f t="shared" ref="G50" si="35">IF(E49&lt;0.12,0.6*E49,IF(E49&gt;=0.12,0.6*E49))</f>
        <v>7.0799999999999988E-2</v>
      </c>
      <c r="H50" s="163"/>
      <c r="I50" s="165">
        <v>3.6999999999999998E-2</v>
      </c>
      <c r="J50" s="165"/>
      <c r="K50" s="145"/>
      <c r="L50" s="145"/>
      <c r="M50" s="148"/>
      <c r="N50" s="151"/>
      <c r="O50" s="165"/>
      <c r="P50" s="271"/>
    </row>
    <row r="51" spans="1:16" s="3" customFormat="1" ht="13.9" customHeight="1" thickBot="1" x14ac:dyDescent="0.25">
      <c r="A51" s="11"/>
      <c r="B51" s="161"/>
      <c r="C51" s="43">
        <f>C49+0.23</f>
        <v>7.8300000000000027</v>
      </c>
      <c r="D51" s="44">
        <v>0.1</v>
      </c>
      <c r="E51" s="146"/>
      <c r="F51" s="45" t="s">
        <v>71</v>
      </c>
      <c r="G51" s="166" t="str">
        <f t="shared" ref="G51" si="36">IF(E49&lt;0.12,"NA",IF(E49&gt;=0.12,0.8*E49))</f>
        <v>NA</v>
      </c>
      <c r="H51" s="166"/>
      <c r="I51" s="167"/>
      <c r="J51" s="167"/>
      <c r="K51" s="146"/>
      <c r="L51" s="146"/>
      <c r="M51" s="149"/>
      <c r="N51" s="152"/>
      <c r="O51" s="167"/>
      <c r="P51" s="272"/>
    </row>
    <row r="52" spans="1:16" s="3" customFormat="1" ht="14.1" customHeight="1" x14ac:dyDescent="0.2">
      <c r="A52" s="11"/>
      <c r="B52" s="265">
        <f>+B28</f>
        <v>5</v>
      </c>
      <c r="C52" s="268">
        <f>+C28</f>
        <v>6.2000000000000011</v>
      </c>
      <c r="D52" s="269">
        <f>+D28</f>
        <v>0.33500000000000002</v>
      </c>
      <c r="E52" s="269">
        <f>+E28</f>
        <v>0.317</v>
      </c>
      <c r="F52" s="46" t="s">
        <v>30</v>
      </c>
      <c r="G52" s="142"/>
      <c r="H52" s="142"/>
      <c r="I52" s="131">
        <v>1.1180000000000001</v>
      </c>
      <c r="J52" s="131"/>
      <c r="K52" s="130">
        <f>ROUND(+AVERAGE(I52:J61),3)</f>
        <v>0.755</v>
      </c>
      <c r="L52" s="131">
        <f>ROUND(+(D52+D57)/2*(C57-C52),3)</f>
        <v>6.4000000000000001E-2</v>
      </c>
      <c r="M52" s="132">
        <f>ROUND(+K52*L52,4)</f>
        <v>4.8300000000000003E-2</v>
      </c>
      <c r="N52" s="131">
        <f>ROUND(+M52/$M$62*100,1)</f>
        <v>17.600000000000001</v>
      </c>
      <c r="O52" s="131"/>
      <c r="P52" s="135"/>
    </row>
    <row r="53" spans="1:16" s="3" customFormat="1" ht="14.1" customHeight="1" x14ac:dyDescent="0.2">
      <c r="A53" s="11"/>
      <c r="B53" s="266"/>
      <c r="C53" s="261"/>
      <c r="D53" s="263"/>
      <c r="E53" s="263"/>
      <c r="F53" s="47" t="s">
        <v>72</v>
      </c>
      <c r="G53" s="121">
        <f>+ROUND(0.1*$E$52,2)</f>
        <v>0.03</v>
      </c>
      <c r="H53" s="121"/>
      <c r="I53" s="126">
        <v>1.026</v>
      </c>
      <c r="J53" s="126"/>
      <c r="K53" s="126"/>
      <c r="L53" s="126"/>
      <c r="M53" s="133"/>
      <c r="N53" s="126"/>
      <c r="O53" s="126"/>
      <c r="P53" s="136"/>
    </row>
    <row r="54" spans="1:16" s="3" customFormat="1" ht="14.1" customHeight="1" x14ac:dyDescent="0.2">
      <c r="A54" s="11"/>
      <c r="B54" s="266"/>
      <c r="C54" s="261"/>
      <c r="D54" s="263"/>
      <c r="E54" s="263"/>
      <c r="F54" s="47" t="s">
        <v>69</v>
      </c>
      <c r="G54" s="121">
        <f>+ROUND(0.2*$E$52,2)</f>
        <v>0.06</v>
      </c>
      <c r="H54" s="121"/>
      <c r="I54" s="126">
        <v>0.96599999999999997</v>
      </c>
      <c r="J54" s="126"/>
      <c r="K54" s="126"/>
      <c r="L54" s="126"/>
      <c r="M54" s="133"/>
      <c r="N54" s="126"/>
      <c r="O54" s="126"/>
      <c r="P54" s="136"/>
    </row>
    <row r="55" spans="1:16" s="3" customFormat="1" ht="14.1" customHeight="1" x14ac:dyDescent="0.2">
      <c r="A55" s="11"/>
      <c r="B55" s="266"/>
      <c r="C55" s="261"/>
      <c r="D55" s="263"/>
      <c r="E55" s="263"/>
      <c r="F55" s="47" t="s">
        <v>73</v>
      </c>
      <c r="G55" s="121">
        <f>+ROUND(0.3*$E$52,2)</f>
        <v>0.1</v>
      </c>
      <c r="H55" s="121"/>
      <c r="I55" s="126">
        <v>0.89400000000000002</v>
      </c>
      <c r="J55" s="126"/>
      <c r="K55" s="126"/>
      <c r="L55" s="126"/>
      <c r="M55" s="133"/>
      <c r="N55" s="126"/>
      <c r="O55" s="126"/>
      <c r="P55" s="136"/>
    </row>
    <row r="56" spans="1:16" s="3" customFormat="1" ht="14.1" customHeight="1" x14ac:dyDescent="0.2">
      <c r="A56" s="11"/>
      <c r="B56" s="266"/>
      <c r="C56" s="261"/>
      <c r="D56" s="263"/>
      <c r="E56" s="263"/>
      <c r="F56" s="47" t="s">
        <v>74</v>
      </c>
      <c r="G56" s="121">
        <f>+ROUND(0.4*$E$52,2)</f>
        <v>0.13</v>
      </c>
      <c r="H56" s="121"/>
      <c r="I56" s="126">
        <v>0.85099999999999998</v>
      </c>
      <c r="J56" s="126"/>
      <c r="K56" s="126"/>
      <c r="L56" s="126"/>
      <c r="M56" s="133"/>
      <c r="N56" s="126"/>
      <c r="O56" s="126"/>
      <c r="P56" s="136"/>
    </row>
    <row r="57" spans="1:16" s="3" customFormat="1" ht="14.1" customHeight="1" x14ac:dyDescent="0.2">
      <c r="A57" s="11"/>
      <c r="B57" s="266"/>
      <c r="C57" s="261">
        <f>+C30</f>
        <v>6.4000000000000012</v>
      </c>
      <c r="D57" s="263">
        <f>+D30</f>
        <v>0.3</v>
      </c>
      <c r="E57" s="263"/>
      <c r="F57" s="47" t="s">
        <v>29</v>
      </c>
      <c r="G57" s="121">
        <f>+ROUND(0.5*$E$52,2)</f>
        <v>0.16</v>
      </c>
      <c r="H57" s="121"/>
      <c r="I57" s="126">
        <v>0.71</v>
      </c>
      <c r="J57" s="126"/>
      <c r="K57" s="126"/>
      <c r="L57" s="126"/>
      <c r="M57" s="133"/>
      <c r="N57" s="126"/>
      <c r="O57" s="126"/>
      <c r="P57" s="136"/>
    </row>
    <row r="58" spans="1:16" s="3" customFormat="1" ht="14.1" customHeight="1" x14ac:dyDescent="0.2">
      <c r="A58" s="11"/>
      <c r="B58" s="266"/>
      <c r="C58" s="261"/>
      <c r="D58" s="263"/>
      <c r="E58" s="263"/>
      <c r="F58" s="47" t="s">
        <v>70</v>
      </c>
      <c r="G58" s="121">
        <f>+ROUND(0.6*$E$52,2)</f>
        <v>0.19</v>
      </c>
      <c r="H58" s="121"/>
      <c r="I58" s="126">
        <v>0.61599999999999999</v>
      </c>
      <c r="J58" s="126"/>
      <c r="K58" s="126"/>
      <c r="L58" s="126"/>
      <c r="M58" s="133"/>
      <c r="N58" s="126"/>
      <c r="O58" s="126"/>
      <c r="P58" s="136"/>
    </row>
    <row r="59" spans="1:16" s="3" customFormat="1" ht="14.1" customHeight="1" x14ac:dyDescent="0.2">
      <c r="A59" s="11"/>
      <c r="B59" s="266"/>
      <c r="C59" s="261"/>
      <c r="D59" s="263"/>
      <c r="E59" s="263"/>
      <c r="F59" s="47" t="s">
        <v>75</v>
      </c>
      <c r="G59" s="121">
        <f>+ROUND(0.7*$E$52,2)</f>
        <v>0.22</v>
      </c>
      <c r="H59" s="121"/>
      <c r="I59" s="126">
        <v>0.50600000000000001</v>
      </c>
      <c r="J59" s="126"/>
      <c r="K59" s="126"/>
      <c r="L59" s="126"/>
      <c r="M59" s="133"/>
      <c r="N59" s="126"/>
      <c r="O59" s="126"/>
      <c r="P59" s="136"/>
    </row>
    <row r="60" spans="1:16" s="3" customFormat="1" ht="14.1" customHeight="1" x14ac:dyDescent="0.2">
      <c r="A60" s="11"/>
      <c r="B60" s="266"/>
      <c r="C60" s="261"/>
      <c r="D60" s="263"/>
      <c r="E60" s="263"/>
      <c r="F60" s="47" t="s">
        <v>71</v>
      </c>
      <c r="G60" s="121">
        <f>+ROUND(0.8*$E$52,2)</f>
        <v>0.25</v>
      </c>
      <c r="H60" s="121"/>
      <c r="I60" s="126">
        <v>0.50600000000000001</v>
      </c>
      <c r="J60" s="126"/>
      <c r="K60" s="126"/>
      <c r="L60" s="126"/>
      <c r="M60" s="133"/>
      <c r="N60" s="126"/>
      <c r="O60" s="126"/>
      <c r="P60" s="136"/>
    </row>
    <row r="61" spans="1:16" s="3" customFormat="1" ht="13.5" thickBot="1" x14ac:dyDescent="0.25">
      <c r="A61" s="11"/>
      <c r="B61" s="267"/>
      <c r="C61" s="262"/>
      <c r="D61" s="264"/>
      <c r="E61" s="264"/>
      <c r="F61" s="49" t="s">
        <v>76</v>
      </c>
      <c r="G61" s="123">
        <f>+ROUND(0.9*$E$52,2)</f>
        <v>0.28999999999999998</v>
      </c>
      <c r="H61" s="123"/>
      <c r="I61" s="127">
        <v>0.35499999999999998</v>
      </c>
      <c r="J61" s="127"/>
      <c r="K61" s="127"/>
      <c r="L61" s="127"/>
      <c r="M61" s="134"/>
      <c r="N61" s="127"/>
      <c r="O61" s="127"/>
      <c r="P61" s="137"/>
    </row>
    <row r="62" spans="1:16" s="3" customFormat="1" ht="12.75" x14ac:dyDescent="0.2">
      <c r="A62" s="11"/>
      <c r="B62" s="107" t="s">
        <v>31</v>
      </c>
      <c r="C62" s="108"/>
      <c r="D62" s="108"/>
      <c r="E62" s="108"/>
      <c r="F62" s="108"/>
      <c r="G62" s="108"/>
      <c r="H62" s="108"/>
      <c r="I62" s="108"/>
      <c r="J62" s="108"/>
      <c r="K62" s="50">
        <f>ROUND(+M62/L62,3)</f>
        <v>0.504</v>
      </c>
      <c r="L62" s="15">
        <f>SUM(L16:L61)</f>
        <v>0.54400000000000004</v>
      </c>
      <c r="M62" s="14">
        <f>SUM(M16:M61)</f>
        <v>0.27409999999999995</v>
      </c>
      <c r="N62" s="12">
        <f>ROUND(SUM(N16:N61),0)</f>
        <v>100</v>
      </c>
      <c r="O62" s="111" t="s">
        <v>32</v>
      </c>
      <c r="P62" s="113"/>
    </row>
    <row r="63" spans="1:16" s="3" customFormat="1" ht="15" customHeight="1" thickBot="1" x14ac:dyDescent="0.25">
      <c r="A63" s="11"/>
      <c r="B63" s="109"/>
      <c r="C63" s="110"/>
      <c r="D63" s="110"/>
      <c r="E63" s="110"/>
      <c r="F63" s="110"/>
      <c r="G63" s="110"/>
      <c r="H63" s="110"/>
      <c r="I63" s="110"/>
      <c r="J63" s="110"/>
      <c r="K63" s="13" t="s">
        <v>33</v>
      </c>
      <c r="L63" s="13" t="s">
        <v>49</v>
      </c>
      <c r="M63" s="13" t="s">
        <v>50</v>
      </c>
      <c r="N63" s="13" t="s">
        <v>34</v>
      </c>
      <c r="O63" s="112"/>
      <c r="P63" s="114"/>
    </row>
    <row r="64" spans="1:16" ht="69.599999999999994" customHeight="1" thickBot="1" x14ac:dyDescent="0.3">
      <c r="A64" s="51"/>
      <c r="B64" s="115" t="s">
        <v>28</v>
      </c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7"/>
    </row>
    <row r="65" spans="1:16" ht="15" customHeight="1" thickBot="1" x14ac:dyDescent="0.3">
      <c r="A65" s="5"/>
      <c r="B65" s="118" t="s">
        <v>77</v>
      </c>
      <c r="C65" s="119"/>
      <c r="D65" s="119"/>
      <c r="E65" s="119"/>
      <c r="F65" s="119"/>
      <c r="G65" s="119" t="s">
        <v>78</v>
      </c>
      <c r="H65" s="119"/>
      <c r="I65" s="119"/>
      <c r="J65" s="119"/>
      <c r="K65" s="119"/>
      <c r="L65" s="119"/>
      <c r="M65" s="119" t="s">
        <v>79</v>
      </c>
      <c r="N65" s="119"/>
      <c r="O65" s="119"/>
      <c r="P65" s="120"/>
    </row>
    <row r="66" spans="1:16" ht="15" customHeight="1" thickBot="1" x14ac:dyDescent="0.3">
      <c r="A66" s="5"/>
      <c r="B66" s="82"/>
      <c r="C66" s="83"/>
      <c r="D66" s="83"/>
      <c r="E66" s="83"/>
      <c r="F66" s="83"/>
      <c r="G66" s="83"/>
      <c r="H66" s="83"/>
      <c r="I66" s="84"/>
      <c r="J66" s="88" t="s">
        <v>52</v>
      </c>
      <c r="K66" s="89"/>
      <c r="L66" s="89"/>
      <c r="M66" s="89"/>
      <c r="N66" s="89"/>
      <c r="O66" s="89"/>
      <c r="P66" s="90"/>
    </row>
    <row r="67" spans="1:16" ht="18.600000000000001" customHeight="1" thickBot="1" x14ac:dyDescent="0.3">
      <c r="A67" s="6"/>
      <c r="B67" s="82"/>
      <c r="C67" s="83"/>
      <c r="D67" s="83"/>
      <c r="E67" s="83"/>
      <c r="F67" s="83"/>
      <c r="G67" s="83"/>
      <c r="H67" s="83"/>
      <c r="I67" s="84"/>
      <c r="J67" s="52" t="s">
        <v>80</v>
      </c>
      <c r="K67" s="91" t="s">
        <v>53</v>
      </c>
      <c r="L67" s="91"/>
      <c r="M67" s="91"/>
      <c r="N67" s="91"/>
      <c r="O67" s="91"/>
      <c r="P67" s="92"/>
    </row>
    <row r="68" spans="1:16" ht="97.15" customHeight="1" thickBot="1" x14ac:dyDescent="0.3">
      <c r="A68" s="10"/>
      <c r="B68" s="82"/>
      <c r="C68" s="83"/>
      <c r="D68" s="83"/>
      <c r="E68" s="83"/>
      <c r="F68" s="83"/>
      <c r="G68" s="83"/>
      <c r="H68" s="83"/>
      <c r="I68" s="84"/>
      <c r="J68" s="93" t="s">
        <v>91</v>
      </c>
      <c r="K68" s="94"/>
      <c r="L68" s="94"/>
      <c r="M68" s="94"/>
      <c r="N68" s="94"/>
      <c r="O68" s="94"/>
      <c r="P68" s="95"/>
    </row>
    <row r="69" spans="1:16" ht="15" customHeight="1" thickBot="1" x14ac:dyDescent="0.3">
      <c r="A69" s="5"/>
      <c r="B69" s="82"/>
      <c r="C69" s="83"/>
      <c r="D69" s="83"/>
      <c r="E69" s="83"/>
      <c r="F69" s="83"/>
      <c r="G69" s="83"/>
      <c r="H69" s="83"/>
      <c r="I69" s="84"/>
      <c r="J69" s="96" t="s">
        <v>35</v>
      </c>
      <c r="K69" s="97"/>
      <c r="L69" s="97"/>
      <c r="M69" s="97"/>
      <c r="N69" s="98"/>
      <c r="O69" s="99">
        <v>3.96</v>
      </c>
      <c r="P69" s="100"/>
    </row>
    <row r="70" spans="1:16" ht="15.75" thickBot="1" x14ac:dyDescent="0.3">
      <c r="A70" s="5"/>
      <c r="B70" s="82"/>
      <c r="C70" s="83"/>
      <c r="D70" s="83"/>
      <c r="E70" s="83"/>
      <c r="F70" s="83"/>
      <c r="G70" s="83"/>
      <c r="H70" s="83"/>
      <c r="I70" s="84"/>
      <c r="J70" s="101" t="s">
        <v>51</v>
      </c>
      <c r="K70" s="102"/>
      <c r="L70" s="102"/>
      <c r="M70" s="102"/>
      <c r="N70" s="103"/>
      <c r="O70" s="99">
        <v>0.36509999999999998</v>
      </c>
      <c r="P70" s="100"/>
    </row>
    <row r="71" spans="1:16" ht="14.45" customHeight="1" thickBot="1" x14ac:dyDescent="0.3">
      <c r="A71" s="5"/>
      <c r="B71" s="85"/>
      <c r="C71" s="86"/>
      <c r="D71" s="86"/>
      <c r="E71" s="86"/>
      <c r="F71" s="86"/>
      <c r="G71" s="86"/>
      <c r="H71" s="86"/>
      <c r="I71" s="87"/>
      <c r="J71" s="104" t="s">
        <v>83</v>
      </c>
      <c r="K71" s="105"/>
      <c r="L71" s="105"/>
      <c r="M71" s="105"/>
      <c r="N71" s="105"/>
      <c r="O71" s="105"/>
      <c r="P71" s="106"/>
    </row>
    <row r="72" spans="1:16" ht="14.45" customHeight="1" thickBot="1" x14ac:dyDescent="0.3">
      <c r="A72" s="7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4"/>
    </row>
    <row r="73" spans="1:16" ht="15.75" thickBot="1" x14ac:dyDescent="0.3">
      <c r="A73" s="75" t="s">
        <v>36</v>
      </c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7"/>
    </row>
    <row r="74" spans="1:16" ht="141.6" customHeight="1" thickBot="1" x14ac:dyDescent="0.3">
      <c r="A74" s="4"/>
      <c r="B74" s="78"/>
      <c r="C74" s="79"/>
      <c r="D74" s="79"/>
      <c r="E74" s="79"/>
      <c r="F74" s="80"/>
      <c r="G74" s="78"/>
      <c r="H74" s="79"/>
      <c r="I74" s="79"/>
      <c r="J74" s="79"/>
      <c r="K74" s="79"/>
      <c r="L74" s="80"/>
      <c r="M74" s="78"/>
      <c r="N74" s="79"/>
      <c r="O74" s="79"/>
      <c r="P74" s="80"/>
    </row>
    <row r="75" spans="1:16" s="9" customFormat="1" ht="13.9" customHeight="1" thickBot="1" x14ac:dyDescent="0.3">
      <c r="A75" s="8" t="s">
        <v>84</v>
      </c>
      <c r="B75" s="81" t="s">
        <v>92</v>
      </c>
      <c r="C75" s="68"/>
      <c r="D75" s="68"/>
      <c r="E75" s="68"/>
      <c r="F75" s="69"/>
      <c r="G75" s="81" t="s">
        <v>86</v>
      </c>
      <c r="H75" s="68"/>
      <c r="I75" s="68"/>
      <c r="J75" s="68"/>
      <c r="K75" s="68"/>
      <c r="L75" s="69"/>
      <c r="M75" s="81" t="s">
        <v>85</v>
      </c>
      <c r="N75" s="68"/>
      <c r="O75" s="68"/>
      <c r="P75" s="69"/>
    </row>
    <row r="76" spans="1:16" ht="14.45" customHeight="1" x14ac:dyDescent="0.25">
      <c r="A76" s="7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</row>
    <row r="77" spans="1:16" ht="14.45" customHeight="1" thickBot="1" x14ac:dyDescent="0.3">
      <c r="A77" s="7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</row>
    <row r="78" spans="1:16" s="3" customFormat="1" ht="15.75" customHeight="1" thickBot="1" x14ac:dyDescent="0.25">
      <c r="A78" s="70" t="s">
        <v>37</v>
      </c>
      <c r="B78" s="71"/>
      <c r="C78" s="71"/>
      <c r="D78" s="71" t="s">
        <v>87</v>
      </c>
      <c r="E78" s="71"/>
      <c r="F78" s="71"/>
      <c r="G78" s="71"/>
      <c r="H78" s="71"/>
      <c r="I78" s="71"/>
      <c r="J78" s="71" t="s">
        <v>38</v>
      </c>
      <c r="K78" s="71"/>
      <c r="L78" s="71"/>
      <c r="M78" s="71"/>
      <c r="N78" s="71"/>
      <c r="O78" s="71"/>
      <c r="P78" s="72"/>
    </row>
  </sheetData>
  <mergeCells count="301">
    <mergeCell ref="O2:P3"/>
    <mergeCell ref="B4:P4"/>
    <mergeCell ref="C5:D5"/>
    <mergeCell ref="E5:F5"/>
    <mergeCell ref="H5:I5"/>
    <mergeCell ref="J5:P5"/>
    <mergeCell ref="B2:D3"/>
    <mergeCell ref="E2:N3"/>
    <mergeCell ref="B6:C6"/>
    <mergeCell ref="D6:J6"/>
    <mergeCell ref="K6:L6"/>
    <mergeCell ref="M6:N6"/>
    <mergeCell ref="O6:P6"/>
    <mergeCell ref="B7:E7"/>
    <mergeCell ref="F7:H7"/>
    <mergeCell ref="J7:K7"/>
    <mergeCell ref="M7:O7"/>
    <mergeCell ref="B8:E8"/>
    <mergeCell ref="J8:K8"/>
    <mergeCell ref="M8:O8"/>
    <mergeCell ref="B9:C10"/>
    <mergeCell ref="D9:D10"/>
    <mergeCell ref="E9:G9"/>
    <mergeCell ref="I9:J10"/>
    <mergeCell ref="K9:K10"/>
    <mergeCell ref="L9:N9"/>
    <mergeCell ref="O9:P9"/>
    <mergeCell ref="E10:G10"/>
    <mergeCell ref="L10:N10"/>
    <mergeCell ref="O10:P10"/>
    <mergeCell ref="B11:B13"/>
    <mergeCell ref="C11:E11"/>
    <mergeCell ref="G11:K11"/>
    <mergeCell ref="L11:L13"/>
    <mergeCell ref="M11:P11"/>
    <mergeCell ref="C12:E12"/>
    <mergeCell ref="G12:K13"/>
    <mergeCell ref="M12:P12"/>
    <mergeCell ref="C13:F13"/>
    <mergeCell ref="M13:P13"/>
    <mergeCell ref="B14:B15"/>
    <mergeCell ref="C14:C15"/>
    <mergeCell ref="D14:D15"/>
    <mergeCell ref="E14:E15"/>
    <mergeCell ref="F14:H15"/>
    <mergeCell ref="I14:J14"/>
    <mergeCell ref="I15:J15"/>
    <mergeCell ref="K16:K18"/>
    <mergeCell ref="L16:L18"/>
    <mergeCell ref="M16:M18"/>
    <mergeCell ref="N16:N18"/>
    <mergeCell ref="O16:O18"/>
    <mergeCell ref="P16:P18"/>
    <mergeCell ref="B16:B18"/>
    <mergeCell ref="C16:C17"/>
    <mergeCell ref="D16:D17"/>
    <mergeCell ref="E16:E18"/>
    <mergeCell ref="G16:H16"/>
    <mergeCell ref="I16:J16"/>
    <mergeCell ref="G17:H17"/>
    <mergeCell ref="I17:J17"/>
    <mergeCell ref="G18:H18"/>
    <mergeCell ref="I18:J18"/>
    <mergeCell ref="K19:K21"/>
    <mergeCell ref="L19:L21"/>
    <mergeCell ref="M19:M21"/>
    <mergeCell ref="N19:N21"/>
    <mergeCell ref="O19:O21"/>
    <mergeCell ref="P19:P21"/>
    <mergeCell ref="B19:B21"/>
    <mergeCell ref="C19:C20"/>
    <mergeCell ref="D19:D20"/>
    <mergeCell ref="E19:E21"/>
    <mergeCell ref="G19:H19"/>
    <mergeCell ref="I19:J19"/>
    <mergeCell ref="G20:H20"/>
    <mergeCell ref="I20:J20"/>
    <mergeCell ref="G21:H21"/>
    <mergeCell ref="I21:J21"/>
    <mergeCell ref="K22:K24"/>
    <mergeCell ref="L22:L24"/>
    <mergeCell ref="M22:M24"/>
    <mergeCell ref="N22:N24"/>
    <mergeCell ref="O22:O24"/>
    <mergeCell ref="P22:P24"/>
    <mergeCell ref="B22:B24"/>
    <mergeCell ref="C22:C23"/>
    <mergeCell ref="D22:D23"/>
    <mergeCell ref="E22:E24"/>
    <mergeCell ref="G22:H22"/>
    <mergeCell ref="I22:J22"/>
    <mergeCell ref="G23:H23"/>
    <mergeCell ref="I23:J23"/>
    <mergeCell ref="G24:H24"/>
    <mergeCell ref="I24:J24"/>
    <mergeCell ref="K25:K27"/>
    <mergeCell ref="L25:L27"/>
    <mergeCell ref="M25:M27"/>
    <mergeCell ref="N25:N27"/>
    <mergeCell ref="O25:O27"/>
    <mergeCell ref="P25:P27"/>
    <mergeCell ref="B25:B27"/>
    <mergeCell ref="C25:C26"/>
    <mergeCell ref="D25:D26"/>
    <mergeCell ref="E25:E27"/>
    <mergeCell ref="G25:H25"/>
    <mergeCell ref="I25:J25"/>
    <mergeCell ref="G26:H26"/>
    <mergeCell ref="I26:J26"/>
    <mergeCell ref="G27:H27"/>
    <mergeCell ref="I27:J27"/>
    <mergeCell ref="K28:K30"/>
    <mergeCell ref="L28:L30"/>
    <mergeCell ref="M28:M30"/>
    <mergeCell ref="N28:N30"/>
    <mergeCell ref="O28:O30"/>
    <mergeCell ref="P28:P30"/>
    <mergeCell ref="B28:B30"/>
    <mergeCell ref="C28:C29"/>
    <mergeCell ref="D28:D29"/>
    <mergeCell ref="E28:E30"/>
    <mergeCell ref="G28:H28"/>
    <mergeCell ref="I28:J28"/>
    <mergeCell ref="G29:H29"/>
    <mergeCell ref="I29:J29"/>
    <mergeCell ref="G30:H30"/>
    <mergeCell ref="I30:J30"/>
    <mergeCell ref="K31:K33"/>
    <mergeCell ref="L31:L33"/>
    <mergeCell ref="M31:M33"/>
    <mergeCell ref="N31:N33"/>
    <mergeCell ref="O31:O33"/>
    <mergeCell ref="P31:P33"/>
    <mergeCell ref="B31:B33"/>
    <mergeCell ref="C31:C32"/>
    <mergeCell ref="D31:D32"/>
    <mergeCell ref="E31:E33"/>
    <mergeCell ref="G31:H31"/>
    <mergeCell ref="I31:J31"/>
    <mergeCell ref="G32:H32"/>
    <mergeCell ref="I32:J32"/>
    <mergeCell ref="G33:H33"/>
    <mergeCell ref="I33:J33"/>
    <mergeCell ref="K34:K36"/>
    <mergeCell ref="L34:L36"/>
    <mergeCell ref="M34:M36"/>
    <mergeCell ref="N34:N36"/>
    <mergeCell ref="O34:O36"/>
    <mergeCell ref="P34:P36"/>
    <mergeCell ref="B34:B36"/>
    <mergeCell ref="C34:C35"/>
    <mergeCell ref="D34:D35"/>
    <mergeCell ref="E34:E36"/>
    <mergeCell ref="G34:H34"/>
    <mergeCell ref="I34:J34"/>
    <mergeCell ref="G35:H35"/>
    <mergeCell ref="I35:J35"/>
    <mergeCell ref="G36:H36"/>
    <mergeCell ref="I36:J36"/>
    <mergeCell ref="K37:K39"/>
    <mergeCell ref="L37:L39"/>
    <mergeCell ref="M37:M39"/>
    <mergeCell ref="N37:N39"/>
    <mergeCell ref="O37:O39"/>
    <mergeCell ref="P37:P39"/>
    <mergeCell ref="B37:B39"/>
    <mergeCell ref="C37:C38"/>
    <mergeCell ref="D37:D38"/>
    <mergeCell ref="E37:E39"/>
    <mergeCell ref="G37:H37"/>
    <mergeCell ref="I37:J37"/>
    <mergeCell ref="G38:H38"/>
    <mergeCell ref="I38:J38"/>
    <mergeCell ref="G39:H39"/>
    <mergeCell ref="I39:J39"/>
    <mergeCell ref="K40:K42"/>
    <mergeCell ref="L40:L42"/>
    <mergeCell ref="M40:M42"/>
    <mergeCell ref="N40:N42"/>
    <mergeCell ref="O40:O42"/>
    <mergeCell ref="P40:P42"/>
    <mergeCell ref="B40:B42"/>
    <mergeCell ref="C40:C41"/>
    <mergeCell ref="D40:D41"/>
    <mergeCell ref="E40:E42"/>
    <mergeCell ref="G40:H40"/>
    <mergeCell ref="I40:J40"/>
    <mergeCell ref="G41:H41"/>
    <mergeCell ref="I41:J41"/>
    <mergeCell ref="G42:H42"/>
    <mergeCell ref="I42:J42"/>
    <mergeCell ref="K43:K45"/>
    <mergeCell ref="L43:L45"/>
    <mergeCell ref="M43:M45"/>
    <mergeCell ref="N43:N45"/>
    <mergeCell ref="O43:O45"/>
    <mergeCell ref="P43:P45"/>
    <mergeCell ref="B43:B45"/>
    <mergeCell ref="C43:C44"/>
    <mergeCell ref="D43:D44"/>
    <mergeCell ref="E43:E45"/>
    <mergeCell ref="G43:H43"/>
    <mergeCell ref="I43:J43"/>
    <mergeCell ref="G44:H44"/>
    <mergeCell ref="I44:J44"/>
    <mergeCell ref="G45:H45"/>
    <mergeCell ref="I45:J45"/>
    <mergeCell ref="K46:K48"/>
    <mergeCell ref="L46:L48"/>
    <mergeCell ref="M46:M48"/>
    <mergeCell ref="N46:N48"/>
    <mergeCell ref="O46:O48"/>
    <mergeCell ref="P46:P48"/>
    <mergeCell ref="B46:B48"/>
    <mergeCell ref="C46:C47"/>
    <mergeCell ref="D46:D47"/>
    <mergeCell ref="E46:E48"/>
    <mergeCell ref="G46:H46"/>
    <mergeCell ref="I46:J46"/>
    <mergeCell ref="G47:H47"/>
    <mergeCell ref="I47:J47"/>
    <mergeCell ref="G48:H48"/>
    <mergeCell ref="I48:J48"/>
    <mergeCell ref="K49:K51"/>
    <mergeCell ref="L49:L51"/>
    <mergeCell ref="M49:M51"/>
    <mergeCell ref="N49:N51"/>
    <mergeCell ref="O49:O51"/>
    <mergeCell ref="P49:P51"/>
    <mergeCell ref="B49:B51"/>
    <mergeCell ref="C49:C50"/>
    <mergeCell ref="D49:D50"/>
    <mergeCell ref="E49:E51"/>
    <mergeCell ref="G49:H49"/>
    <mergeCell ref="I49:J49"/>
    <mergeCell ref="G50:H50"/>
    <mergeCell ref="I50:J50"/>
    <mergeCell ref="G51:H51"/>
    <mergeCell ref="I51:J51"/>
    <mergeCell ref="G55:H55"/>
    <mergeCell ref="I55:J55"/>
    <mergeCell ref="G56:H56"/>
    <mergeCell ref="I56:J56"/>
    <mergeCell ref="C57:C61"/>
    <mergeCell ref="D57:D61"/>
    <mergeCell ref="G57:H57"/>
    <mergeCell ref="I57:J57"/>
    <mergeCell ref="G58:H58"/>
    <mergeCell ref="I58:J58"/>
    <mergeCell ref="C52:C56"/>
    <mergeCell ref="D52:D56"/>
    <mergeCell ref="E52:E61"/>
    <mergeCell ref="G52:H52"/>
    <mergeCell ref="I52:J52"/>
    <mergeCell ref="G53:H53"/>
    <mergeCell ref="I53:J53"/>
    <mergeCell ref="G54:H54"/>
    <mergeCell ref="I54:J54"/>
    <mergeCell ref="B62:J63"/>
    <mergeCell ref="O62:O63"/>
    <mergeCell ref="P62:P63"/>
    <mergeCell ref="B64:P64"/>
    <mergeCell ref="B65:F65"/>
    <mergeCell ref="G65:L65"/>
    <mergeCell ref="M65:P65"/>
    <mergeCell ref="G59:H59"/>
    <mergeCell ref="I59:J59"/>
    <mergeCell ref="G60:H60"/>
    <mergeCell ref="I60:J60"/>
    <mergeCell ref="G61:H61"/>
    <mergeCell ref="I61:J61"/>
    <mergeCell ref="K52:K61"/>
    <mergeCell ref="L52:L61"/>
    <mergeCell ref="M52:M61"/>
    <mergeCell ref="N52:N61"/>
    <mergeCell ref="O52:O61"/>
    <mergeCell ref="P52:P61"/>
    <mergeCell ref="B52:B61"/>
    <mergeCell ref="B66:I71"/>
    <mergeCell ref="J66:P66"/>
    <mergeCell ref="K67:P67"/>
    <mergeCell ref="J68:P68"/>
    <mergeCell ref="J69:N69"/>
    <mergeCell ref="O69:P69"/>
    <mergeCell ref="J70:N70"/>
    <mergeCell ref="O70:P70"/>
    <mergeCell ref="J71:P71"/>
    <mergeCell ref="B76:P76"/>
    <mergeCell ref="B77:P77"/>
    <mergeCell ref="A78:C78"/>
    <mergeCell ref="D78:I78"/>
    <mergeCell ref="J78:K78"/>
    <mergeCell ref="L78:P78"/>
    <mergeCell ref="B72:P72"/>
    <mergeCell ref="A73:P73"/>
    <mergeCell ref="B74:F74"/>
    <mergeCell ref="G74:L74"/>
    <mergeCell ref="M74:P74"/>
    <mergeCell ref="B75:F75"/>
    <mergeCell ref="G75:L75"/>
    <mergeCell ref="M75:P75"/>
  </mergeCells>
  <printOptions horizontalCentered="1"/>
  <pageMargins left="0.35433070866141736" right="0.23622047244094491" top="0.74803149606299213" bottom="0.74803149606299213" header="0.19685039370078741" footer="0.31496062992125984"/>
  <pageSetup paperSize="5" scale="70" orientation="portrait" r:id="rId1"/>
  <headerFooter>
    <oddHeader>&amp;C&amp;"-,Negrita Cursiva"&amp;12Protocolo integrado de aforo en ríos de montaña 
Universidad Nacional de Colombia-Sede Manizales</oddHeader>
  </headerFooter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5"/>
  <sheetViews>
    <sheetView view="pageBreakPreview" zoomScaleSheetLayoutView="100" zoomScalePageLayoutView="110" workbookViewId="0">
      <selection activeCell="J5" sqref="J5:P5"/>
    </sheetView>
  </sheetViews>
  <sheetFormatPr baseColWidth="10" defaultColWidth="11.42578125" defaultRowHeight="15" x14ac:dyDescent="0.25"/>
  <cols>
    <col min="1" max="1" width="0.140625" customWidth="1"/>
    <col min="2" max="2" width="6.7109375" customWidth="1"/>
    <col min="3" max="3" width="7.42578125" customWidth="1"/>
    <col min="4" max="4" width="11" bestFit="1" customWidth="1"/>
    <col min="5" max="5" width="6.85546875" customWidth="1"/>
    <col min="6" max="6" width="8.7109375" customWidth="1"/>
    <col min="7" max="7" width="6.7109375" customWidth="1"/>
    <col min="8" max="8" width="5.7109375" customWidth="1"/>
    <col min="9" max="9" width="6.85546875" customWidth="1"/>
    <col min="10" max="10" width="7.140625" customWidth="1"/>
    <col min="11" max="11" width="12" bestFit="1" customWidth="1"/>
    <col min="12" max="12" width="8" bestFit="1" customWidth="1"/>
    <col min="13" max="13" width="11" bestFit="1" customWidth="1"/>
    <col min="14" max="14" width="10.7109375" customWidth="1"/>
    <col min="15" max="16" width="11.7109375" customWidth="1"/>
  </cols>
  <sheetData>
    <row r="1" spans="1:16" ht="4.9000000000000004" customHeight="1" thickBot="1" x14ac:dyDescent="0.3"/>
    <row r="2" spans="1:16" s="2" customFormat="1" ht="30" customHeight="1" x14ac:dyDescent="0.25">
      <c r="A2" s="16"/>
      <c r="B2" s="305"/>
      <c r="C2" s="306"/>
      <c r="D2" s="307"/>
      <c r="E2" s="254" t="s">
        <v>54</v>
      </c>
      <c r="F2" s="255"/>
      <c r="G2" s="255"/>
      <c r="H2" s="255"/>
      <c r="I2" s="255"/>
      <c r="J2" s="255"/>
      <c r="K2" s="255"/>
      <c r="L2" s="255"/>
      <c r="M2" s="255"/>
      <c r="N2" s="255"/>
      <c r="O2" s="308"/>
      <c r="P2" s="258"/>
    </row>
    <row r="3" spans="1:16" s="2" customFormat="1" ht="20.45" customHeight="1" thickBot="1" x14ac:dyDescent="0.3">
      <c r="A3" s="16"/>
      <c r="B3" s="309"/>
      <c r="C3" s="310"/>
      <c r="D3" s="311"/>
      <c r="E3" s="256"/>
      <c r="F3" s="257"/>
      <c r="G3" s="257"/>
      <c r="H3" s="257"/>
      <c r="I3" s="257"/>
      <c r="J3" s="257"/>
      <c r="K3" s="257"/>
      <c r="L3" s="257"/>
      <c r="M3" s="257"/>
      <c r="N3" s="257"/>
      <c r="O3" s="312"/>
      <c r="P3" s="259"/>
    </row>
    <row r="4" spans="1:16" s="2" customFormat="1" ht="4.9000000000000004" customHeight="1" thickBot="1" x14ac:dyDescent="0.3">
      <c r="A4" s="16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</row>
    <row r="5" spans="1:16" s="320" customFormat="1" ht="27.75" customHeight="1" thickBot="1" x14ac:dyDescent="0.3">
      <c r="A5" s="318"/>
      <c r="B5" s="20" t="s">
        <v>0</v>
      </c>
      <c r="C5" s="316">
        <v>42902</v>
      </c>
      <c r="D5" s="317"/>
      <c r="E5" s="242" t="s">
        <v>55</v>
      </c>
      <c r="F5" s="243"/>
      <c r="G5" s="319">
        <v>3</v>
      </c>
      <c r="H5" s="242" t="s">
        <v>1</v>
      </c>
      <c r="I5" s="243"/>
      <c r="J5" s="313" t="s">
        <v>95</v>
      </c>
      <c r="K5" s="314"/>
      <c r="L5" s="314"/>
      <c r="M5" s="314"/>
      <c r="N5" s="314"/>
      <c r="O5" s="314"/>
      <c r="P5" s="315"/>
    </row>
    <row r="6" spans="1:16" s="21" customFormat="1" ht="11.25" customHeight="1" thickBot="1" x14ac:dyDescent="0.3">
      <c r="A6" s="19"/>
      <c r="B6" s="238" t="s">
        <v>2</v>
      </c>
      <c r="C6" s="239"/>
      <c r="D6" s="240" t="s">
        <v>88</v>
      </c>
      <c r="E6" s="240"/>
      <c r="F6" s="240"/>
      <c r="G6" s="240"/>
      <c r="H6" s="240"/>
      <c r="I6" s="240"/>
      <c r="J6" s="241"/>
      <c r="K6" s="242" t="s">
        <v>3</v>
      </c>
      <c r="L6" s="243"/>
      <c r="M6" s="244" t="s">
        <v>57</v>
      </c>
      <c r="N6" s="245"/>
      <c r="O6" s="244" t="s">
        <v>58</v>
      </c>
      <c r="P6" s="246"/>
    </row>
    <row r="7" spans="1:16" s="21" customFormat="1" ht="14.1" customHeight="1" x14ac:dyDescent="0.25">
      <c r="A7" s="19"/>
      <c r="B7" s="247" t="s">
        <v>59</v>
      </c>
      <c r="C7" s="227"/>
      <c r="D7" s="227"/>
      <c r="E7" s="248"/>
      <c r="F7" s="249" t="s">
        <v>10</v>
      </c>
      <c r="G7" s="250"/>
      <c r="H7" s="251"/>
      <c r="I7" s="22">
        <v>0.3923611111111111</v>
      </c>
      <c r="J7" s="252" t="s">
        <v>11</v>
      </c>
      <c r="K7" s="253"/>
      <c r="L7" s="23">
        <v>1.62</v>
      </c>
      <c r="M7" s="247" t="s">
        <v>13</v>
      </c>
      <c r="N7" s="227"/>
      <c r="O7" s="227"/>
      <c r="P7" s="24">
        <v>2.2400000000000002</v>
      </c>
    </row>
    <row r="8" spans="1:16" s="21" customFormat="1" ht="14.1" customHeight="1" thickBot="1" x14ac:dyDescent="0.3">
      <c r="A8" s="19"/>
      <c r="B8" s="215" t="s">
        <v>5</v>
      </c>
      <c r="C8" s="216"/>
      <c r="D8" s="216"/>
      <c r="E8" s="217"/>
      <c r="F8" s="25" t="s">
        <v>14</v>
      </c>
      <c r="G8" s="26"/>
      <c r="H8" s="27"/>
      <c r="I8" s="28">
        <v>0.43402777777777773</v>
      </c>
      <c r="J8" s="218" t="s">
        <v>15</v>
      </c>
      <c r="K8" s="219"/>
      <c r="L8" s="23">
        <v>1.62</v>
      </c>
      <c r="M8" s="220" t="s">
        <v>17</v>
      </c>
      <c r="N8" s="200"/>
      <c r="O8" s="200"/>
      <c r="P8" s="29">
        <v>0.2</v>
      </c>
    </row>
    <row r="9" spans="1:16" s="21" customFormat="1" ht="14.1" customHeight="1" x14ac:dyDescent="0.25">
      <c r="A9" s="30"/>
      <c r="B9" s="221" t="s">
        <v>6</v>
      </c>
      <c r="C9" s="222"/>
      <c r="D9" s="225" t="s">
        <v>7</v>
      </c>
      <c r="E9" s="227" t="s">
        <v>8</v>
      </c>
      <c r="F9" s="227"/>
      <c r="G9" s="227"/>
      <c r="H9" s="31"/>
      <c r="I9" s="228" t="s">
        <v>60</v>
      </c>
      <c r="J9" s="229"/>
      <c r="K9" s="232">
        <v>5.35</v>
      </c>
      <c r="L9" s="234" t="s">
        <v>12</v>
      </c>
      <c r="M9" s="235"/>
      <c r="N9" s="235"/>
      <c r="O9" s="236">
        <v>9</v>
      </c>
      <c r="P9" s="237"/>
    </row>
    <row r="10" spans="1:16" s="21" customFormat="1" ht="14.1" customHeight="1" thickBot="1" x14ac:dyDescent="0.3">
      <c r="A10" s="30"/>
      <c r="B10" s="223"/>
      <c r="C10" s="224"/>
      <c r="D10" s="226"/>
      <c r="E10" s="200" t="s">
        <v>9</v>
      </c>
      <c r="F10" s="200"/>
      <c r="G10" s="200"/>
      <c r="H10" s="32" t="s">
        <v>89</v>
      </c>
      <c r="I10" s="230"/>
      <c r="J10" s="231"/>
      <c r="K10" s="233"/>
      <c r="L10" s="201" t="s">
        <v>16</v>
      </c>
      <c r="M10" s="202"/>
      <c r="N10" s="202"/>
      <c r="O10" s="203">
        <v>0.38194444444444442</v>
      </c>
      <c r="P10" s="204"/>
    </row>
    <row r="11" spans="1:16" s="34" customFormat="1" ht="25.15" customHeight="1" x14ac:dyDescent="0.2">
      <c r="A11" s="11"/>
      <c r="B11" s="205" t="s">
        <v>18</v>
      </c>
      <c r="C11" s="208" t="s">
        <v>61</v>
      </c>
      <c r="D11" s="208"/>
      <c r="E11" s="208"/>
      <c r="F11" s="33"/>
      <c r="G11" s="209" t="s">
        <v>62</v>
      </c>
      <c r="H11" s="209"/>
      <c r="I11" s="209"/>
      <c r="J11" s="209"/>
      <c r="K11" s="209"/>
      <c r="L11" s="210"/>
      <c r="M11" s="209" t="s">
        <v>63</v>
      </c>
      <c r="N11" s="209"/>
      <c r="O11" s="209"/>
      <c r="P11" s="213"/>
    </row>
    <row r="12" spans="1:16" s="34" customFormat="1" ht="17.45" customHeight="1" x14ac:dyDescent="0.2">
      <c r="A12" s="11"/>
      <c r="B12" s="206"/>
      <c r="C12" s="214" t="s">
        <v>64</v>
      </c>
      <c r="D12" s="214"/>
      <c r="E12" s="214"/>
      <c r="F12" s="35"/>
      <c r="G12" s="178" t="s">
        <v>90</v>
      </c>
      <c r="H12" s="178"/>
      <c r="I12" s="178"/>
      <c r="J12" s="178"/>
      <c r="K12" s="178"/>
      <c r="L12" s="211"/>
      <c r="M12" s="178" t="s">
        <v>66</v>
      </c>
      <c r="N12" s="178"/>
      <c r="O12" s="178"/>
      <c r="P12" s="179"/>
    </row>
    <row r="13" spans="1:16" s="34" customFormat="1" ht="25.15" customHeight="1" thickBot="1" x14ac:dyDescent="0.25">
      <c r="A13" s="11"/>
      <c r="B13" s="207"/>
      <c r="C13" s="180"/>
      <c r="D13" s="181"/>
      <c r="E13" s="181"/>
      <c r="F13" s="181"/>
      <c r="G13" s="182" t="s">
        <v>65</v>
      </c>
      <c r="H13" s="182"/>
      <c r="I13" s="182"/>
      <c r="J13" s="182"/>
      <c r="K13" s="182"/>
      <c r="L13" s="212"/>
      <c r="M13" s="182" t="s">
        <v>68</v>
      </c>
      <c r="N13" s="182"/>
      <c r="O13" s="182"/>
      <c r="P13" s="183"/>
    </row>
    <row r="14" spans="1:16" ht="16.5" customHeight="1" x14ac:dyDescent="0.25">
      <c r="A14" s="5"/>
      <c r="B14" s="184" t="s">
        <v>19</v>
      </c>
      <c r="C14" s="186" t="s">
        <v>20</v>
      </c>
      <c r="D14" s="186" t="s">
        <v>41</v>
      </c>
      <c r="E14" s="188" t="s">
        <v>21</v>
      </c>
      <c r="F14" s="190" t="s">
        <v>42</v>
      </c>
      <c r="G14" s="191"/>
      <c r="H14" s="192"/>
      <c r="I14" s="196" t="s">
        <v>43</v>
      </c>
      <c r="J14" s="197"/>
      <c r="K14" s="36"/>
      <c r="L14" s="37" t="s">
        <v>44</v>
      </c>
      <c r="M14" s="37" t="s">
        <v>45</v>
      </c>
      <c r="N14" s="37" t="s">
        <v>45</v>
      </c>
      <c r="O14" s="37" t="s">
        <v>46</v>
      </c>
      <c r="P14" s="38" t="s">
        <v>22</v>
      </c>
    </row>
    <row r="15" spans="1:16" ht="14.1" customHeight="1" thickBot="1" x14ac:dyDescent="0.3">
      <c r="A15" s="5"/>
      <c r="B15" s="185"/>
      <c r="C15" s="187"/>
      <c r="D15" s="187"/>
      <c r="E15" s="189"/>
      <c r="F15" s="193"/>
      <c r="G15" s="194"/>
      <c r="H15" s="195"/>
      <c r="I15" s="198" t="s">
        <v>23</v>
      </c>
      <c r="J15" s="199"/>
      <c r="K15" s="39" t="s">
        <v>24</v>
      </c>
      <c r="L15" s="39" t="s">
        <v>47</v>
      </c>
      <c r="M15" s="39" t="s">
        <v>48</v>
      </c>
      <c r="N15" s="39" t="s">
        <v>25</v>
      </c>
      <c r="O15" s="39" t="s">
        <v>26</v>
      </c>
      <c r="P15" s="40" t="s">
        <v>27</v>
      </c>
    </row>
    <row r="16" spans="1:16" s="3" customFormat="1" ht="14.1" customHeight="1" x14ac:dyDescent="0.2">
      <c r="A16" s="11"/>
      <c r="B16" s="159">
        <v>1</v>
      </c>
      <c r="C16" s="162">
        <f>K9</f>
        <v>5.35</v>
      </c>
      <c r="D16" s="144">
        <v>2.5000000000000001E-2</v>
      </c>
      <c r="E16" s="144">
        <v>0.11600000000000001</v>
      </c>
      <c r="F16" s="41" t="s">
        <v>69</v>
      </c>
      <c r="G16" s="164" t="str">
        <f>IF(E16&lt;0.12,"NA",IF(E16&gt;=0.12,0.2*E16))</f>
        <v>NA</v>
      </c>
      <c r="H16" s="164"/>
      <c r="I16" s="164"/>
      <c r="J16" s="164"/>
      <c r="K16" s="144">
        <f>ROUND(+IF(E16&lt;=0.12,(I17),(IF(E16&gt;0.12,((I16+2*I17+I18)/4)))),3)</f>
        <v>5.5E-2</v>
      </c>
      <c r="L16" s="144">
        <f>ROUND(+(D16+D18)/2*(C18-C16),3)</f>
        <v>2.5000000000000001E-2</v>
      </c>
      <c r="M16" s="147">
        <f>ROUND(+K16*L16,4)</f>
        <v>1.4E-3</v>
      </c>
      <c r="N16" s="150">
        <f>ROUND(+M16/$M$59*100,1)</f>
        <v>1.5</v>
      </c>
      <c r="O16" s="164"/>
      <c r="P16" s="270"/>
    </row>
    <row r="17" spans="1:16" s="3" customFormat="1" ht="14.1" customHeight="1" x14ac:dyDescent="0.2">
      <c r="A17" s="11"/>
      <c r="B17" s="160"/>
      <c r="C17" s="163"/>
      <c r="D17" s="145"/>
      <c r="E17" s="145"/>
      <c r="F17" s="42" t="s">
        <v>70</v>
      </c>
      <c r="G17" s="145">
        <f>IF(E16&lt;0.12,0.6*E16,IF(E16&gt;=0.12,0.6*E16))</f>
        <v>6.9599999999999995E-2</v>
      </c>
      <c r="H17" s="145"/>
      <c r="I17" s="145">
        <v>5.5E-2</v>
      </c>
      <c r="J17" s="145"/>
      <c r="K17" s="145"/>
      <c r="L17" s="145"/>
      <c r="M17" s="148"/>
      <c r="N17" s="151"/>
      <c r="O17" s="165"/>
      <c r="P17" s="271"/>
    </row>
    <row r="18" spans="1:16" s="3" customFormat="1" ht="13.9" customHeight="1" thickBot="1" x14ac:dyDescent="0.25">
      <c r="A18" s="11"/>
      <c r="B18" s="161"/>
      <c r="C18" s="43">
        <f>C16+P8</f>
        <v>5.55</v>
      </c>
      <c r="D18" s="44">
        <v>0.224</v>
      </c>
      <c r="E18" s="146"/>
      <c r="F18" s="45" t="s">
        <v>71</v>
      </c>
      <c r="G18" s="146" t="str">
        <f>IF(E16&lt;0.12,"NA",IF(E16&gt;=0.12,0.8*E16))</f>
        <v>NA</v>
      </c>
      <c r="H18" s="146"/>
      <c r="I18" s="146"/>
      <c r="J18" s="146"/>
      <c r="K18" s="146"/>
      <c r="L18" s="146"/>
      <c r="M18" s="149"/>
      <c r="N18" s="152"/>
      <c r="O18" s="167"/>
      <c r="P18" s="272"/>
    </row>
    <row r="19" spans="1:16" s="3" customFormat="1" ht="14.1" customHeight="1" x14ac:dyDescent="0.2">
      <c r="A19" s="11"/>
      <c r="B19" s="159">
        <v>2</v>
      </c>
      <c r="C19" s="162">
        <f>+C18</f>
        <v>5.55</v>
      </c>
      <c r="D19" s="144">
        <f>D18</f>
        <v>0.224</v>
      </c>
      <c r="E19" s="144">
        <v>0.25600000000000001</v>
      </c>
      <c r="F19" s="41" t="s">
        <v>69</v>
      </c>
      <c r="G19" s="144">
        <f t="shared" ref="G19" si="0">IF(E19&lt;0.12,"NA",IF(E19&gt;=0.12,0.2*E19))</f>
        <v>5.1200000000000002E-2</v>
      </c>
      <c r="H19" s="144"/>
      <c r="I19" s="144">
        <v>0.315</v>
      </c>
      <c r="J19" s="144"/>
      <c r="K19" s="144">
        <f t="shared" ref="K19" si="1">ROUND(+IF(E19&lt;=0.12,(I20),(IF(E19&gt;0.12,((I19+2*I20+I21)/4)))),3)</f>
        <v>0.24</v>
      </c>
      <c r="L19" s="144">
        <f t="shared" ref="L19" si="2">ROUND(+(D19+D21)/2*(C21-C19),3)</f>
        <v>0.05</v>
      </c>
      <c r="M19" s="147">
        <f t="shared" ref="M19" si="3">ROUND(+K19*L19,4)</f>
        <v>1.2E-2</v>
      </c>
      <c r="N19" s="150">
        <f t="shared" ref="N19" si="4">ROUND(+M19/$M$59*100,1)</f>
        <v>12.9</v>
      </c>
      <c r="O19" s="164"/>
      <c r="P19" s="270"/>
    </row>
    <row r="20" spans="1:16" s="3" customFormat="1" ht="14.1" customHeight="1" x14ac:dyDescent="0.2">
      <c r="A20" s="11"/>
      <c r="B20" s="160"/>
      <c r="C20" s="163"/>
      <c r="D20" s="145"/>
      <c r="E20" s="145"/>
      <c r="F20" s="42" t="s">
        <v>70</v>
      </c>
      <c r="G20" s="145">
        <f t="shared" ref="G20" si="5">IF(E19&lt;0.12,0.6*E19,IF(E19&gt;=0.12,0.6*E19))</f>
        <v>0.15359999999999999</v>
      </c>
      <c r="H20" s="145"/>
      <c r="I20" s="145">
        <v>0.24299999999999999</v>
      </c>
      <c r="J20" s="145"/>
      <c r="K20" s="145"/>
      <c r="L20" s="145"/>
      <c r="M20" s="148"/>
      <c r="N20" s="151"/>
      <c r="O20" s="165"/>
      <c r="P20" s="271"/>
    </row>
    <row r="21" spans="1:16" s="3" customFormat="1" ht="13.9" customHeight="1" thickBot="1" x14ac:dyDescent="0.25">
      <c r="A21" s="11"/>
      <c r="B21" s="161"/>
      <c r="C21" s="43">
        <f>C19+P8</f>
        <v>5.75</v>
      </c>
      <c r="D21" s="44">
        <v>0.28000000000000003</v>
      </c>
      <c r="E21" s="146"/>
      <c r="F21" s="45" t="s">
        <v>71</v>
      </c>
      <c r="G21" s="146">
        <f t="shared" ref="G21" si="6">IF(E19&lt;0.12,"NA",IF(E19&gt;=0.12,0.8*E19))</f>
        <v>0.20480000000000001</v>
      </c>
      <c r="H21" s="146"/>
      <c r="I21" s="146">
        <v>0.158</v>
      </c>
      <c r="J21" s="146"/>
      <c r="K21" s="146"/>
      <c r="L21" s="146"/>
      <c r="M21" s="149"/>
      <c r="N21" s="152"/>
      <c r="O21" s="167"/>
      <c r="P21" s="272"/>
    </row>
    <row r="22" spans="1:16" s="3" customFormat="1" ht="14.1" customHeight="1" x14ac:dyDescent="0.2">
      <c r="A22" s="11"/>
      <c r="B22" s="159">
        <v>3</v>
      </c>
      <c r="C22" s="162">
        <f>+C21</f>
        <v>5.75</v>
      </c>
      <c r="D22" s="144">
        <f>D21</f>
        <v>0.28000000000000003</v>
      </c>
      <c r="E22" s="144">
        <v>0.26800000000000002</v>
      </c>
      <c r="F22" s="41" t="s">
        <v>69</v>
      </c>
      <c r="G22" s="144">
        <f t="shared" ref="G22" si="7">IF(E22&lt;0.12,"NA",IF(E22&gt;=0.12,0.2*E22))</f>
        <v>5.3600000000000009E-2</v>
      </c>
      <c r="H22" s="144"/>
      <c r="I22" s="144">
        <v>0.36399999999999999</v>
      </c>
      <c r="J22" s="144"/>
      <c r="K22" s="144">
        <f t="shared" ref="K22" si="8">ROUND(+IF(E22&lt;=0.12,(I23),(IF(E22&gt;0.12,((I22+2*I23+I24)/4)))),3)</f>
        <v>0.26500000000000001</v>
      </c>
      <c r="L22" s="144">
        <f t="shared" ref="L22" si="9">ROUND(+(D22+D24)/2*(C24-C22),3)</f>
        <v>5.5E-2</v>
      </c>
      <c r="M22" s="147">
        <f t="shared" ref="M22" si="10">ROUND(+K22*L22,4)</f>
        <v>1.46E-2</v>
      </c>
      <c r="N22" s="150">
        <f t="shared" ref="N22" si="11">ROUND(+M22/$M$59*100,1)</f>
        <v>15.6</v>
      </c>
      <c r="O22" s="164"/>
      <c r="P22" s="270"/>
    </row>
    <row r="23" spans="1:16" s="3" customFormat="1" ht="14.1" customHeight="1" x14ac:dyDescent="0.2">
      <c r="A23" s="11"/>
      <c r="B23" s="160"/>
      <c r="C23" s="163"/>
      <c r="D23" s="145"/>
      <c r="E23" s="145"/>
      <c r="F23" s="42" t="s">
        <v>70</v>
      </c>
      <c r="G23" s="145">
        <f t="shared" ref="G23" si="12">IF(E22&lt;0.12,0.6*E22,IF(E22&gt;=0.12,0.6*E22))</f>
        <v>0.1608</v>
      </c>
      <c r="H23" s="145"/>
      <c r="I23" s="145">
        <v>0.252</v>
      </c>
      <c r="J23" s="145"/>
      <c r="K23" s="145"/>
      <c r="L23" s="145"/>
      <c r="M23" s="148"/>
      <c r="N23" s="151"/>
      <c r="O23" s="165"/>
      <c r="P23" s="271"/>
    </row>
    <row r="24" spans="1:16" s="3" customFormat="1" ht="13.9" customHeight="1" thickBot="1" x14ac:dyDescent="0.25">
      <c r="A24" s="11"/>
      <c r="B24" s="161"/>
      <c r="C24" s="43">
        <f>+C22+P8</f>
        <v>5.95</v>
      </c>
      <c r="D24" s="44">
        <v>0.26900000000000002</v>
      </c>
      <c r="E24" s="146"/>
      <c r="F24" s="45" t="s">
        <v>71</v>
      </c>
      <c r="G24" s="146">
        <f t="shared" ref="G24" si="13">IF(E22&lt;0.12,"NA",IF(E22&gt;=0.12,0.8*E22))</f>
        <v>0.21440000000000003</v>
      </c>
      <c r="H24" s="146"/>
      <c r="I24" s="146">
        <v>0.19</v>
      </c>
      <c r="J24" s="146"/>
      <c r="K24" s="146"/>
      <c r="L24" s="146"/>
      <c r="M24" s="149"/>
      <c r="N24" s="152"/>
      <c r="O24" s="167"/>
      <c r="P24" s="272"/>
    </row>
    <row r="25" spans="1:16" s="3" customFormat="1" ht="14.1" customHeight="1" x14ac:dyDescent="0.2">
      <c r="A25" s="11"/>
      <c r="B25" s="159">
        <v>4</v>
      </c>
      <c r="C25" s="162">
        <f>+C24</f>
        <v>5.95</v>
      </c>
      <c r="D25" s="144">
        <f>D24</f>
        <v>0.26900000000000002</v>
      </c>
      <c r="E25" s="144">
        <v>0.27200000000000002</v>
      </c>
      <c r="F25" s="41" t="s">
        <v>69</v>
      </c>
      <c r="G25" s="144">
        <f t="shared" ref="G25" si="14">IF(E25&lt;0.12,"NA",IF(E25&gt;=0.12,0.2*E25))</f>
        <v>5.4400000000000004E-2</v>
      </c>
      <c r="H25" s="144"/>
      <c r="I25" s="273"/>
      <c r="J25" s="273"/>
      <c r="K25" s="144"/>
      <c r="L25" s="144"/>
      <c r="M25" s="147"/>
      <c r="N25" s="150"/>
      <c r="O25" s="164"/>
      <c r="P25" s="270"/>
    </row>
    <row r="26" spans="1:16" s="3" customFormat="1" ht="14.1" customHeight="1" x14ac:dyDescent="0.2">
      <c r="A26" s="11"/>
      <c r="B26" s="160"/>
      <c r="C26" s="163"/>
      <c r="D26" s="145"/>
      <c r="E26" s="145"/>
      <c r="F26" s="42" t="s">
        <v>70</v>
      </c>
      <c r="G26" s="145">
        <f t="shared" ref="G26" si="15">IF(E25&lt;0.12,0.6*E25,IF(E25&gt;=0.12,0.6*E25))</f>
        <v>0.16320000000000001</v>
      </c>
      <c r="H26" s="145"/>
      <c r="I26" s="145"/>
      <c r="J26" s="145"/>
      <c r="K26" s="145"/>
      <c r="L26" s="145"/>
      <c r="M26" s="148"/>
      <c r="N26" s="151"/>
      <c r="O26" s="165"/>
      <c r="P26" s="271"/>
    </row>
    <row r="27" spans="1:16" s="3" customFormat="1" ht="13.9" customHeight="1" thickBot="1" x14ac:dyDescent="0.25">
      <c r="A27" s="11"/>
      <c r="B27" s="161"/>
      <c r="C27" s="43">
        <f>+C25+P8</f>
        <v>6.15</v>
      </c>
      <c r="D27" s="44">
        <v>0.27100000000000002</v>
      </c>
      <c r="E27" s="146"/>
      <c r="F27" s="45" t="s">
        <v>71</v>
      </c>
      <c r="G27" s="146">
        <f t="shared" ref="G27" si="16">IF(E25&lt;0.12,"NA",IF(E25&gt;=0.12,0.8*E25))</f>
        <v>0.21760000000000002</v>
      </c>
      <c r="H27" s="146"/>
      <c r="I27" s="146"/>
      <c r="J27" s="146"/>
      <c r="K27" s="146"/>
      <c r="L27" s="146"/>
      <c r="M27" s="149"/>
      <c r="N27" s="152"/>
      <c r="O27" s="167"/>
      <c r="P27" s="272"/>
    </row>
    <row r="28" spans="1:16" s="3" customFormat="1" ht="14.1" customHeight="1" x14ac:dyDescent="0.2">
      <c r="A28" s="11"/>
      <c r="B28" s="159">
        <v>5</v>
      </c>
      <c r="C28" s="162">
        <f>+C27</f>
        <v>6.15</v>
      </c>
      <c r="D28" s="144">
        <f>D27</f>
        <v>0.27100000000000002</v>
      </c>
      <c r="E28" s="144">
        <v>0.24</v>
      </c>
      <c r="F28" s="41" t="s">
        <v>69</v>
      </c>
      <c r="G28" s="144">
        <f t="shared" ref="G28" si="17">IF(E28&lt;0.12,"NA",IF(E28&gt;=0.12,0.2*E28))</f>
        <v>4.8000000000000001E-2</v>
      </c>
      <c r="H28" s="144"/>
      <c r="I28" s="273">
        <v>0.38400000000000001</v>
      </c>
      <c r="J28" s="273"/>
      <c r="K28" s="144">
        <f t="shared" ref="K28" si="18">ROUND(+IF(E28&lt;=0.12,(I29),(IF(E28&gt;0.12,((I28+2*I29+I30)/4)))),3)</f>
        <v>0.34</v>
      </c>
      <c r="L28" s="144">
        <f t="shared" ref="L28" si="19">ROUND(+(D28+D30)/2*(C30-C28),3)</f>
        <v>4.8000000000000001E-2</v>
      </c>
      <c r="M28" s="147">
        <f t="shared" ref="M28" si="20">ROUND(+K28*L28,4)</f>
        <v>1.6299999999999999E-2</v>
      </c>
      <c r="N28" s="150">
        <f t="shared" ref="N28" si="21">ROUND(+M28/$M$59*100,1)</f>
        <v>17.5</v>
      </c>
      <c r="O28" s="164"/>
      <c r="P28" s="270"/>
    </row>
    <row r="29" spans="1:16" s="3" customFormat="1" ht="14.1" customHeight="1" x14ac:dyDescent="0.2">
      <c r="A29" s="11"/>
      <c r="B29" s="160"/>
      <c r="C29" s="163"/>
      <c r="D29" s="145"/>
      <c r="E29" s="145"/>
      <c r="F29" s="42" t="s">
        <v>70</v>
      </c>
      <c r="G29" s="145">
        <f t="shared" ref="G29" si="22">IF(E28&lt;0.12,0.6*E28,IF(E28&gt;=0.12,0.6*E28))</f>
        <v>0.14399999999999999</v>
      </c>
      <c r="H29" s="145"/>
      <c r="I29" s="145">
        <v>0.34599999999999997</v>
      </c>
      <c r="J29" s="145"/>
      <c r="K29" s="145"/>
      <c r="L29" s="145"/>
      <c r="M29" s="148"/>
      <c r="N29" s="151"/>
      <c r="O29" s="165"/>
      <c r="P29" s="271"/>
    </row>
    <row r="30" spans="1:16" s="3" customFormat="1" ht="13.9" customHeight="1" thickBot="1" x14ac:dyDescent="0.25">
      <c r="A30" s="11"/>
      <c r="B30" s="161"/>
      <c r="C30" s="43">
        <f>+C28+P8</f>
        <v>6.3500000000000005</v>
      </c>
      <c r="D30" s="44">
        <v>0.21</v>
      </c>
      <c r="E30" s="146"/>
      <c r="F30" s="45" t="s">
        <v>71</v>
      </c>
      <c r="G30" s="146">
        <f t="shared" ref="G30" si="23">IF(E28&lt;0.12,"NA",IF(E28&gt;=0.12,0.8*E28))</f>
        <v>0.192</v>
      </c>
      <c r="H30" s="146"/>
      <c r="I30" s="146">
        <v>0.28499999999999998</v>
      </c>
      <c r="J30" s="146"/>
      <c r="K30" s="146"/>
      <c r="L30" s="146"/>
      <c r="M30" s="149"/>
      <c r="N30" s="152"/>
      <c r="O30" s="167"/>
      <c r="P30" s="272"/>
    </row>
    <row r="31" spans="1:16" s="3" customFormat="1" ht="14.1" customHeight="1" x14ac:dyDescent="0.2">
      <c r="A31" s="11"/>
      <c r="B31" s="159">
        <v>6</v>
      </c>
      <c r="C31" s="162">
        <f>C30</f>
        <v>6.3500000000000005</v>
      </c>
      <c r="D31" s="144">
        <f>D30</f>
        <v>0.21</v>
      </c>
      <c r="E31" s="144">
        <v>0.23400000000000001</v>
      </c>
      <c r="F31" s="41" t="s">
        <v>69</v>
      </c>
      <c r="G31" s="144">
        <f t="shared" ref="G31" si="24">IF(E31&lt;0.12,"NA",IF(E31&gt;=0.12,0.2*E31))</f>
        <v>4.6800000000000008E-2</v>
      </c>
      <c r="H31" s="144"/>
      <c r="I31" s="144">
        <v>0.34100000000000003</v>
      </c>
      <c r="J31" s="144"/>
      <c r="K31" s="144">
        <f t="shared" ref="K31" si="25">ROUND(+IF(E31&lt;=0.12,(I32),(IF(E31&gt;0.12,((I31+2*I32+I33)/4)))),3)</f>
        <v>0.28100000000000003</v>
      </c>
      <c r="L31" s="144">
        <f t="shared" ref="L31" si="26">ROUND(+(D31+D33)/2*(C33-C31),3)</f>
        <v>4.5999999999999999E-2</v>
      </c>
      <c r="M31" s="147">
        <f t="shared" ref="M31" si="27">ROUND(+K31*L31,4)</f>
        <v>1.29E-2</v>
      </c>
      <c r="N31" s="150">
        <f t="shared" ref="N31" si="28">ROUND(+M31/$M$59*100,1)</f>
        <v>13.8</v>
      </c>
      <c r="O31" s="164"/>
      <c r="P31" s="270"/>
    </row>
    <row r="32" spans="1:16" s="3" customFormat="1" ht="14.1" customHeight="1" x14ac:dyDescent="0.2">
      <c r="A32" s="11"/>
      <c r="B32" s="160"/>
      <c r="C32" s="163"/>
      <c r="D32" s="145"/>
      <c r="E32" s="145"/>
      <c r="F32" s="42" t="s">
        <v>70</v>
      </c>
      <c r="G32" s="145">
        <f t="shared" ref="G32" si="29">IF(E31&lt;0.12,0.6*E31,IF(E31&gt;=0.12,0.6*E31))</f>
        <v>0.1404</v>
      </c>
      <c r="H32" s="145"/>
      <c r="I32" s="145">
        <v>0.27400000000000002</v>
      </c>
      <c r="J32" s="145"/>
      <c r="K32" s="145"/>
      <c r="L32" s="145"/>
      <c r="M32" s="148"/>
      <c r="N32" s="151"/>
      <c r="O32" s="165"/>
      <c r="P32" s="271"/>
    </row>
    <row r="33" spans="1:16" s="3" customFormat="1" ht="13.9" customHeight="1" thickBot="1" x14ac:dyDescent="0.25">
      <c r="A33" s="11"/>
      <c r="B33" s="161"/>
      <c r="C33" s="43">
        <f>C31+$P$8</f>
        <v>6.5500000000000007</v>
      </c>
      <c r="D33" s="44">
        <v>0.25</v>
      </c>
      <c r="E33" s="146"/>
      <c r="F33" s="45" t="s">
        <v>71</v>
      </c>
      <c r="G33" s="146">
        <f t="shared" ref="G33" si="30">IF(E31&lt;0.12,"NA",IF(E31&gt;=0.12,0.8*E31))</f>
        <v>0.18720000000000003</v>
      </c>
      <c r="H33" s="146"/>
      <c r="I33" s="146">
        <v>0.23599999999999999</v>
      </c>
      <c r="J33" s="146"/>
      <c r="K33" s="146"/>
      <c r="L33" s="146"/>
      <c r="M33" s="149"/>
      <c r="N33" s="152"/>
      <c r="O33" s="167"/>
      <c r="P33" s="272"/>
    </row>
    <row r="34" spans="1:16" s="3" customFormat="1" ht="14.1" customHeight="1" x14ac:dyDescent="0.2">
      <c r="A34" s="11"/>
      <c r="B34" s="159">
        <v>7</v>
      </c>
      <c r="C34" s="162">
        <f>C33</f>
        <v>6.5500000000000007</v>
      </c>
      <c r="D34" s="144">
        <f>D33</f>
        <v>0.25</v>
      </c>
      <c r="E34" s="144">
        <v>0.23</v>
      </c>
      <c r="F34" s="41" t="s">
        <v>69</v>
      </c>
      <c r="G34" s="144">
        <f t="shared" ref="G34" si="31">IF(E34&lt;0.12,"NA",IF(E34&gt;=0.12,0.2*E34))</f>
        <v>4.6000000000000006E-2</v>
      </c>
      <c r="H34" s="144"/>
      <c r="I34" s="144">
        <v>0.28999999999999998</v>
      </c>
      <c r="J34" s="144"/>
      <c r="K34" s="144">
        <f t="shared" ref="K34" si="32">ROUND(+IF(E34&lt;=0.12,(I35),(IF(E34&gt;0.12,((I34+2*I35+I36)/4)))),3)</f>
        <v>0.28399999999999997</v>
      </c>
      <c r="L34" s="144">
        <f t="shared" ref="L34" si="33">ROUND(+(D34+D36)/2*(C36-C34),3)</f>
        <v>4.7E-2</v>
      </c>
      <c r="M34" s="147">
        <f t="shared" ref="M34" si="34">ROUND(+K34*L34,4)</f>
        <v>1.3299999999999999E-2</v>
      </c>
      <c r="N34" s="150">
        <f t="shared" ref="N34" si="35">ROUND(+M34/$M$59*100,1)</f>
        <v>14.3</v>
      </c>
      <c r="O34" s="164"/>
      <c r="P34" s="270"/>
    </row>
    <row r="35" spans="1:16" s="3" customFormat="1" ht="14.1" customHeight="1" x14ac:dyDescent="0.2">
      <c r="A35" s="11"/>
      <c r="B35" s="160"/>
      <c r="C35" s="163"/>
      <c r="D35" s="145"/>
      <c r="E35" s="145"/>
      <c r="F35" s="42" t="s">
        <v>70</v>
      </c>
      <c r="G35" s="145">
        <f t="shared" ref="G35" si="36">IF(E34&lt;0.12,0.6*E34,IF(E34&gt;=0.12,0.6*E34))</f>
        <v>0.13800000000000001</v>
      </c>
      <c r="H35" s="145"/>
      <c r="I35" s="145">
        <v>0.28299999999999997</v>
      </c>
      <c r="J35" s="145"/>
      <c r="K35" s="145"/>
      <c r="L35" s="145"/>
      <c r="M35" s="148"/>
      <c r="N35" s="151"/>
      <c r="O35" s="165"/>
      <c r="P35" s="271"/>
    </row>
    <row r="36" spans="1:16" s="3" customFormat="1" ht="13.9" customHeight="1" thickBot="1" x14ac:dyDescent="0.25">
      <c r="A36" s="11"/>
      <c r="B36" s="161"/>
      <c r="C36" s="43">
        <f>C34+$P$8</f>
        <v>6.7500000000000009</v>
      </c>
      <c r="D36" s="44">
        <v>0.22</v>
      </c>
      <c r="E36" s="146"/>
      <c r="F36" s="45" t="s">
        <v>71</v>
      </c>
      <c r="G36" s="146">
        <f t="shared" ref="G36" si="37">IF(E34&lt;0.12,"NA",IF(E34&gt;=0.12,0.8*E34))</f>
        <v>0.18400000000000002</v>
      </c>
      <c r="H36" s="146"/>
      <c r="I36" s="146">
        <v>0.28100000000000003</v>
      </c>
      <c r="J36" s="146"/>
      <c r="K36" s="146"/>
      <c r="L36" s="146"/>
      <c r="M36" s="149"/>
      <c r="N36" s="152"/>
      <c r="O36" s="167"/>
      <c r="P36" s="272"/>
    </row>
    <row r="37" spans="1:16" s="3" customFormat="1" ht="14.1" customHeight="1" x14ac:dyDescent="0.2">
      <c r="A37" s="11"/>
      <c r="B37" s="296">
        <v>8</v>
      </c>
      <c r="C37" s="162">
        <f>C36</f>
        <v>6.7500000000000009</v>
      </c>
      <c r="D37" s="273">
        <f>D36</f>
        <v>0.22</v>
      </c>
      <c r="E37" s="273">
        <v>0.19500000000000001</v>
      </c>
      <c r="F37" s="53" t="s">
        <v>69</v>
      </c>
      <c r="G37" s="144">
        <f t="shared" ref="G37" si="38">IF(E37&lt;0.12,"NA",IF(E37&gt;=0.12,0.2*E37))</f>
        <v>3.9000000000000007E-2</v>
      </c>
      <c r="H37" s="144"/>
      <c r="I37" s="273">
        <v>0.13400000000000001</v>
      </c>
      <c r="J37" s="273"/>
      <c r="K37" s="273">
        <f t="shared" ref="K37" si="39">ROUND(+IF(E37&lt;=0.12,(I38),(IF(E37&gt;0.12,((I37+2*I38+I39)/4)))),3)</f>
        <v>7.2999999999999995E-2</v>
      </c>
      <c r="L37" s="273">
        <f t="shared" ref="L37" si="40">ROUND(+(D37+D39)/2*(C39-C37),3)</f>
        <v>0.04</v>
      </c>
      <c r="M37" s="276">
        <f t="shared" ref="M37" si="41">ROUND(+K37*L37,4)</f>
        <v>2.8999999999999998E-3</v>
      </c>
      <c r="N37" s="279">
        <f t="shared" ref="N37" si="42">ROUND(+M37/$M$59*100,1)</f>
        <v>3.1</v>
      </c>
      <c r="O37" s="282"/>
      <c r="P37" s="285"/>
    </row>
    <row r="38" spans="1:16" s="3" customFormat="1" ht="14.1" customHeight="1" x14ac:dyDescent="0.2">
      <c r="A38" s="11"/>
      <c r="B38" s="297"/>
      <c r="C38" s="163"/>
      <c r="D38" s="274"/>
      <c r="E38" s="274"/>
      <c r="F38" s="54" t="s">
        <v>70</v>
      </c>
      <c r="G38" s="145">
        <f t="shared" ref="G38" si="43">IF(E37&lt;0.12,0.6*E37,IF(E37&gt;=0.12,0.6*E37))</f>
        <v>0.11699999999999999</v>
      </c>
      <c r="H38" s="145"/>
      <c r="I38" s="274">
        <v>5.7000000000000002E-2</v>
      </c>
      <c r="J38" s="274"/>
      <c r="K38" s="274"/>
      <c r="L38" s="274"/>
      <c r="M38" s="277"/>
      <c r="N38" s="280"/>
      <c r="O38" s="283"/>
      <c r="P38" s="286"/>
    </row>
    <row r="39" spans="1:16" s="3" customFormat="1" ht="13.9" customHeight="1" thickBot="1" x14ac:dyDescent="0.25">
      <c r="A39" s="11"/>
      <c r="B39" s="298"/>
      <c r="C39" s="43">
        <f>C37+$P$8</f>
        <v>6.9500000000000011</v>
      </c>
      <c r="D39" s="56">
        <v>0.18</v>
      </c>
      <c r="E39" s="275"/>
      <c r="F39" s="57" t="s">
        <v>71</v>
      </c>
      <c r="G39" s="146">
        <f t="shared" ref="G39" si="44">IF(E37&lt;0.12,"NA",IF(E37&gt;=0.12,0.8*E37))</f>
        <v>0.15600000000000003</v>
      </c>
      <c r="H39" s="146"/>
      <c r="I39" s="275">
        <v>4.3999999999999997E-2</v>
      </c>
      <c r="J39" s="275"/>
      <c r="K39" s="275"/>
      <c r="L39" s="275"/>
      <c r="M39" s="278"/>
      <c r="N39" s="281"/>
      <c r="O39" s="284"/>
      <c r="P39" s="287"/>
    </row>
    <row r="40" spans="1:16" s="3" customFormat="1" ht="14.1" customHeight="1" x14ac:dyDescent="0.2">
      <c r="A40" s="11"/>
      <c r="B40" s="296">
        <v>9</v>
      </c>
      <c r="C40" s="162">
        <f>C39</f>
        <v>6.9500000000000011</v>
      </c>
      <c r="D40" s="273">
        <f>D39</f>
        <v>0.18</v>
      </c>
      <c r="E40" s="273">
        <v>0.157</v>
      </c>
      <c r="F40" s="53" t="s">
        <v>69</v>
      </c>
      <c r="G40" s="144">
        <f t="shared" ref="G40" si="45">IF(E40&lt;0.12,"NA",IF(E40&gt;=0.12,0.2*E40))</f>
        <v>3.1400000000000004E-2</v>
      </c>
      <c r="H40" s="144"/>
      <c r="I40" s="299">
        <v>3.2000000000000001E-2</v>
      </c>
      <c r="J40" s="300"/>
      <c r="K40" s="273">
        <f>ROUND(+IF(E40&lt;=0.12,(I41),(IF(E40&gt;0.12,((I40+2*I41+I42)/4)))),3)</f>
        <v>2.3E-2</v>
      </c>
      <c r="L40" s="273">
        <f t="shared" ref="L40" si="46">ROUND(+(D40+D42)/2*(C42-C40),3)</f>
        <v>3.4000000000000002E-2</v>
      </c>
      <c r="M40" s="276">
        <f t="shared" ref="M40" si="47">ROUND(+K40*L40,4)</f>
        <v>8.0000000000000004E-4</v>
      </c>
      <c r="N40" s="279">
        <f t="shared" ref="N40" si="48">ROUND(+M40/$M$59*100,1)</f>
        <v>0.9</v>
      </c>
      <c r="O40" s="282"/>
      <c r="P40" s="285"/>
    </row>
    <row r="41" spans="1:16" s="3" customFormat="1" ht="14.1" customHeight="1" x14ac:dyDescent="0.2">
      <c r="A41" s="11"/>
      <c r="B41" s="297"/>
      <c r="C41" s="163"/>
      <c r="D41" s="274"/>
      <c r="E41" s="274"/>
      <c r="F41" s="54" t="s">
        <v>70</v>
      </c>
      <c r="G41" s="145">
        <f t="shared" ref="G41" si="49">IF(E40&lt;0.12,0.6*E40,IF(E40&gt;=0.12,0.6*E40))</f>
        <v>9.4199999999999992E-2</v>
      </c>
      <c r="H41" s="145"/>
      <c r="I41" s="301">
        <v>2.4E-2</v>
      </c>
      <c r="J41" s="302"/>
      <c r="K41" s="274"/>
      <c r="L41" s="274"/>
      <c r="M41" s="277"/>
      <c r="N41" s="280"/>
      <c r="O41" s="283"/>
      <c r="P41" s="286"/>
    </row>
    <row r="42" spans="1:16" s="3" customFormat="1" ht="13.9" customHeight="1" thickBot="1" x14ac:dyDescent="0.25">
      <c r="A42" s="11"/>
      <c r="B42" s="298"/>
      <c r="C42" s="43">
        <f>C40+$P$8</f>
        <v>7.1500000000000012</v>
      </c>
      <c r="D42" s="56">
        <v>0.16300000000000001</v>
      </c>
      <c r="E42" s="275"/>
      <c r="F42" s="57" t="s">
        <v>71</v>
      </c>
      <c r="G42" s="146">
        <f t="shared" ref="G42" si="50">IF(E40&lt;0.12,"NA",IF(E40&gt;=0.12,0.8*E40))</f>
        <v>0.12560000000000002</v>
      </c>
      <c r="H42" s="146"/>
      <c r="I42" s="303">
        <v>1.2E-2</v>
      </c>
      <c r="J42" s="304"/>
      <c r="K42" s="275"/>
      <c r="L42" s="275"/>
      <c r="M42" s="278"/>
      <c r="N42" s="281"/>
      <c r="O42" s="284"/>
      <c r="P42" s="287"/>
    </row>
    <row r="43" spans="1:16" s="3" customFormat="1" ht="14.1" customHeight="1" x14ac:dyDescent="0.2">
      <c r="A43" s="11"/>
      <c r="B43" s="159">
        <v>10</v>
      </c>
      <c r="C43" s="162">
        <f>C42</f>
        <v>7.1500000000000012</v>
      </c>
      <c r="D43" s="273">
        <f>D42</f>
        <v>0.16300000000000001</v>
      </c>
      <c r="E43" s="144">
        <v>0.17100000000000001</v>
      </c>
      <c r="F43" s="41" t="s">
        <v>69</v>
      </c>
      <c r="G43" s="144">
        <f t="shared" ref="G43" si="51">IF(E43&lt;0.12,"NA",IF(E43&gt;=0.12,0.2*E43))</f>
        <v>3.4200000000000001E-2</v>
      </c>
      <c r="H43" s="144"/>
      <c r="I43" s="293">
        <v>0.05</v>
      </c>
      <c r="J43" s="293"/>
      <c r="K43" s="273">
        <f t="shared" ref="K43" si="52">ROUND(+IF(E43&lt;=0.12,(I44),(IF(E43&gt;0.12,((I43+2*I44+I45)/4)))),3)</f>
        <v>2.3E-2</v>
      </c>
      <c r="L43" s="273">
        <f t="shared" ref="L43" si="53">ROUND(+(D43+D45)/2*(C45-C43),3)</f>
        <v>3.1E-2</v>
      </c>
      <c r="M43" s="276">
        <f t="shared" ref="M43" si="54">ROUND(+K43*L43,4)</f>
        <v>6.9999999999999999E-4</v>
      </c>
      <c r="N43" s="279">
        <f t="shared" ref="N43" si="55">ROUND(+M43/$M$59*100,1)</f>
        <v>0.8</v>
      </c>
      <c r="O43" s="164"/>
      <c r="P43" s="270"/>
    </row>
    <row r="44" spans="1:16" s="3" customFormat="1" ht="14.1" customHeight="1" x14ac:dyDescent="0.2">
      <c r="A44" s="11"/>
      <c r="B44" s="160"/>
      <c r="C44" s="163"/>
      <c r="D44" s="274"/>
      <c r="E44" s="145"/>
      <c r="F44" s="42" t="s">
        <v>70</v>
      </c>
      <c r="G44" s="145">
        <f t="shared" ref="G44" si="56">IF(E43&lt;0.12,0.6*E43,IF(E43&gt;=0.12,0.6*E43))</f>
        <v>0.10260000000000001</v>
      </c>
      <c r="H44" s="145"/>
      <c r="I44" s="294">
        <v>1.2999999999999999E-2</v>
      </c>
      <c r="J44" s="294"/>
      <c r="K44" s="274"/>
      <c r="L44" s="274"/>
      <c r="M44" s="277"/>
      <c r="N44" s="280"/>
      <c r="O44" s="165"/>
      <c r="P44" s="271"/>
    </row>
    <row r="45" spans="1:16" s="3" customFormat="1" ht="13.9" customHeight="1" thickBot="1" x14ac:dyDescent="0.25">
      <c r="A45" s="11"/>
      <c r="B45" s="161"/>
      <c r="C45" s="43">
        <f>C43+$P$8</f>
        <v>7.3500000000000014</v>
      </c>
      <c r="D45" s="44">
        <v>0.14899999999999999</v>
      </c>
      <c r="E45" s="146"/>
      <c r="F45" s="45" t="s">
        <v>71</v>
      </c>
      <c r="G45" s="146">
        <f t="shared" ref="G45" si="57">IF(E43&lt;0.12,"NA",IF(E43&gt;=0.12,0.8*E43))</f>
        <v>0.1368</v>
      </c>
      <c r="H45" s="146"/>
      <c r="I45" s="295">
        <v>1.6E-2</v>
      </c>
      <c r="J45" s="295"/>
      <c r="K45" s="275"/>
      <c r="L45" s="275"/>
      <c r="M45" s="278"/>
      <c r="N45" s="281"/>
      <c r="O45" s="167"/>
      <c r="P45" s="272"/>
    </row>
    <row r="46" spans="1:16" s="3" customFormat="1" ht="14.1" customHeight="1" x14ac:dyDescent="0.2">
      <c r="A46" s="11"/>
      <c r="B46" s="159">
        <v>11</v>
      </c>
      <c r="C46" s="162">
        <f>C45</f>
        <v>7.3500000000000014</v>
      </c>
      <c r="D46" s="273">
        <f>D45</f>
        <v>0.14899999999999999</v>
      </c>
      <c r="E46" s="144">
        <v>0.11899999999999999</v>
      </c>
      <c r="F46" s="41" t="s">
        <v>69</v>
      </c>
      <c r="G46" s="144" t="str">
        <f t="shared" ref="G46" si="58">IF(E46&lt;0.12,"NA",IF(E46&gt;=0.12,0.2*E46))</f>
        <v>NA</v>
      </c>
      <c r="H46" s="144"/>
      <c r="I46" s="293"/>
      <c r="J46" s="293"/>
      <c r="K46" s="273">
        <f t="shared" ref="K46" si="59">ROUND(+IF(E46&lt;=0.12,(I47),(IF(E46&gt;0.12,((I46+2*I47+I48)/4)))),3)</f>
        <v>2.1999999999999999E-2</v>
      </c>
      <c r="L46" s="273">
        <f t="shared" ref="L46" si="60">ROUND(+(D46+D48)/2*(C48-C46),3)</f>
        <v>1.7999999999999999E-2</v>
      </c>
      <c r="M46" s="276">
        <f t="shared" ref="M46" si="61">ROUND(+K46*L46,4)</f>
        <v>4.0000000000000002E-4</v>
      </c>
      <c r="N46" s="279">
        <f t="shared" ref="N46" si="62">ROUND(+M46/$M$59*100,1)</f>
        <v>0.4</v>
      </c>
      <c r="O46" s="164"/>
      <c r="P46" s="270"/>
    </row>
    <row r="47" spans="1:16" s="3" customFormat="1" ht="14.1" customHeight="1" x14ac:dyDescent="0.2">
      <c r="A47" s="11"/>
      <c r="B47" s="160"/>
      <c r="C47" s="163"/>
      <c r="D47" s="274"/>
      <c r="E47" s="145"/>
      <c r="F47" s="42" t="s">
        <v>70</v>
      </c>
      <c r="G47" s="145">
        <f t="shared" ref="G47" si="63">IF(E46&lt;0.12,0.6*E46,IF(E46&gt;=0.12,0.6*E46))</f>
        <v>7.1399999999999991E-2</v>
      </c>
      <c r="H47" s="145"/>
      <c r="I47" s="294">
        <v>2.1999999999999999E-2</v>
      </c>
      <c r="J47" s="294"/>
      <c r="K47" s="274"/>
      <c r="L47" s="274"/>
      <c r="M47" s="277"/>
      <c r="N47" s="280"/>
      <c r="O47" s="165"/>
      <c r="P47" s="271"/>
    </row>
    <row r="48" spans="1:16" s="3" customFormat="1" ht="14.45" customHeight="1" thickBot="1" x14ac:dyDescent="0.25">
      <c r="A48" s="11"/>
      <c r="B48" s="161"/>
      <c r="C48" s="43">
        <f>+C46+0.24</f>
        <v>7.5900000000000016</v>
      </c>
      <c r="D48" s="44">
        <v>0</v>
      </c>
      <c r="E48" s="146"/>
      <c r="F48" s="45" t="s">
        <v>71</v>
      </c>
      <c r="G48" s="146" t="str">
        <f t="shared" ref="G48" si="64">IF(E46&lt;0.12,"NA",IF(E46&gt;=0.12,0.8*E46))</f>
        <v>NA</v>
      </c>
      <c r="H48" s="146"/>
      <c r="I48" s="295"/>
      <c r="J48" s="295"/>
      <c r="K48" s="275"/>
      <c r="L48" s="275"/>
      <c r="M48" s="278"/>
      <c r="N48" s="281"/>
      <c r="O48" s="167"/>
      <c r="P48" s="272"/>
    </row>
    <row r="49" spans="1:16" s="3" customFormat="1" ht="14.1" customHeight="1" x14ac:dyDescent="0.2">
      <c r="A49" s="11"/>
      <c r="B49" s="265">
        <f>+B25</f>
        <v>4</v>
      </c>
      <c r="C49" s="268">
        <f>C25</f>
        <v>5.95</v>
      </c>
      <c r="D49" s="269">
        <f>D25</f>
        <v>0.26900000000000002</v>
      </c>
      <c r="E49" s="269">
        <f>E25</f>
        <v>0.27200000000000002</v>
      </c>
      <c r="F49" s="46" t="s">
        <v>30</v>
      </c>
      <c r="G49" s="292"/>
      <c r="H49" s="292"/>
      <c r="I49" s="130">
        <v>0.46700000000000003</v>
      </c>
      <c r="J49" s="130"/>
      <c r="K49" s="130">
        <f>ROUND(+AVERAGE(I49:J58),3)</f>
        <v>0.33400000000000002</v>
      </c>
      <c r="L49" s="131">
        <f>ROUND(+(D49+D54)/2*(C54-C49),3)</f>
        <v>5.3999999999999999E-2</v>
      </c>
      <c r="M49" s="132">
        <f>ROUND(+K49*L49,4)</f>
        <v>1.7999999999999999E-2</v>
      </c>
      <c r="N49" s="131">
        <f>ROUND(+M49/$M$59*100,1)</f>
        <v>19.3</v>
      </c>
      <c r="O49" s="131"/>
      <c r="P49" s="135"/>
    </row>
    <row r="50" spans="1:16" s="3" customFormat="1" ht="14.1" customHeight="1" x14ac:dyDescent="0.2">
      <c r="A50" s="11"/>
      <c r="B50" s="266"/>
      <c r="C50" s="261"/>
      <c r="D50" s="263"/>
      <c r="E50" s="263"/>
      <c r="F50" s="47" t="s">
        <v>72</v>
      </c>
      <c r="G50" s="121">
        <f>+ROUND(0.1*$E$49,2)</f>
        <v>0.03</v>
      </c>
      <c r="H50" s="121"/>
      <c r="I50" s="128">
        <v>0.46899999999999997</v>
      </c>
      <c r="J50" s="128"/>
      <c r="K50" s="126"/>
      <c r="L50" s="126"/>
      <c r="M50" s="133"/>
      <c r="N50" s="126"/>
      <c r="O50" s="126"/>
      <c r="P50" s="136"/>
    </row>
    <row r="51" spans="1:16" s="3" customFormat="1" ht="14.1" customHeight="1" x14ac:dyDescent="0.2">
      <c r="A51" s="11"/>
      <c r="B51" s="266"/>
      <c r="C51" s="261"/>
      <c r="D51" s="263"/>
      <c r="E51" s="263"/>
      <c r="F51" s="47" t="s">
        <v>69</v>
      </c>
      <c r="G51" s="121">
        <f>+ROUND(0.2*$E$49,2)</f>
        <v>0.05</v>
      </c>
      <c r="H51" s="121"/>
      <c r="I51" s="128">
        <v>0.443</v>
      </c>
      <c r="J51" s="128"/>
      <c r="K51" s="126"/>
      <c r="L51" s="126"/>
      <c r="M51" s="133"/>
      <c r="N51" s="126"/>
      <c r="O51" s="126"/>
      <c r="P51" s="136"/>
    </row>
    <row r="52" spans="1:16" s="3" customFormat="1" ht="14.1" customHeight="1" x14ac:dyDescent="0.2">
      <c r="A52" s="11"/>
      <c r="B52" s="266"/>
      <c r="C52" s="261"/>
      <c r="D52" s="263"/>
      <c r="E52" s="263"/>
      <c r="F52" s="47" t="s">
        <v>73</v>
      </c>
      <c r="G52" s="121">
        <f>+ROUND(0.3*$E$49,2)</f>
        <v>0.08</v>
      </c>
      <c r="H52" s="121"/>
      <c r="I52" s="128">
        <v>0.40100000000000002</v>
      </c>
      <c r="J52" s="128"/>
      <c r="K52" s="126"/>
      <c r="L52" s="126"/>
      <c r="M52" s="133"/>
      <c r="N52" s="126"/>
      <c r="O52" s="126"/>
      <c r="P52" s="136"/>
    </row>
    <row r="53" spans="1:16" s="3" customFormat="1" ht="14.1" customHeight="1" x14ac:dyDescent="0.2">
      <c r="A53" s="11"/>
      <c r="B53" s="266"/>
      <c r="C53" s="261"/>
      <c r="D53" s="263"/>
      <c r="E53" s="263"/>
      <c r="F53" s="47" t="s">
        <v>74</v>
      </c>
      <c r="G53" s="121">
        <f>+ROUND(0.4*$E$49,2)</f>
        <v>0.11</v>
      </c>
      <c r="H53" s="121"/>
      <c r="I53" s="128">
        <v>0.32500000000000001</v>
      </c>
      <c r="J53" s="128"/>
      <c r="K53" s="126"/>
      <c r="L53" s="126"/>
      <c r="M53" s="133"/>
      <c r="N53" s="126"/>
      <c r="O53" s="126"/>
      <c r="P53" s="136"/>
    </row>
    <row r="54" spans="1:16" s="3" customFormat="1" ht="14.1" customHeight="1" x14ac:dyDescent="0.2">
      <c r="A54" s="11"/>
      <c r="B54" s="266"/>
      <c r="C54" s="261">
        <f>C27</f>
        <v>6.15</v>
      </c>
      <c r="D54" s="263">
        <f>D27</f>
        <v>0.27100000000000002</v>
      </c>
      <c r="E54" s="263"/>
      <c r="F54" s="47" t="s">
        <v>29</v>
      </c>
      <c r="G54" s="121">
        <f>+ROUND(0.5*$E$49,2)</f>
        <v>0.14000000000000001</v>
      </c>
      <c r="H54" s="121"/>
      <c r="I54" s="128">
        <v>0.3</v>
      </c>
      <c r="J54" s="128"/>
      <c r="K54" s="126"/>
      <c r="L54" s="126"/>
      <c r="M54" s="133"/>
      <c r="N54" s="126"/>
      <c r="O54" s="126"/>
      <c r="P54" s="136"/>
    </row>
    <row r="55" spans="1:16" s="3" customFormat="1" ht="14.1" customHeight="1" x14ac:dyDescent="0.2">
      <c r="A55" s="11"/>
      <c r="B55" s="266"/>
      <c r="C55" s="261"/>
      <c r="D55" s="263"/>
      <c r="E55" s="263"/>
      <c r="F55" s="47" t="s">
        <v>70</v>
      </c>
      <c r="G55" s="121">
        <f>+ROUND(0.6*$E$49,2)</f>
        <v>0.16</v>
      </c>
      <c r="H55" s="121"/>
      <c r="I55" s="128">
        <v>0.29699999999999999</v>
      </c>
      <c r="J55" s="128"/>
      <c r="K55" s="126"/>
      <c r="L55" s="126"/>
      <c r="M55" s="133"/>
      <c r="N55" s="126"/>
      <c r="O55" s="126"/>
      <c r="P55" s="136"/>
    </row>
    <row r="56" spans="1:16" s="3" customFormat="1" ht="14.1" customHeight="1" x14ac:dyDescent="0.2">
      <c r="A56" s="11"/>
      <c r="B56" s="266"/>
      <c r="C56" s="261"/>
      <c r="D56" s="263"/>
      <c r="E56" s="263"/>
      <c r="F56" s="47" t="s">
        <v>75</v>
      </c>
      <c r="G56" s="121">
        <f>+ROUND(0.7*$E$49,2)</f>
        <v>0.19</v>
      </c>
      <c r="H56" s="121"/>
      <c r="I56" s="128">
        <v>0.26800000000000002</v>
      </c>
      <c r="J56" s="128"/>
      <c r="K56" s="126"/>
      <c r="L56" s="126"/>
      <c r="M56" s="133"/>
      <c r="N56" s="126"/>
      <c r="O56" s="126"/>
      <c r="P56" s="136"/>
    </row>
    <row r="57" spans="1:16" s="3" customFormat="1" ht="14.1" customHeight="1" x14ac:dyDescent="0.2">
      <c r="A57" s="11"/>
      <c r="B57" s="266"/>
      <c r="C57" s="261"/>
      <c r="D57" s="263"/>
      <c r="E57" s="263"/>
      <c r="F57" s="47" t="s">
        <v>71</v>
      </c>
      <c r="G57" s="121">
        <f>+ROUND(0.8*$E$49,2)</f>
        <v>0.22</v>
      </c>
      <c r="H57" s="121"/>
      <c r="I57" s="128">
        <v>0.19800000000000001</v>
      </c>
      <c r="J57" s="128"/>
      <c r="K57" s="126"/>
      <c r="L57" s="126"/>
      <c r="M57" s="133"/>
      <c r="N57" s="126"/>
      <c r="O57" s="126"/>
      <c r="P57" s="136"/>
    </row>
    <row r="58" spans="1:16" s="3" customFormat="1" ht="13.5" thickBot="1" x14ac:dyDescent="0.25">
      <c r="A58" s="11"/>
      <c r="B58" s="267"/>
      <c r="C58" s="262"/>
      <c r="D58" s="264"/>
      <c r="E58" s="264"/>
      <c r="F58" s="49" t="s">
        <v>76</v>
      </c>
      <c r="G58" s="123">
        <f>+ROUND(0.9*$E$49,2)</f>
        <v>0.24</v>
      </c>
      <c r="H58" s="123"/>
      <c r="I58" s="129">
        <v>0.16900000000000001</v>
      </c>
      <c r="J58" s="129"/>
      <c r="K58" s="127"/>
      <c r="L58" s="127"/>
      <c r="M58" s="134"/>
      <c r="N58" s="127"/>
      <c r="O58" s="127"/>
      <c r="P58" s="137"/>
    </row>
    <row r="59" spans="1:16" s="3" customFormat="1" ht="12.75" x14ac:dyDescent="0.2">
      <c r="A59" s="11"/>
      <c r="B59" s="107" t="s">
        <v>31</v>
      </c>
      <c r="C59" s="108"/>
      <c r="D59" s="108"/>
      <c r="E59" s="108"/>
      <c r="F59" s="108"/>
      <c r="G59" s="108"/>
      <c r="H59" s="108"/>
      <c r="I59" s="108"/>
      <c r="J59" s="108"/>
      <c r="K59" s="50">
        <f>ROUND(+M59/L59,3)</f>
        <v>0.20799999999999999</v>
      </c>
      <c r="L59" s="15">
        <f>SUM(L16:L58)</f>
        <v>0.44800000000000001</v>
      </c>
      <c r="M59" s="14">
        <f>SUM(M16:M58)</f>
        <v>9.3300000000000008E-2</v>
      </c>
      <c r="N59" s="12">
        <f>ROUND(SUM(N16:N58),0)</f>
        <v>100</v>
      </c>
      <c r="O59" s="111" t="s">
        <v>32</v>
      </c>
      <c r="P59" s="113"/>
    </row>
    <row r="60" spans="1:16" s="3" customFormat="1" ht="15" customHeight="1" thickBot="1" x14ac:dyDescent="0.25">
      <c r="A60" s="11"/>
      <c r="B60" s="109"/>
      <c r="C60" s="110"/>
      <c r="D60" s="110"/>
      <c r="E60" s="110"/>
      <c r="F60" s="110"/>
      <c r="G60" s="110"/>
      <c r="H60" s="110"/>
      <c r="I60" s="110"/>
      <c r="J60" s="110"/>
      <c r="K60" s="13" t="s">
        <v>33</v>
      </c>
      <c r="L60" s="13" t="s">
        <v>49</v>
      </c>
      <c r="M60" s="13" t="s">
        <v>50</v>
      </c>
      <c r="N60" s="13" t="s">
        <v>34</v>
      </c>
      <c r="O60" s="112"/>
      <c r="P60" s="114"/>
    </row>
    <row r="61" spans="1:16" ht="69.599999999999994" customHeight="1" thickBot="1" x14ac:dyDescent="0.3">
      <c r="A61" s="51"/>
      <c r="B61" s="115" t="s">
        <v>28</v>
      </c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7"/>
    </row>
    <row r="62" spans="1:16" ht="15" customHeight="1" thickBot="1" x14ac:dyDescent="0.3">
      <c r="A62" s="5"/>
      <c r="B62" s="118" t="s">
        <v>77</v>
      </c>
      <c r="C62" s="119"/>
      <c r="D62" s="119"/>
      <c r="E62" s="119"/>
      <c r="F62" s="119"/>
      <c r="G62" s="119" t="s">
        <v>78</v>
      </c>
      <c r="H62" s="119"/>
      <c r="I62" s="119"/>
      <c r="J62" s="119"/>
      <c r="K62" s="119"/>
      <c r="L62" s="119"/>
      <c r="M62" s="119" t="s">
        <v>79</v>
      </c>
      <c r="N62" s="119"/>
      <c r="O62" s="119"/>
      <c r="P62" s="120"/>
    </row>
    <row r="63" spans="1:16" ht="15" customHeight="1" thickBot="1" x14ac:dyDescent="0.3">
      <c r="A63" s="5"/>
      <c r="B63" s="82"/>
      <c r="C63" s="83"/>
      <c r="D63" s="83"/>
      <c r="E63" s="83"/>
      <c r="F63" s="83"/>
      <c r="G63" s="83"/>
      <c r="H63" s="83"/>
      <c r="I63" s="84"/>
      <c r="J63" s="88" t="s">
        <v>52</v>
      </c>
      <c r="K63" s="89"/>
      <c r="L63" s="89"/>
      <c r="M63" s="89"/>
      <c r="N63" s="89"/>
      <c r="O63" s="89"/>
      <c r="P63" s="90"/>
    </row>
    <row r="64" spans="1:16" ht="18.600000000000001" customHeight="1" thickBot="1" x14ac:dyDescent="0.3">
      <c r="A64" s="6"/>
      <c r="B64" s="82"/>
      <c r="C64" s="83"/>
      <c r="D64" s="83"/>
      <c r="E64" s="83"/>
      <c r="F64" s="83"/>
      <c r="G64" s="83"/>
      <c r="H64" s="83"/>
      <c r="I64" s="84"/>
      <c r="J64" s="52" t="s">
        <v>80</v>
      </c>
      <c r="K64" s="91" t="s">
        <v>53</v>
      </c>
      <c r="L64" s="91"/>
      <c r="M64" s="91"/>
      <c r="N64" s="91"/>
      <c r="O64" s="91"/>
      <c r="P64" s="92"/>
    </row>
    <row r="65" spans="1:16" ht="97.15" customHeight="1" thickBot="1" x14ac:dyDescent="0.3">
      <c r="A65" s="10"/>
      <c r="B65" s="82"/>
      <c r="C65" s="83"/>
      <c r="D65" s="83"/>
      <c r="E65" s="83"/>
      <c r="F65" s="83"/>
      <c r="G65" s="83"/>
      <c r="H65" s="83"/>
      <c r="I65" s="84"/>
      <c r="J65" s="93" t="s">
        <v>93</v>
      </c>
      <c r="K65" s="94"/>
      <c r="L65" s="94"/>
      <c r="M65" s="94"/>
      <c r="N65" s="94"/>
      <c r="O65" s="94"/>
      <c r="P65" s="95"/>
    </row>
    <row r="66" spans="1:16" ht="15" customHeight="1" thickBot="1" x14ac:dyDescent="0.3">
      <c r="A66" s="5"/>
      <c r="B66" s="82"/>
      <c r="C66" s="83"/>
      <c r="D66" s="83"/>
      <c r="E66" s="83"/>
      <c r="F66" s="83"/>
      <c r="G66" s="83"/>
      <c r="H66" s="83"/>
      <c r="I66" s="84"/>
      <c r="J66" s="96" t="s">
        <v>35</v>
      </c>
      <c r="K66" s="97"/>
      <c r="L66" s="97"/>
      <c r="M66" s="97"/>
      <c r="N66" s="98"/>
      <c r="O66" s="99">
        <v>4.04</v>
      </c>
      <c r="P66" s="100"/>
    </row>
    <row r="67" spans="1:16" ht="15.75" thickBot="1" x14ac:dyDescent="0.3">
      <c r="A67" s="5"/>
      <c r="B67" s="82"/>
      <c r="C67" s="83"/>
      <c r="D67" s="83"/>
      <c r="E67" s="83"/>
      <c r="F67" s="83"/>
      <c r="G67" s="83"/>
      <c r="H67" s="83"/>
      <c r="I67" s="84"/>
      <c r="J67" s="101" t="s">
        <v>51</v>
      </c>
      <c r="K67" s="102"/>
      <c r="L67" s="102"/>
      <c r="M67" s="102"/>
      <c r="N67" s="103"/>
      <c r="O67" s="99">
        <v>0.23300000000000001</v>
      </c>
      <c r="P67" s="100"/>
    </row>
    <row r="68" spans="1:16" ht="14.45" customHeight="1" thickBot="1" x14ac:dyDescent="0.3">
      <c r="A68" s="5"/>
      <c r="B68" s="85"/>
      <c r="C68" s="86"/>
      <c r="D68" s="86"/>
      <c r="E68" s="86"/>
      <c r="F68" s="86"/>
      <c r="G68" s="86"/>
      <c r="H68" s="86"/>
      <c r="I68" s="87"/>
      <c r="J68" s="104" t="s">
        <v>83</v>
      </c>
      <c r="K68" s="105"/>
      <c r="L68" s="105"/>
      <c r="M68" s="105"/>
      <c r="N68" s="105"/>
      <c r="O68" s="105"/>
      <c r="P68" s="106"/>
    </row>
    <row r="69" spans="1:16" ht="14.45" customHeight="1" thickBot="1" x14ac:dyDescent="0.3">
      <c r="A69" s="7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4"/>
    </row>
    <row r="70" spans="1:16" ht="15.75" thickBot="1" x14ac:dyDescent="0.3">
      <c r="A70" s="75" t="s">
        <v>36</v>
      </c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7"/>
    </row>
    <row r="71" spans="1:16" ht="141.6" customHeight="1" thickBot="1" x14ac:dyDescent="0.3">
      <c r="A71" s="4"/>
      <c r="B71" s="78"/>
      <c r="C71" s="79"/>
      <c r="D71" s="79"/>
      <c r="E71" s="79"/>
      <c r="F71" s="80"/>
      <c r="G71" s="78"/>
      <c r="H71" s="79"/>
      <c r="I71" s="79"/>
      <c r="J71" s="79"/>
      <c r="K71" s="79"/>
      <c r="L71" s="79"/>
      <c r="M71" s="79"/>
      <c r="N71" s="79"/>
      <c r="O71" s="79"/>
      <c r="P71" s="80"/>
    </row>
    <row r="72" spans="1:16" s="9" customFormat="1" ht="13.9" customHeight="1" thickBot="1" x14ac:dyDescent="0.3">
      <c r="A72" s="8" t="s">
        <v>84</v>
      </c>
      <c r="B72" s="81" t="s">
        <v>94</v>
      </c>
      <c r="C72" s="68"/>
      <c r="D72" s="68"/>
      <c r="E72" s="68"/>
      <c r="F72" s="69"/>
      <c r="G72" s="81" t="s">
        <v>85</v>
      </c>
      <c r="H72" s="68"/>
      <c r="I72" s="68"/>
      <c r="J72" s="68"/>
      <c r="K72" s="68"/>
      <c r="L72" s="68"/>
      <c r="M72" s="68"/>
      <c r="N72" s="68"/>
      <c r="O72" s="68"/>
      <c r="P72" s="69"/>
    </row>
    <row r="73" spans="1:16" ht="14.45" customHeight="1" x14ac:dyDescent="0.25">
      <c r="A73" s="7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</row>
    <row r="74" spans="1:16" ht="14.45" customHeight="1" thickBot="1" x14ac:dyDescent="0.3">
      <c r="A74" s="7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</row>
    <row r="75" spans="1:16" s="3" customFormat="1" ht="15.75" customHeight="1" thickBot="1" x14ac:dyDescent="0.25">
      <c r="A75" s="70" t="s">
        <v>37</v>
      </c>
      <c r="B75" s="71"/>
      <c r="C75" s="71"/>
      <c r="D75" s="71" t="s">
        <v>87</v>
      </c>
      <c r="E75" s="71"/>
      <c r="F75" s="71"/>
      <c r="G75" s="71"/>
      <c r="H75" s="71"/>
      <c r="I75" s="71"/>
      <c r="J75" s="71" t="s">
        <v>38</v>
      </c>
      <c r="K75" s="71"/>
      <c r="L75" s="71"/>
      <c r="M75" s="71"/>
      <c r="N75" s="71"/>
      <c r="O75" s="71"/>
      <c r="P75" s="72"/>
    </row>
  </sheetData>
  <mergeCells count="283">
    <mergeCell ref="O2:P3"/>
    <mergeCell ref="B4:P4"/>
    <mergeCell ref="C5:D5"/>
    <mergeCell ref="E5:F5"/>
    <mergeCell ref="H5:I5"/>
    <mergeCell ref="J5:P5"/>
    <mergeCell ref="B2:D3"/>
    <mergeCell ref="E2:N3"/>
    <mergeCell ref="B6:C6"/>
    <mergeCell ref="D6:J6"/>
    <mergeCell ref="K6:L6"/>
    <mergeCell ref="M6:N6"/>
    <mergeCell ref="O6:P6"/>
    <mergeCell ref="B7:E7"/>
    <mergeCell ref="F7:H7"/>
    <mergeCell ref="J7:K7"/>
    <mergeCell ref="M7:O7"/>
    <mergeCell ref="B8:E8"/>
    <mergeCell ref="J8:K8"/>
    <mergeCell ref="M8:O8"/>
    <mergeCell ref="B9:C10"/>
    <mergeCell ref="D9:D10"/>
    <mergeCell ref="E9:G9"/>
    <mergeCell ref="I9:J10"/>
    <mergeCell ref="K9:K10"/>
    <mergeCell ref="L9:N9"/>
    <mergeCell ref="O9:P9"/>
    <mergeCell ref="E10:G10"/>
    <mergeCell ref="L10:N10"/>
    <mergeCell ref="O10:P10"/>
    <mergeCell ref="B11:B13"/>
    <mergeCell ref="C11:E11"/>
    <mergeCell ref="G11:K11"/>
    <mergeCell ref="L11:L13"/>
    <mergeCell ref="M11:P11"/>
    <mergeCell ref="C12:E12"/>
    <mergeCell ref="G12:K13"/>
    <mergeCell ref="M12:P12"/>
    <mergeCell ref="C13:F13"/>
    <mergeCell ref="M13:P13"/>
    <mergeCell ref="B14:B15"/>
    <mergeCell ref="C14:C15"/>
    <mergeCell ref="D14:D15"/>
    <mergeCell ref="E14:E15"/>
    <mergeCell ref="F14:H15"/>
    <mergeCell ref="I14:J14"/>
    <mergeCell ref="I15:J15"/>
    <mergeCell ref="K16:K18"/>
    <mergeCell ref="L16:L18"/>
    <mergeCell ref="M16:M18"/>
    <mergeCell ref="N16:N18"/>
    <mergeCell ref="O16:O18"/>
    <mergeCell ref="P16:P18"/>
    <mergeCell ref="B16:B18"/>
    <mergeCell ref="C16:C17"/>
    <mergeCell ref="D16:D17"/>
    <mergeCell ref="E16:E18"/>
    <mergeCell ref="G16:H16"/>
    <mergeCell ref="I16:J16"/>
    <mergeCell ref="G17:H17"/>
    <mergeCell ref="I17:J17"/>
    <mergeCell ref="G18:H18"/>
    <mergeCell ref="I18:J18"/>
    <mergeCell ref="K19:K21"/>
    <mergeCell ref="L19:L21"/>
    <mergeCell ref="M19:M21"/>
    <mergeCell ref="N19:N21"/>
    <mergeCell ref="O19:O21"/>
    <mergeCell ref="P19:P21"/>
    <mergeCell ref="B19:B21"/>
    <mergeCell ref="C19:C20"/>
    <mergeCell ref="D19:D20"/>
    <mergeCell ref="E19:E21"/>
    <mergeCell ref="G19:H19"/>
    <mergeCell ref="I19:J19"/>
    <mergeCell ref="G20:H20"/>
    <mergeCell ref="I20:J20"/>
    <mergeCell ref="G21:H21"/>
    <mergeCell ref="I21:J21"/>
    <mergeCell ref="K22:K24"/>
    <mergeCell ref="L22:L24"/>
    <mergeCell ref="M22:M24"/>
    <mergeCell ref="N22:N24"/>
    <mergeCell ref="O22:O24"/>
    <mergeCell ref="P22:P24"/>
    <mergeCell ref="B22:B24"/>
    <mergeCell ref="C22:C23"/>
    <mergeCell ref="D22:D23"/>
    <mergeCell ref="E22:E24"/>
    <mergeCell ref="G22:H22"/>
    <mergeCell ref="I22:J22"/>
    <mergeCell ref="G23:H23"/>
    <mergeCell ref="I23:J23"/>
    <mergeCell ref="G24:H24"/>
    <mergeCell ref="I24:J24"/>
    <mergeCell ref="K25:K27"/>
    <mergeCell ref="L25:L27"/>
    <mergeCell ref="M25:M27"/>
    <mergeCell ref="N25:N27"/>
    <mergeCell ref="O25:O27"/>
    <mergeCell ref="P25:P27"/>
    <mergeCell ref="B25:B27"/>
    <mergeCell ref="C25:C26"/>
    <mergeCell ref="D25:D26"/>
    <mergeCell ref="E25:E27"/>
    <mergeCell ref="G25:H25"/>
    <mergeCell ref="I25:J25"/>
    <mergeCell ref="G26:H26"/>
    <mergeCell ref="I26:J26"/>
    <mergeCell ref="G27:H27"/>
    <mergeCell ref="I27:J27"/>
    <mergeCell ref="K28:K30"/>
    <mergeCell ref="L28:L30"/>
    <mergeCell ref="M28:M30"/>
    <mergeCell ref="N28:N30"/>
    <mergeCell ref="O28:O30"/>
    <mergeCell ref="P28:P30"/>
    <mergeCell ref="B28:B30"/>
    <mergeCell ref="C28:C29"/>
    <mergeCell ref="D28:D29"/>
    <mergeCell ref="E28:E30"/>
    <mergeCell ref="G28:H28"/>
    <mergeCell ref="I28:J28"/>
    <mergeCell ref="G29:H29"/>
    <mergeCell ref="I29:J29"/>
    <mergeCell ref="G30:H30"/>
    <mergeCell ref="I30:J30"/>
    <mergeCell ref="K31:K33"/>
    <mergeCell ref="L31:L33"/>
    <mergeCell ref="M31:M33"/>
    <mergeCell ref="N31:N33"/>
    <mergeCell ref="O31:O33"/>
    <mergeCell ref="P31:P33"/>
    <mergeCell ref="B31:B33"/>
    <mergeCell ref="C31:C32"/>
    <mergeCell ref="D31:D32"/>
    <mergeCell ref="E31:E33"/>
    <mergeCell ref="G31:H31"/>
    <mergeCell ref="I31:J31"/>
    <mergeCell ref="G32:H32"/>
    <mergeCell ref="I32:J32"/>
    <mergeCell ref="G33:H33"/>
    <mergeCell ref="I33:J33"/>
    <mergeCell ref="K34:K36"/>
    <mergeCell ref="L34:L36"/>
    <mergeCell ref="M34:M36"/>
    <mergeCell ref="N34:N36"/>
    <mergeCell ref="O34:O36"/>
    <mergeCell ref="P34:P36"/>
    <mergeCell ref="B34:B36"/>
    <mergeCell ref="C34:C35"/>
    <mergeCell ref="D34:D35"/>
    <mergeCell ref="E34:E36"/>
    <mergeCell ref="G34:H34"/>
    <mergeCell ref="I34:J34"/>
    <mergeCell ref="G35:H35"/>
    <mergeCell ref="I35:J35"/>
    <mergeCell ref="G36:H36"/>
    <mergeCell ref="I36:J36"/>
    <mergeCell ref="K37:K39"/>
    <mergeCell ref="L37:L39"/>
    <mergeCell ref="M37:M39"/>
    <mergeCell ref="N37:N39"/>
    <mergeCell ref="O37:O39"/>
    <mergeCell ref="P37:P39"/>
    <mergeCell ref="B37:B39"/>
    <mergeCell ref="C37:C38"/>
    <mergeCell ref="D37:D38"/>
    <mergeCell ref="E37:E39"/>
    <mergeCell ref="G37:H37"/>
    <mergeCell ref="I37:J37"/>
    <mergeCell ref="G38:H38"/>
    <mergeCell ref="I38:J38"/>
    <mergeCell ref="G39:H39"/>
    <mergeCell ref="I39:J39"/>
    <mergeCell ref="K40:K42"/>
    <mergeCell ref="L40:L42"/>
    <mergeCell ref="M40:M42"/>
    <mergeCell ref="N40:N42"/>
    <mergeCell ref="O40:O42"/>
    <mergeCell ref="P40:P42"/>
    <mergeCell ref="B40:B42"/>
    <mergeCell ref="C40:C41"/>
    <mergeCell ref="D40:D41"/>
    <mergeCell ref="E40:E42"/>
    <mergeCell ref="G40:H40"/>
    <mergeCell ref="I40:J40"/>
    <mergeCell ref="G41:H41"/>
    <mergeCell ref="I41:J41"/>
    <mergeCell ref="G42:H42"/>
    <mergeCell ref="I42:J42"/>
    <mergeCell ref="K43:K45"/>
    <mergeCell ref="L43:L45"/>
    <mergeCell ref="M43:M45"/>
    <mergeCell ref="N43:N45"/>
    <mergeCell ref="O43:O45"/>
    <mergeCell ref="P43:P45"/>
    <mergeCell ref="B43:B45"/>
    <mergeCell ref="C43:C44"/>
    <mergeCell ref="D43:D44"/>
    <mergeCell ref="E43:E45"/>
    <mergeCell ref="G43:H43"/>
    <mergeCell ref="I43:J43"/>
    <mergeCell ref="G44:H44"/>
    <mergeCell ref="I44:J44"/>
    <mergeCell ref="G45:H45"/>
    <mergeCell ref="I45:J45"/>
    <mergeCell ref="K46:K48"/>
    <mergeCell ref="L46:L48"/>
    <mergeCell ref="M46:M48"/>
    <mergeCell ref="N46:N48"/>
    <mergeCell ref="O46:O48"/>
    <mergeCell ref="P46:P48"/>
    <mergeCell ref="B46:B48"/>
    <mergeCell ref="C46:C47"/>
    <mergeCell ref="D46:D47"/>
    <mergeCell ref="E46:E48"/>
    <mergeCell ref="G46:H46"/>
    <mergeCell ref="I46:J46"/>
    <mergeCell ref="G47:H47"/>
    <mergeCell ref="I47:J47"/>
    <mergeCell ref="G48:H48"/>
    <mergeCell ref="I48:J48"/>
    <mergeCell ref="G52:H52"/>
    <mergeCell ref="I52:J52"/>
    <mergeCell ref="G53:H53"/>
    <mergeCell ref="I53:J53"/>
    <mergeCell ref="C54:C58"/>
    <mergeCell ref="D54:D58"/>
    <mergeCell ref="G54:H54"/>
    <mergeCell ref="I54:J54"/>
    <mergeCell ref="G55:H55"/>
    <mergeCell ref="I55:J55"/>
    <mergeCell ref="C49:C53"/>
    <mergeCell ref="D49:D53"/>
    <mergeCell ref="E49:E58"/>
    <mergeCell ref="G49:H49"/>
    <mergeCell ref="I49:J49"/>
    <mergeCell ref="G50:H50"/>
    <mergeCell ref="I50:J50"/>
    <mergeCell ref="G51:H51"/>
    <mergeCell ref="I51:J51"/>
    <mergeCell ref="B59:J60"/>
    <mergeCell ref="O59:O60"/>
    <mergeCell ref="P59:P60"/>
    <mergeCell ref="B61:P61"/>
    <mergeCell ref="B62:F62"/>
    <mergeCell ref="G62:L62"/>
    <mergeCell ref="M62:P62"/>
    <mergeCell ref="G56:H56"/>
    <mergeCell ref="I56:J56"/>
    <mergeCell ref="G57:H57"/>
    <mergeCell ref="I57:J57"/>
    <mergeCell ref="G58:H58"/>
    <mergeCell ref="I58:J58"/>
    <mergeCell ref="K49:K58"/>
    <mergeCell ref="L49:L58"/>
    <mergeCell ref="M49:M58"/>
    <mergeCell ref="N49:N58"/>
    <mergeCell ref="O49:O58"/>
    <mergeCell ref="P49:P58"/>
    <mergeCell ref="B49:B58"/>
    <mergeCell ref="B63:I68"/>
    <mergeCell ref="J63:P63"/>
    <mergeCell ref="K64:P64"/>
    <mergeCell ref="J65:P65"/>
    <mergeCell ref="J66:N66"/>
    <mergeCell ref="O66:P66"/>
    <mergeCell ref="J67:N67"/>
    <mergeCell ref="O67:P67"/>
    <mergeCell ref="J68:P68"/>
    <mergeCell ref="B73:P73"/>
    <mergeCell ref="B74:P74"/>
    <mergeCell ref="A75:C75"/>
    <mergeCell ref="D75:I75"/>
    <mergeCell ref="J75:K75"/>
    <mergeCell ref="L75:P75"/>
    <mergeCell ref="B69:P69"/>
    <mergeCell ref="A70:P70"/>
    <mergeCell ref="B71:F71"/>
    <mergeCell ref="G71:P71"/>
    <mergeCell ref="B72:F72"/>
    <mergeCell ref="G72:P72"/>
  </mergeCells>
  <printOptions horizontalCentered="1"/>
  <pageMargins left="0.35433070866141736" right="0.23622047244094491" top="0.74803149606299213" bottom="0.74803149606299213" header="0.19685039370078741" footer="0.31496062992125984"/>
  <pageSetup paperSize="5" scale="70" orientation="portrait" r:id="rId1"/>
  <headerFooter>
    <oddHeader>&amp;C&amp;"-,Negrita Cursiva"&amp;12Protocolo integrado de aforo en ríos de montaña 
Universidad Nacional de Colombia-Sede Manizales</oddHeader>
  </headerFooter>
  <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5"/>
  <sheetViews>
    <sheetView view="pageBreakPreview" zoomScale="90" zoomScaleSheetLayoutView="90" zoomScalePageLayoutView="110" workbookViewId="0">
      <selection activeCell="J5" sqref="J5:P5"/>
    </sheetView>
  </sheetViews>
  <sheetFormatPr baseColWidth="10" defaultColWidth="11.42578125" defaultRowHeight="15" x14ac:dyDescent="0.25"/>
  <cols>
    <col min="1" max="1" width="0.140625" customWidth="1"/>
    <col min="2" max="2" width="6.7109375" customWidth="1"/>
    <col min="3" max="3" width="7.42578125" customWidth="1"/>
    <col min="4" max="4" width="11" bestFit="1" customWidth="1"/>
    <col min="5" max="5" width="6.85546875" customWidth="1"/>
    <col min="6" max="6" width="8.7109375" customWidth="1"/>
    <col min="7" max="7" width="6.7109375" customWidth="1"/>
    <col min="8" max="8" width="5.7109375" customWidth="1"/>
    <col min="9" max="9" width="6.85546875" customWidth="1"/>
    <col min="10" max="10" width="7.140625" customWidth="1"/>
    <col min="11" max="11" width="12" bestFit="1" customWidth="1"/>
    <col min="12" max="12" width="8" bestFit="1" customWidth="1"/>
    <col min="13" max="13" width="11" bestFit="1" customWidth="1"/>
    <col min="14" max="14" width="10.7109375" customWidth="1"/>
    <col min="15" max="16" width="11.7109375" customWidth="1"/>
  </cols>
  <sheetData>
    <row r="1" spans="1:16" ht="4.9000000000000004" customHeight="1" thickBot="1" x14ac:dyDescent="0.3"/>
    <row r="2" spans="1:16" s="2" customFormat="1" ht="30" customHeight="1" x14ac:dyDescent="0.25">
      <c r="A2" s="16"/>
      <c r="B2" s="305"/>
      <c r="C2" s="306"/>
      <c r="D2" s="307"/>
      <c r="E2" s="254" t="s">
        <v>54</v>
      </c>
      <c r="F2" s="255"/>
      <c r="G2" s="255"/>
      <c r="H2" s="255"/>
      <c r="I2" s="255"/>
      <c r="J2" s="255"/>
      <c r="K2" s="255"/>
      <c r="L2" s="255"/>
      <c r="M2" s="255"/>
      <c r="N2" s="255"/>
      <c r="O2" s="308"/>
      <c r="P2" s="258"/>
    </row>
    <row r="3" spans="1:16" s="2" customFormat="1" ht="20.45" customHeight="1" thickBot="1" x14ac:dyDescent="0.3">
      <c r="A3" s="16"/>
      <c r="B3" s="309"/>
      <c r="C3" s="310"/>
      <c r="D3" s="311"/>
      <c r="E3" s="256"/>
      <c r="F3" s="257"/>
      <c r="G3" s="257"/>
      <c r="H3" s="257"/>
      <c r="I3" s="257"/>
      <c r="J3" s="257"/>
      <c r="K3" s="257"/>
      <c r="L3" s="257"/>
      <c r="M3" s="257"/>
      <c r="N3" s="257"/>
      <c r="O3" s="312"/>
      <c r="P3" s="259"/>
    </row>
    <row r="4" spans="1:16" s="2" customFormat="1" ht="4.9000000000000004" customHeight="1" thickBot="1" x14ac:dyDescent="0.3">
      <c r="A4" s="16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</row>
    <row r="5" spans="1:16" s="320" customFormat="1" ht="27.75" customHeight="1" thickBot="1" x14ac:dyDescent="0.3">
      <c r="A5" s="318"/>
      <c r="B5" s="20" t="s">
        <v>0</v>
      </c>
      <c r="C5" s="316">
        <v>42924</v>
      </c>
      <c r="D5" s="317"/>
      <c r="E5" s="242" t="s">
        <v>55</v>
      </c>
      <c r="F5" s="243"/>
      <c r="G5" s="319">
        <v>4</v>
      </c>
      <c r="H5" s="242" t="s">
        <v>1</v>
      </c>
      <c r="I5" s="243"/>
      <c r="J5" s="313" t="s">
        <v>95</v>
      </c>
      <c r="K5" s="314"/>
      <c r="L5" s="314"/>
      <c r="M5" s="314"/>
      <c r="N5" s="314"/>
      <c r="O5" s="314"/>
      <c r="P5" s="315"/>
    </row>
    <row r="6" spans="1:16" s="21" customFormat="1" ht="11.25" customHeight="1" thickBot="1" x14ac:dyDescent="0.3">
      <c r="A6" s="19"/>
      <c r="B6" s="238" t="s">
        <v>2</v>
      </c>
      <c r="C6" s="239"/>
      <c r="D6" s="240" t="s">
        <v>88</v>
      </c>
      <c r="E6" s="240"/>
      <c r="F6" s="240"/>
      <c r="G6" s="240"/>
      <c r="H6" s="240"/>
      <c r="I6" s="240"/>
      <c r="J6" s="241"/>
      <c r="K6" s="242" t="s">
        <v>3</v>
      </c>
      <c r="L6" s="243"/>
      <c r="M6" s="244" t="s">
        <v>57</v>
      </c>
      <c r="N6" s="245"/>
      <c r="O6" s="244" t="s">
        <v>58</v>
      </c>
      <c r="P6" s="246"/>
    </row>
    <row r="7" spans="1:16" s="21" customFormat="1" ht="14.1" customHeight="1" x14ac:dyDescent="0.25">
      <c r="A7" s="19"/>
      <c r="B7" s="247" t="s">
        <v>59</v>
      </c>
      <c r="C7" s="227"/>
      <c r="D7" s="227"/>
      <c r="E7" s="248"/>
      <c r="F7" s="249" t="s">
        <v>10</v>
      </c>
      <c r="G7" s="250"/>
      <c r="H7" s="251"/>
      <c r="I7" s="22">
        <v>0.41666666666666669</v>
      </c>
      <c r="J7" s="252" t="s">
        <v>11</v>
      </c>
      <c r="K7" s="253"/>
      <c r="L7" s="23">
        <v>1.64</v>
      </c>
      <c r="M7" s="247" t="s">
        <v>13</v>
      </c>
      <c r="N7" s="227"/>
      <c r="O7" s="227"/>
      <c r="P7" s="24">
        <v>2.2200000000000002</v>
      </c>
    </row>
    <row r="8" spans="1:16" s="21" customFormat="1" ht="14.1" customHeight="1" thickBot="1" x14ac:dyDescent="0.3">
      <c r="A8" s="19"/>
      <c r="B8" s="215" t="s">
        <v>5</v>
      </c>
      <c r="C8" s="216"/>
      <c r="D8" s="216"/>
      <c r="E8" s="217"/>
      <c r="F8" s="25" t="s">
        <v>14</v>
      </c>
      <c r="G8" s="26"/>
      <c r="H8" s="27"/>
      <c r="I8" s="28">
        <v>0.45694444444444443</v>
      </c>
      <c r="J8" s="218" t="s">
        <v>15</v>
      </c>
      <c r="K8" s="219"/>
      <c r="L8" s="23">
        <v>1.64</v>
      </c>
      <c r="M8" s="220" t="s">
        <v>17</v>
      </c>
      <c r="N8" s="200"/>
      <c r="O8" s="200"/>
      <c r="P8" s="29">
        <v>0.2</v>
      </c>
    </row>
    <row r="9" spans="1:16" s="21" customFormat="1" ht="14.1" customHeight="1" x14ac:dyDescent="0.25">
      <c r="A9" s="30"/>
      <c r="B9" s="221" t="s">
        <v>6</v>
      </c>
      <c r="C9" s="222"/>
      <c r="D9" s="225" t="s">
        <v>7</v>
      </c>
      <c r="E9" s="227" t="s">
        <v>8</v>
      </c>
      <c r="F9" s="227"/>
      <c r="G9" s="227"/>
      <c r="H9" s="31"/>
      <c r="I9" s="228" t="s">
        <v>60</v>
      </c>
      <c r="J9" s="229"/>
      <c r="K9" s="232">
        <v>5.3</v>
      </c>
      <c r="L9" s="234" t="s">
        <v>12</v>
      </c>
      <c r="M9" s="235"/>
      <c r="N9" s="235"/>
      <c r="O9" s="236">
        <v>10</v>
      </c>
      <c r="P9" s="237"/>
    </row>
    <row r="10" spans="1:16" s="21" customFormat="1" ht="14.1" customHeight="1" thickBot="1" x14ac:dyDescent="0.3">
      <c r="A10" s="30"/>
      <c r="B10" s="223"/>
      <c r="C10" s="224"/>
      <c r="D10" s="226"/>
      <c r="E10" s="200" t="s">
        <v>9</v>
      </c>
      <c r="F10" s="200"/>
      <c r="G10" s="200"/>
      <c r="H10" s="32" t="s">
        <v>4</v>
      </c>
      <c r="I10" s="230"/>
      <c r="J10" s="231"/>
      <c r="K10" s="233"/>
      <c r="L10" s="201" t="s">
        <v>16</v>
      </c>
      <c r="M10" s="202"/>
      <c r="N10" s="202"/>
      <c r="O10" s="203">
        <v>0.41111111111111115</v>
      </c>
      <c r="P10" s="204"/>
    </row>
    <row r="11" spans="1:16" s="34" customFormat="1" ht="25.15" customHeight="1" x14ac:dyDescent="0.2">
      <c r="A11" s="11"/>
      <c r="B11" s="205" t="s">
        <v>18</v>
      </c>
      <c r="C11" s="208" t="s">
        <v>61</v>
      </c>
      <c r="D11" s="208"/>
      <c r="E11" s="208"/>
      <c r="F11" s="33"/>
      <c r="G11" s="209" t="s">
        <v>62</v>
      </c>
      <c r="H11" s="209"/>
      <c r="I11" s="209"/>
      <c r="J11" s="209"/>
      <c r="K11" s="209"/>
      <c r="L11" s="210"/>
      <c r="M11" s="209" t="s">
        <v>63</v>
      </c>
      <c r="N11" s="209"/>
      <c r="O11" s="209"/>
      <c r="P11" s="213"/>
    </row>
    <row r="12" spans="1:16" s="34" customFormat="1" ht="17.45" customHeight="1" x14ac:dyDescent="0.2">
      <c r="A12" s="11"/>
      <c r="B12" s="206"/>
      <c r="C12" s="214" t="s">
        <v>64</v>
      </c>
      <c r="D12" s="214"/>
      <c r="E12" s="214"/>
      <c r="F12" s="35"/>
      <c r="G12" s="178" t="s">
        <v>90</v>
      </c>
      <c r="H12" s="178"/>
      <c r="I12" s="178"/>
      <c r="J12" s="178"/>
      <c r="K12" s="178"/>
      <c r="L12" s="211"/>
      <c r="M12" s="178" t="s">
        <v>66</v>
      </c>
      <c r="N12" s="178"/>
      <c r="O12" s="178"/>
      <c r="P12" s="179"/>
    </row>
    <row r="13" spans="1:16" s="34" customFormat="1" ht="25.15" customHeight="1" thickBot="1" x14ac:dyDescent="0.25">
      <c r="A13" s="11"/>
      <c r="B13" s="207"/>
      <c r="C13" s="180"/>
      <c r="D13" s="181"/>
      <c r="E13" s="181"/>
      <c r="F13" s="181"/>
      <c r="G13" s="182" t="s">
        <v>65</v>
      </c>
      <c r="H13" s="182"/>
      <c r="I13" s="182"/>
      <c r="J13" s="182"/>
      <c r="K13" s="182"/>
      <c r="L13" s="212"/>
      <c r="M13" s="182" t="s">
        <v>68</v>
      </c>
      <c r="N13" s="182"/>
      <c r="O13" s="182"/>
      <c r="P13" s="183"/>
    </row>
    <row r="14" spans="1:16" ht="16.5" customHeight="1" x14ac:dyDescent="0.25">
      <c r="A14" s="5"/>
      <c r="B14" s="184" t="s">
        <v>19</v>
      </c>
      <c r="C14" s="186" t="s">
        <v>20</v>
      </c>
      <c r="D14" s="186" t="s">
        <v>41</v>
      </c>
      <c r="E14" s="188" t="s">
        <v>21</v>
      </c>
      <c r="F14" s="190" t="s">
        <v>42</v>
      </c>
      <c r="G14" s="191"/>
      <c r="H14" s="192"/>
      <c r="I14" s="196" t="s">
        <v>43</v>
      </c>
      <c r="J14" s="197"/>
      <c r="K14" s="36"/>
      <c r="L14" s="37" t="s">
        <v>44</v>
      </c>
      <c r="M14" s="37" t="s">
        <v>45</v>
      </c>
      <c r="N14" s="37" t="s">
        <v>45</v>
      </c>
      <c r="O14" s="37" t="s">
        <v>46</v>
      </c>
      <c r="P14" s="38" t="s">
        <v>22</v>
      </c>
    </row>
    <row r="15" spans="1:16" ht="14.1" customHeight="1" thickBot="1" x14ac:dyDescent="0.3">
      <c r="A15" s="5"/>
      <c r="B15" s="185"/>
      <c r="C15" s="187"/>
      <c r="D15" s="187"/>
      <c r="E15" s="189"/>
      <c r="F15" s="193"/>
      <c r="G15" s="194"/>
      <c r="H15" s="195"/>
      <c r="I15" s="198" t="s">
        <v>23</v>
      </c>
      <c r="J15" s="199"/>
      <c r="K15" s="39" t="s">
        <v>24</v>
      </c>
      <c r="L15" s="39" t="s">
        <v>47</v>
      </c>
      <c r="M15" s="39" t="s">
        <v>48</v>
      </c>
      <c r="N15" s="39" t="s">
        <v>25</v>
      </c>
      <c r="O15" s="39" t="s">
        <v>26</v>
      </c>
      <c r="P15" s="40" t="s">
        <v>27</v>
      </c>
    </row>
    <row r="16" spans="1:16" s="3" customFormat="1" ht="14.1" customHeight="1" x14ac:dyDescent="0.2">
      <c r="A16" s="11"/>
      <c r="B16" s="159">
        <v>1</v>
      </c>
      <c r="C16" s="162">
        <f>K9</f>
        <v>5.3</v>
      </c>
      <c r="D16" s="144">
        <v>2.5000000000000001E-2</v>
      </c>
      <c r="E16" s="144">
        <v>8.5000000000000006E-2</v>
      </c>
      <c r="F16" s="41" t="s">
        <v>69</v>
      </c>
      <c r="G16" s="164" t="str">
        <f>IF(E16&lt;0.12,"NA",IF(E16&gt;=0.12,0.2*E16))</f>
        <v>NA</v>
      </c>
      <c r="H16" s="164"/>
      <c r="I16" s="164"/>
      <c r="J16" s="164"/>
      <c r="K16" s="144">
        <f>ROUND(+IF(E16&lt;=0.12,(I17),(IF(E16&gt;0.12,((I16+2*I17+I18)/4)))),3)</f>
        <v>3.6999999999999998E-2</v>
      </c>
      <c r="L16" s="144">
        <f>ROUND(+(D16+D18)/2*(C18-C16),3)</f>
        <v>1.2E-2</v>
      </c>
      <c r="M16" s="147">
        <f>ROUND(+K16*L16,4)</f>
        <v>4.0000000000000002E-4</v>
      </c>
      <c r="N16" s="150">
        <f>ROUND(+M16/$M$59*100,1)</f>
        <v>0.6</v>
      </c>
      <c r="O16" s="164"/>
      <c r="P16" s="270"/>
    </row>
    <row r="17" spans="1:16" s="3" customFormat="1" ht="14.1" customHeight="1" x14ac:dyDescent="0.2">
      <c r="A17" s="11"/>
      <c r="B17" s="160"/>
      <c r="C17" s="163"/>
      <c r="D17" s="145"/>
      <c r="E17" s="145"/>
      <c r="F17" s="42" t="s">
        <v>70</v>
      </c>
      <c r="G17" s="145">
        <f>IF(E16&lt;0.12,0.6*E16,IF(E16&gt;=0.12,0.6*E16))</f>
        <v>5.1000000000000004E-2</v>
      </c>
      <c r="H17" s="145"/>
      <c r="I17" s="145">
        <v>3.6999999999999998E-2</v>
      </c>
      <c r="J17" s="145"/>
      <c r="K17" s="145"/>
      <c r="L17" s="145"/>
      <c r="M17" s="148"/>
      <c r="N17" s="151"/>
      <c r="O17" s="165"/>
      <c r="P17" s="271"/>
    </row>
    <row r="18" spans="1:16" s="3" customFormat="1" ht="13.9" customHeight="1" thickBot="1" x14ac:dyDescent="0.25">
      <c r="A18" s="11"/>
      <c r="B18" s="161"/>
      <c r="C18" s="43">
        <f>C16+P8</f>
        <v>5.5</v>
      </c>
      <c r="D18" s="44">
        <v>9.5000000000000001E-2</v>
      </c>
      <c r="E18" s="146"/>
      <c r="F18" s="45" t="s">
        <v>71</v>
      </c>
      <c r="G18" s="146" t="str">
        <f>IF(E16&lt;0.12,"NA",IF(E16&gt;=0.12,0.8*E16))</f>
        <v>NA</v>
      </c>
      <c r="H18" s="146"/>
      <c r="I18" s="146"/>
      <c r="J18" s="146"/>
      <c r="K18" s="146"/>
      <c r="L18" s="146"/>
      <c r="M18" s="149"/>
      <c r="N18" s="152"/>
      <c r="O18" s="167"/>
      <c r="P18" s="272"/>
    </row>
    <row r="19" spans="1:16" s="3" customFormat="1" ht="14.1" customHeight="1" x14ac:dyDescent="0.2">
      <c r="A19" s="11"/>
      <c r="B19" s="159">
        <v>2</v>
      </c>
      <c r="C19" s="162">
        <f>+C18</f>
        <v>5.5</v>
      </c>
      <c r="D19" s="144">
        <f>D18</f>
        <v>9.5000000000000001E-2</v>
      </c>
      <c r="E19" s="144">
        <v>0.20799999999999999</v>
      </c>
      <c r="F19" s="41" t="s">
        <v>69</v>
      </c>
      <c r="G19" s="144">
        <f t="shared" ref="G19" si="0">IF(E19&lt;0.12,"NA",IF(E19&gt;=0.12,0.2*E19))</f>
        <v>4.1599999999999998E-2</v>
      </c>
      <c r="H19" s="144"/>
      <c r="I19" s="144">
        <v>0.182</v>
      </c>
      <c r="J19" s="144"/>
      <c r="K19" s="144">
        <f t="shared" ref="K19" si="1">ROUND(+IF(E19&lt;=0.12,(I20),(IF(E19&gt;0.12,((I19+2*I20+I21)/4)))),3)</f>
        <v>0.16200000000000001</v>
      </c>
      <c r="L19" s="144">
        <f>ROUND(+(D19+D21)/2*(C21-C19),3)</f>
        <v>3.1E-2</v>
      </c>
      <c r="M19" s="147">
        <f t="shared" ref="M19" si="2">ROUND(+K19*L19,4)</f>
        <v>5.0000000000000001E-3</v>
      </c>
      <c r="N19" s="150">
        <f t="shared" ref="N19" si="3">ROUND(+M19/$M$59*100,1)</f>
        <v>7.7</v>
      </c>
      <c r="O19" s="164"/>
      <c r="P19" s="270"/>
    </row>
    <row r="20" spans="1:16" s="3" customFormat="1" ht="14.1" customHeight="1" x14ac:dyDescent="0.2">
      <c r="A20" s="11"/>
      <c r="B20" s="160"/>
      <c r="C20" s="163"/>
      <c r="D20" s="145"/>
      <c r="E20" s="145"/>
      <c r="F20" s="42" t="s">
        <v>70</v>
      </c>
      <c r="G20" s="145">
        <f t="shared" ref="G20" si="4">IF(E19&lt;0.12,0.6*E19,IF(E19&gt;=0.12,0.6*E19))</f>
        <v>0.12479999999999999</v>
      </c>
      <c r="H20" s="145"/>
      <c r="I20" s="145">
        <v>0.16400000000000001</v>
      </c>
      <c r="J20" s="145"/>
      <c r="K20" s="145"/>
      <c r="L20" s="145"/>
      <c r="M20" s="148"/>
      <c r="N20" s="151"/>
      <c r="O20" s="165"/>
      <c r="P20" s="271"/>
    </row>
    <row r="21" spans="1:16" s="3" customFormat="1" ht="13.9" customHeight="1" thickBot="1" x14ac:dyDescent="0.25">
      <c r="A21" s="11"/>
      <c r="B21" s="161"/>
      <c r="C21" s="43">
        <f>C19+P8</f>
        <v>5.7</v>
      </c>
      <c r="D21" s="44">
        <v>0.21199999999999999</v>
      </c>
      <c r="E21" s="146"/>
      <c r="F21" s="45" t="s">
        <v>71</v>
      </c>
      <c r="G21" s="146">
        <f t="shared" ref="G21" si="5">IF(E19&lt;0.12,"NA",IF(E19&gt;=0.12,0.8*E19))</f>
        <v>0.16639999999999999</v>
      </c>
      <c r="H21" s="146"/>
      <c r="I21" s="146">
        <v>0.13900000000000001</v>
      </c>
      <c r="J21" s="146"/>
      <c r="K21" s="146"/>
      <c r="L21" s="146"/>
      <c r="M21" s="149"/>
      <c r="N21" s="152"/>
      <c r="O21" s="167"/>
      <c r="P21" s="272"/>
    </row>
    <row r="22" spans="1:16" s="3" customFormat="1" ht="14.1" customHeight="1" x14ac:dyDescent="0.2">
      <c r="A22" s="11"/>
      <c r="B22" s="159">
        <v>3</v>
      </c>
      <c r="C22" s="162">
        <f>+C21</f>
        <v>5.7</v>
      </c>
      <c r="D22" s="144">
        <f>D21</f>
        <v>0.21199999999999999</v>
      </c>
      <c r="E22" s="144">
        <v>0.23699999999999999</v>
      </c>
      <c r="F22" s="41" t="s">
        <v>69</v>
      </c>
      <c r="G22" s="144">
        <f t="shared" ref="G22" si="6">IF(E22&lt;0.12,"NA",IF(E22&gt;=0.12,0.2*E22))</f>
        <v>4.7399999999999998E-2</v>
      </c>
      <c r="H22" s="144"/>
      <c r="I22" s="144">
        <v>0.214</v>
      </c>
      <c r="J22" s="144"/>
      <c r="K22" s="144">
        <f t="shared" ref="K22" si="7">ROUND(+IF(E22&lt;=0.12,(I23),(IF(E22&gt;0.12,((I22+2*I23+I24)/4)))),3)</f>
        <v>0.14399999999999999</v>
      </c>
      <c r="L22" s="144">
        <f>ROUND(+(D22+D24)/2*(C24-C22),3)</f>
        <v>4.3999999999999997E-2</v>
      </c>
      <c r="M22" s="147">
        <f t="shared" ref="M22" si="8">ROUND(+K22*L22,4)</f>
        <v>6.3E-3</v>
      </c>
      <c r="N22" s="150">
        <f t="shared" ref="N22" si="9">ROUND(+M22/$M$59*100,1)</f>
        <v>9.6999999999999993</v>
      </c>
      <c r="O22" s="164"/>
      <c r="P22" s="270"/>
    </row>
    <row r="23" spans="1:16" s="3" customFormat="1" ht="14.1" customHeight="1" x14ac:dyDescent="0.2">
      <c r="A23" s="11"/>
      <c r="B23" s="160"/>
      <c r="C23" s="163"/>
      <c r="D23" s="145"/>
      <c r="E23" s="145"/>
      <c r="F23" s="42" t="s">
        <v>70</v>
      </c>
      <c r="G23" s="145">
        <f t="shared" ref="G23" si="10">IF(E22&lt;0.12,0.6*E22,IF(E22&gt;=0.12,0.6*E22))</f>
        <v>0.14219999999999999</v>
      </c>
      <c r="H23" s="145"/>
      <c r="I23" s="145">
        <v>0.123</v>
      </c>
      <c r="J23" s="145"/>
      <c r="K23" s="145"/>
      <c r="L23" s="145"/>
      <c r="M23" s="148"/>
      <c r="N23" s="151"/>
      <c r="O23" s="165"/>
      <c r="P23" s="271"/>
    </row>
    <row r="24" spans="1:16" s="3" customFormat="1" ht="13.9" customHeight="1" thickBot="1" x14ac:dyDescent="0.25">
      <c r="A24" s="11"/>
      <c r="B24" s="161"/>
      <c r="C24" s="43">
        <f>+C22+P8</f>
        <v>5.9</v>
      </c>
      <c r="D24" s="44">
        <v>0.23</v>
      </c>
      <c r="E24" s="146"/>
      <c r="F24" s="45" t="s">
        <v>71</v>
      </c>
      <c r="G24" s="146">
        <f t="shared" ref="G24" si="11">IF(E22&lt;0.12,"NA",IF(E22&gt;=0.12,0.8*E22))</f>
        <v>0.18959999999999999</v>
      </c>
      <c r="H24" s="146"/>
      <c r="I24" s="146">
        <v>0.115</v>
      </c>
      <c r="J24" s="146"/>
      <c r="K24" s="146"/>
      <c r="L24" s="146"/>
      <c r="M24" s="149"/>
      <c r="N24" s="152"/>
      <c r="O24" s="167"/>
      <c r="P24" s="272"/>
    </row>
    <row r="25" spans="1:16" s="3" customFormat="1" ht="14.1" customHeight="1" x14ac:dyDescent="0.2">
      <c r="A25" s="11"/>
      <c r="B25" s="159">
        <v>4</v>
      </c>
      <c r="C25" s="162">
        <f>+C24</f>
        <v>5.9</v>
      </c>
      <c r="D25" s="144">
        <f>D24</f>
        <v>0.23</v>
      </c>
      <c r="E25" s="144">
        <v>0.24099999999999999</v>
      </c>
      <c r="F25" s="41" t="s">
        <v>69</v>
      </c>
      <c r="G25" s="144">
        <f t="shared" ref="G25" si="12">IF(E25&lt;0.12,"NA",IF(E25&gt;=0.12,0.2*E25))</f>
        <v>4.82E-2</v>
      </c>
      <c r="H25" s="144"/>
      <c r="I25" s="273">
        <v>0.28299999999999997</v>
      </c>
      <c r="J25" s="273"/>
      <c r="K25" s="144">
        <f t="shared" ref="K25" si="13">ROUND(+IF(E25&lt;=0.12,(I26),(IF(E25&gt;0.12,((I25+2*I26+I27)/4)))),3)</f>
        <v>0.22600000000000001</v>
      </c>
      <c r="L25" s="144">
        <f>ROUND(+(D25+D27)/2*(C27-C25),3)</f>
        <v>4.9000000000000002E-2</v>
      </c>
      <c r="M25" s="147">
        <f t="shared" ref="M25" si="14">ROUND(+K25*L25,4)</f>
        <v>1.11E-2</v>
      </c>
      <c r="N25" s="150">
        <f t="shared" ref="N25" si="15">ROUND(+M25/$M$59*100,1)</f>
        <v>17.100000000000001</v>
      </c>
      <c r="O25" s="164"/>
      <c r="P25" s="270"/>
    </row>
    <row r="26" spans="1:16" s="3" customFormat="1" ht="14.1" customHeight="1" x14ac:dyDescent="0.2">
      <c r="A26" s="11"/>
      <c r="B26" s="160"/>
      <c r="C26" s="163"/>
      <c r="D26" s="145"/>
      <c r="E26" s="145"/>
      <c r="F26" s="42" t="s">
        <v>70</v>
      </c>
      <c r="G26" s="145">
        <f t="shared" ref="G26" si="16">IF(E25&lt;0.12,0.6*E25,IF(E25&gt;=0.12,0.6*E25))</f>
        <v>0.14459999999999998</v>
      </c>
      <c r="H26" s="145"/>
      <c r="I26" s="145">
        <v>0.215</v>
      </c>
      <c r="J26" s="145"/>
      <c r="K26" s="145"/>
      <c r="L26" s="145"/>
      <c r="M26" s="148"/>
      <c r="N26" s="151"/>
      <c r="O26" s="165"/>
      <c r="P26" s="271"/>
    </row>
    <row r="27" spans="1:16" s="3" customFormat="1" ht="13.9" customHeight="1" thickBot="1" x14ac:dyDescent="0.25">
      <c r="A27" s="11"/>
      <c r="B27" s="161"/>
      <c r="C27" s="43">
        <f>+C25+P8</f>
        <v>6.1000000000000005</v>
      </c>
      <c r="D27" s="44">
        <v>0.255</v>
      </c>
      <c r="E27" s="146"/>
      <c r="F27" s="45" t="s">
        <v>71</v>
      </c>
      <c r="G27" s="146">
        <f t="shared" ref="G27" si="17">IF(E25&lt;0.12,"NA",IF(E25&gt;=0.12,0.8*E25))</f>
        <v>0.1928</v>
      </c>
      <c r="H27" s="146"/>
      <c r="I27" s="146">
        <v>0.19</v>
      </c>
      <c r="J27" s="146"/>
      <c r="K27" s="146"/>
      <c r="L27" s="146"/>
      <c r="M27" s="149"/>
      <c r="N27" s="152"/>
      <c r="O27" s="167"/>
      <c r="P27" s="272"/>
    </row>
    <row r="28" spans="1:16" s="3" customFormat="1" ht="14.1" customHeight="1" x14ac:dyDescent="0.2">
      <c r="A28" s="11"/>
      <c r="B28" s="159">
        <v>5</v>
      </c>
      <c r="C28" s="162">
        <f>+C27</f>
        <v>6.1000000000000005</v>
      </c>
      <c r="D28" s="144">
        <f>+D27</f>
        <v>0.255</v>
      </c>
      <c r="E28" s="144">
        <v>0.25900000000000001</v>
      </c>
      <c r="F28" s="41" t="s">
        <v>69</v>
      </c>
      <c r="G28" s="144">
        <f t="shared" ref="G28" si="18">IF(E28&lt;0.12,"NA",IF(E28&gt;=0.12,0.2*E28))</f>
        <v>5.1800000000000006E-2</v>
      </c>
      <c r="H28" s="144"/>
      <c r="I28" s="273"/>
      <c r="J28" s="273"/>
      <c r="K28" s="144"/>
      <c r="L28" s="144"/>
      <c r="M28" s="147"/>
      <c r="N28" s="150"/>
      <c r="O28" s="164"/>
      <c r="P28" s="270"/>
    </row>
    <row r="29" spans="1:16" s="3" customFormat="1" ht="14.1" customHeight="1" x14ac:dyDescent="0.2">
      <c r="A29" s="11"/>
      <c r="B29" s="160"/>
      <c r="C29" s="163"/>
      <c r="D29" s="145"/>
      <c r="E29" s="145"/>
      <c r="F29" s="42" t="s">
        <v>70</v>
      </c>
      <c r="G29" s="145">
        <f t="shared" ref="G29" si="19">IF(E28&lt;0.12,0.6*E28,IF(E28&gt;=0.12,0.6*E28))</f>
        <v>0.15540000000000001</v>
      </c>
      <c r="H29" s="145"/>
      <c r="I29" s="145"/>
      <c r="J29" s="145"/>
      <c r="K29" s="145"/>
      <c r="L29" s="145"/>
      <c r="M29" s="148"/>
      <c r="N29" s="151"/>
      <c r="O29" s="165"/>
      <c r="P29" s="271"/>
    </row>
    <row r="30" spans="1:16" s="3" customFormat="1" ht="13.9" customHeight="1" thickBot="1" x14ac:dyDescent="0.25">
      <c r="A30" s="11"/>
      <c r="B30" s="161"/>
      <c r="C30" s="43">
        <f>+C28+P8</f>
        <v>6.3000000000000007</v>
      </c>
      <c r="D30" s="44">
        <v>0.23499999999999999</v>
      </c>
      <c r="E30" s="146"/>
      <c r="F30" s="45" t="s">
        <v>71</v>
      </c>
      <c r="G30" s="146">
        <f t="shared" ref="G30" si="20">IF(E28&lt;0.12,"NA",IF(E28&gt;=0.12,0.8*E28))</f>
        <v>0.20720000000000002</v>
      </c>
      <c r="H30" s="146"/>
      <c r="I30" s="146"/>
      <c r="J30" s="146"/>
      <c r="K30" s="146"/>
      <c r="L30" s="146"/>
      <c r="M30" s="149"/>
      <c r="N30" s="152"/>
      <c r="O30" s="167"/>
      <c r="P30" s="272"/>
    </row>
    <row r="31" spans="1:16" s="3" customFormat="1" ht="14.1" customHeight="1" x14ac:dyDescent="0.2">
      <c r="A31" s="11"/>
      <c r="B31" s="159">
        <v>6</v>
      </c>
      <c r="C31" s="162">
        <f>+C30</f>
        <v>6.3000000000000007</v>
      </c>
      <c r="D31" s="144">
        <f>D30</f>
        <v>0.23499999999999999</v>
      </c>
      <c r="E31" s="144">
        <v>0.23300000000000001</v>
      </c>
      <c r="F31" s="41" t="s">
        <v>69</v>
      </c>
      <c r="G31" s="144">
        <f t="shared" ref="G31" si="21">IF(E31&lt;0.12,"NA",IF(E31&gt;=0.12,0.2*E31))</f>
        <v>4.6600000000000003E-2</v>
      </c>
      <c r="H31" s="144"/>
      <c r="I31" s="273">
        <v>0.35599999999999998</v>
      </c>
      <c r="J31" s="273"/>
      <c r="K31" s="144">
        <f t="shared" ref="K31" si="22">ROUND(+IF(E31&lt;=0.12,(I32),(IF(E31&gt;0.12,((I31+2*I32+I33)/4)))),3)</f>
        <v>0.25800000000000001</v>
      </c>
      <c r="L31" s="144">
        <f>ROUND(+(D31+D33)/2*(C33-C31),3)</f>
        <v>4.4999999999999998E-2</v>
      </c>
      <c r="M31" s="147">
        <f t="shared" ref="M31" si="23">ROUND(+K31*L31,4)</f>
        <v>1.1599999999999999E-2</v>
      </c>
      <c r="N31" s="150">
        <f t="shared" ref="N31" si="24">ROUND(+M31/$M$59*100,1)</f>
        <v>17.8</v>
      </c>
      <c r="O31" s="164"/>
      <c r="P31" s="270"/>
    </row>
    <row r="32" spans="1:16" s="3" customFormat="1" ht="14.1" customHeight="1" x14ac:dyDescent="0.2">
      <c r="A32" s="11"/>
      <c r="B32" s="160"/>
      <c r="C32" s="163"/>
      <c r="D32" s="145"/>
      <c r="E32" s="145"/>
      <c r="F32" s="42" t="s">
        <v>70</v>
      </c>
      <c r="G32" s="145">
        <f t="shared" ref="G32" si="25">IF(E31&lt;0.12,0.6*E31,IF(E31&gt;=0.12,0.6*E31))</f>
        <v>0.13980000000000001</v>
      </c>
      <c r="H32" s="145"/>
      <c r="I32" s="145">
        <v>0.22600000000000001</v>
      </c>
      <c r="J32" s="145"/>
      <c r="K32" s="145"/>
      <c r="L32" s="145"/>
      <c r="M32" s="148"/>
      <c r="N32" s="151"/>
      <c r="O32" s="165"/>
      <c r="P32" s="271"/>
    </row>
    <row r="33" spans="1:16" s="3" customFormat="1" ht="13.9" customHeight="1" thickBot="1" x14ac:dyDescent="0.25">
      <c r="A33" s="11"/>
      <c r="B33" s="161"/>
      <c r="C33" s="43">
        <f>+C31+P8</f>
        <v>6.5000000000000009</v>
      </c>
      <c r="D33" s="44">
        <v>0.218</v>
      </c>
      <c r="E33" s="146"/>
      <c r="F33" s="45" t="s">
        <v>71</v>
      </c>
      <c r="G33" s="146">
        <f t="shared" ref="G33" si="26">IF(E31&lt;0.12,"NA",IF(E31&gt;=0.12,0.8*E31))</f>
        <v>0.18640000000000001</v>
      </c>
      <c r="H33" s="146"/>
      <c r="I33" s="146">
        <v>0.222</v>
      </c>
      <c r="J33" s="146"/>
      <c r="K33" s="146"/>
      <c r="L33" s="146"/>
      <c r="M33" s="149"/>
      <c r="N33" s="152"/>
      <c r="O33" s="167"/>
      <c r="P33" s="272"/>
    </row>
    <row r="34" spans="1:16" s="3" customFormat="1" ht="14.1" customHeight="1" x14ac:dyDescent="0.2">
      <c r="A34" s="11"/>
      <c r="B34" s="159">
        <v>7</v>
      </c>
      <c r="C34" s="162">
        <f>C33</f>
        <v>6.5000000000000009</v>
      </c>
      <c r="D34" s="144">
        <f>D33</f>
        <v>0.218</v>
      </c>
      <c r="E34" s="144">
        <v>0.182</v>
      </c>
      <c r="F34" s="41" t="s">
        <v>69</v>
      </c>
      <c r="G34" s="144">
        <f t="shared" ref="G34" si="27">IF(E34&lt;0.12,"NA",IF(E34&gt;=0.12,0.2*E34))</f>
        <v>3.6400000000000002E-2</v>
      </c>
      <c r="H34" s="144"/>
      <c r="I34" s="144">
        <v>0.182</v>
      </c>
      <c r="J34" s="144"/>
      <c r="K34" s="144">
        <f t="shared" ref="K34" si="28">ROUND(+IF(E34&lt;=0.12,(I35),(IF(E34&gt;0.12,((I34+2*I35+I36)/4)))),3)</f>
        <v>0.16300000000000001</v>
      </c>
      <c r="L34" s="144">
        <f t="shared" ref="L34" si="29">ROUND(+(D34+D36)/2*(C36-C34),3)</f>
        <v>3.9E-2</v>
      </c>
      <c r="M34" s="147">
        <f t="shared" ref="M34" si="30">ROUND(+K34*L34,4)</f>
        <v>6.4000000000000003E-3</v>
      </c>
      <c r="N34" s="150">
        <f t="shared" ref="N34" si="31">ROUND(+M34/$M$59*100,1)</f>
        <v>9.8000000000000007</v>
      </c>
      <c r="O34" s="164"/>
      <c r="P34" s="270"/>
    </row>
    <row r="35" spans="1:16" s="3" customFormat="1" ht="14.1" customHeight="1" x14ac:dyDescent="0.2">
      <c r="A35" s="11"/>
      <c r="B35" s="160"/>
      <c r="C35" s="163"/>
      <c r="D35" s="145"/>
      <c r="E35" s="145"/>
      <c r="F35" s="42" t="s">
        <v>70</v>
      </c>
      <c r="G35" s="145">
        <f t="shared" ref="G35" si="32">IF(E34&lt;0.12,0.6*E34,IF(E34&gt;=0.12,0.6*E34))</f>
        <v>0.10919999999999999</v>
      </c>
      <c r="H35" s="145"/>
      <c r="I35" s="145">
        <v>0.17599999999999999</v>
      </c>
      <c r="J35" s="145"/>
      <c r="K35" s="145"/>
      <c r="L35" s="145"/>
      <c r="M35" s="148"/>
      <c r="N35" s="151"/>
      <c r="O35" s="165"/>
      <c r="P35" s="271"/>
    </row>
    <row r="36" spans="1:16" s="3" customFormat="1" ht="13.9" customHeight="1" thickBot="1" x14ac:dyDescent="0.25">
      <c r="A36" s="11"/>
      <c r="B36" s="161"/>
      <c r="C36" s="43">
        <f>C34+$P$8</f>
        <v>6.7000000000000011</v>
      </c>
      <c r="D36" s="44">
        <v>0.17</v>
      </c>
      <c r="E36" s="146"/>
      <c r="F36" s="45" t="s">
        <v>71</v>
      </c>
      <c r="G36" s="146">
        <f t="shared" ref="G36" si="33">IF(E34&lt;0.12,"NA",IF(E34&gt;=0.12,0.8*E34))</f>
        <v>0.14560000000000001</v>
      </c>
      <c r="H36" s="146"/>
      <c r="I36" s="146">
        <v>0.11799999999999999</v>
      </c>
      <c r="J36" s="146"/>
      <c r="K36" s="146"/>
      <c r="L36" s="146"/>
      <c r="M36" s="149"/>
      <c r="N36" s="152"/>
      <c r="O36" s="167"/>
      <c r="P36" s="272"/>
    </row>
    <row r="37" spans="1:16" s="3" customFormat="1" ht="14.1" customHeight="1" x14ac:dyDescent="0.2">
      <c r="A37" s="11"/>
      <c r="B37" s="159">
        <v>8</v>
      </c>
      <c r="C37" s="162">
        <f>C36</f>
        <v>6.7000000000000011</v>
      </c>
      <c r="D37" s="144">
        <f>D36</f>
        <v>0.17</v>
      </c>
      <c r="E37" s="144">
        <v>0.17199999999999999</v>
      </c>
      <c r="F37" s="41" t="s">
        <v>69</v>
      </c>
      <c r="G37" s="144">
        <f t="shared" ref="G37" si="34">IF(E37&lt;0.12,"NA",IF(E37&gt;=0.12,0.2*E37))</f>
        <v>3.44E-2</v>
      </c>
      <c r="H37" s="144"/>
      <c r="I37" s="144">
        <v>0.11899999999999999</v>
      </c>
      <c r="J37" s="144"/>
      <c r="K37" s="144">
        <f t="shared" ref="K37" si="35">ROUND(+IF(E37&lt;=0.12,(I38),(IF(E37&gt;0.12,((I37+2*I38+I39)/4)))),3)</f>
        <v>0.09</v>
      </c>
      <c r="L37" s="144">
        <f t="shared" ref="L37" si="36">ROUND(+(D37+D39)/2*(C39-C37),3)</f>
        <v>3.4000000000000002E-2</v>
      </c>
      <c r="M37" s="147">
        <f t="shared" ref="M37" si="37">ROUND(+K37*L37,4)</f>
        <v>3.0999999999999999E-3</v>
      </c>
      <c r="N37" s="150">
        <f t="shared" ref="N37" si="38">ROUND(+M37/$M$59*100,1)</f>
        <v>4.8</v>
      </c>
      <c r="O37" s="164"/>
      <c r="P37" s="270"/>
    </row>
    <row r="38" spans="1:16" s="3" customFormat="1" ht="14.1" customHeight="1" x14ac:dyDescent="0.2">
      <c r="A38" s="11"/>
      <c r="B38" s="160"/>
      <c r="C38" s="163"/>
      <c r="D38" s="145"/>
      <c r="E38" s="145"/>
      <c r="F38" s="42" t="s">
        <v>70</v>
      </c>
      <c r="G38" s="145">
        <f t="shared" ref="G38" si="39">IF(E37&lt;0.12,0.6*E37,IF(E37&gt;=0.12,0.6*E37))</f>
        <v>0.10319999999999999</v>
      </c>
      <c r="H38" s="145"/>
      <c r="I38" s="145">
        <v>9.1999999999999998E-2</v>
      </c>
      <c r="J38" s="145"/>
      <c r="K38" s="145"/>
      <c r="L38" s="145"/>
      <c r="M38" s="148"/>
      <c r="N38" s="151"/>
      <c r="O38" s="165"/>
      <c r="P38" s="271"/>
    </row>
    <row r="39" spans="1:16" s="3" customFormat="1" ht="13.9" customHeight="1" thickBot="1" x14ac:dyDescent="0.25">
      <c r="A39" s="11"/>
      <c r="B39" s="161"/>
      <c r="C39" s="43">
        <f>C37+$P$8</f>
        <v>6.9000000000000012</v>
      </c>
      <c r="D39" s="44">
        <v>0.16600000000000001</v>
      </c>
      <c r="E39" s="146"/>
      <c r="F39" s="45" t="s">
        <v>71</v>
      </c>
      <c r="G39" s="146">
        <f t="shared" ref="G39" si="40">IF(E37&lt;0.12,"NA",IF(E37&gt;=0.12,0.8*E37))</f>
        <v>0.1376</v>
      </c>
      <c r="H39" s="146"/>
      <c r="I39" s="146">
        <v>5.6000000000000001E-2</v>
      </c>
      <c r="J39" s="146"/>
      <c r="K39" s="146"/>
      <c r="L39" s="146"/>
      <c r="M39" s="149"/>
      <c r="N39" s="152"/>
      <c r="O39" s="167"/>
      <c r="P39" s="272"/>
    </row>
    <row r="40" spans="1:16" s="3" customFormat="1" ht="14.1" customHeight="1" x14ac:dyDescent="0.2">
      <c r="A40" s="11"/>
      <c r="B40" s="296">
        <v>9</v>
      </c>
      <c r="C40" s="162">
        <f>C39</f>
        <v>6.9000000000000012</v>
      </c>
      <c r="D40" s="144">
        <f>D39</f>
        <v>0.16600000000000001</v>
      </c>
      <c r="E40" s="144">
        <v>0.129</v>
      </c>
      <c r="F40" s="53" t="s">
        <v>69</v>
      </c>
      <c r="G40" s="144">
        <f t="shared" ref="G40" si="41">IF(E40&lt;0.12,"NA",IF(E40&gt;=0.12,0.2*E40))</f>
        <v>2.5800000000000003E-2</v>
      </c>
      <c r="H40" s="144"/>
      <c r="I40" s="273">
        <v>0.21099999999999999</v>
      </c>
      <c r="J40" s="273"/>
      <c r="K40" s="273">
        <f t="shared" ref="K40" si="42">ROUND(+IF(E40&lt;=0.12,(I41),(IF(E40&gt;0.12,((I40+2*I41+I42)/4)))),3)</f>
        <v>0.188</v>
      </c>
      <c r="L40" s="273">
        <f t="shared" ref="L40" si="43">ROUND(+(D40+D42)/2*(C42-C40),3)</f>
        <v>2.7E-2</v>
      </c>
      <c r="M40" s="276">
        <f t="shared" ref="M40" si="44">ROUND(+K40*L40,4)</f>
        <v>5.1000000000000004E-3</v>
      </c>
      <c r="N40" s="279">
        <f t="shared" ref="N40" si="45">ROUND(+M40/$M$59*100,1)</f>
        <v>7.8</v>
      </c>
      <c r="O40" s="282"/>
      <c r="P40" s="285"/>
    </row>
    <row r="41" spans="1:16" s="3" customFormat="1" ht="14.1" customHeight="1" x14ac:dyDescent="0.2">
      <c r="A41" s="11"/>
      <c r="B41" s="297"/>
      <c r="C41" s="163"/>
      <c r="D41" s="145"/>
      <c r="E41" s="145"/>
      <c r="F41" s="54" t="s">
        <v>70</v>
      </c>
      <c r="G41" s="145">
        <f t="shared" ref="G41" si="46">IF(E40&lt;0.12,0.6*E40,IF(E40&gt;=0.12,0.6*E40))</f>
        <v>7.7399999999999997E-2</v>
      </c>
      <c r="H41" s="145"/>
      <c r="I41" s="274">
        <v>0.192</v>
      </c>
      <c r="J41" s="274"/>
      <c r="K41" s="274"/>
      <c r="L41" s="274"/>
      <c r="M41" s="277"/>
      <c r="N41" s="280"/>
      <c r="O41" s="283"/>
      <c r="P41" s="286"/>
    </row>
    <row r="42" spans="1:16" s="3" customFormat="1" ht="13.9" customHeight="1" thickBot="1" x14ac:dyDescent="0.25">
      <c r="A42" s="11"/>
      <c r="B42" s="298"/>
      <c r="C42" s="43">
        <f>C40+$P$8</f>
        <v>7.1000000000000014</v>
      </c>
      <c r="D42" s="44">
        <v>0.105</v>
      </c>
      <c r="E42" s="146"/>
      <c r="F42" s="57" t="s">
        <v>71</v>
      </c>
      <c r="G42" s="146">
        <f t="shared" ref="G42" si="47">IF(E40&lt;0.12,"NA",IF(E40&gt;=0.12,0.8*E40))</f>
        <v>0.10320000000000001</v>
      </c>
      <c r="H42" s="146"/>
      <c r="I42" s="275">
        <v>0.156</v>
      </c>
      <c r="J42" s="275"/>
      <c r="K42" s="275"/>
      <c r="L42" s="275"/>
      <c r="M42" s="278"/>
      <c r="N42" s="281"/>
      <c r="O42" s="284"/>
      <c r="P42" s="287"/>
    </row>
    <row r="43" spans="1:16" s="3" customFormat="1" ht="14.1" customHeight="1" x14ac:dyDescent="0.2">
      <c r="A43" s="11"/>
      <c r="B43" s="296">
        <v>10</v>
      </c>
      <c r="C43" s="162">
        <f>C42</f>
        <v>7.1000000000000014</v>
      </c>
      <c r="D43" s="144">
        <f>D42</f>
        <v>0.105</v>
      </c>
      <c r="E43" s="144">
        <v>0.13500000000000001</v>
      </c>
      <c r="F43" s="53" t="s">
        <v>69</v>
      </c>
      <c r="G43" s="144">
        <f t="shared" ref="G43" si="48">IF(E43&lt;0.12,"NA",IF(E43&gt;=0.12,0.2*E43))</f>
        <v>2.7000000000000003E-2</v>
      </c>
      <c r="H43" s="144"/>
      <c r="I43" s="299">
        <v>0.127</v>
      </c>
      <c r="J43" s="300"/>
      <c r="K43" s="273">
        <f>ROUND(+IF(E43&lt;=0.12,(I44),(IF(E43&gt;0.12,((I43+2*I44+I45)/4)))),3)</f>
        <v>0.11</v>
      </c>
      <c r="L43" s="273">
        <f t="shared" ref="L43" si="49">ROUND(+(D43+D45)/2*(C45-C43),3)</f>
        <v>2.3E-2</v>
      </c>
      <c r="M43" s="276">
        <f t="shared" ref="M43" si="50">ROUND(+K43*L43,4)</f>
        <v>2.5000000000000001E-3</v>
      </c>
      <c r="N43" s="279">
        <f t="shared" ref="N43" si="51">ROUND(+M43/$M$59*100,1)</f>
        <v>3.8</v>
      </c>
      <c r="O43" s="282"/>
      <c r="P43" s="285"/>
    </row>
    <row r="44" spans="1:16" s="3" customFormat="1" ht="14.1" customHeight="1" x14ac:dyDescent="0.2">
      <c r="A44" s="11"/>
      <c r="B44" s="297"/>
      <c r="C44" s="163"/>
      <c r="D44" s="145"/>
      <c r="E44" s="145"/>
      <c r="F44" s="54" t="s">
        <v>70</v>
      </c>
      <c r="G44" s="145">
        <f t="shared" ref="G44" si="52">IF(E43&lt;0.12,0.6*E43,IF(E43&gt;=0.12,0.6*E43))</f>
        <v>8.1000000000000003E-2</v>
      </c>
      <c r="H44" s="145"/>
      <c r="I44" s="301">
        <v>0.111</v>
      </c>
      <c r="J44" s="302"/>
      <c r="K44" s="274"/>
      <c r="L44" s="274"/>
      <c r="M44" s="277"/>
      <c r="N44" s="280"/>
      <c r="O44" s="283"/>
      <c r="P44" s="286"/>
    </row>
    <row r="45" spans="1:16" s="3" customFormat="1" ht="13.9" customHeight="1" thickBot="1" x14ac:dyDescent="0.25">
      <c r="A45" s="11"/>
      <c r="B45" s="298"/>
      <c r="C45" s="43">
        <f>C43+$P$8</f>
        <v>7.3000000000000016</v>
      </c>
      <c r="D45" s="44">
        <v>0.125</v>
      </c>
      <c r="E45" s="146"/>
      <c r="F45" s="57" t="s">
        <v>71</v>
      </c>
      <c r="G45" s="146">
        <f t="shared" ref="G45" si="53">IF(E43&lt;0.12,"NA",IF(E43&gt;=0.12,0.8*E43))</f>
        <v>0.10800000000000001</v>
      </c>
      <c r="H45" s="146"/>
      <c r="I45" s="303">
        <v>9.0999999999999998E-2</v>
      </c>
      <c r="J45" s="304"/>
      <c r="K45" s="275"/>
      <c r="L45" s="275"/>
      <c r="M45" s="278"/>
      <c r="N45" s="281"/>
      <c r="O45" s="284"/>
      <c r="P45" s="287"/>
    </row>
    <row r="46" spans="1:16" s="3" customFormat="1" ht="14.1" customHeight="1" x14ac:dyDescent="0.2">
      <c r="A46" s="11"/>
      <c r="B46" s="159">
        <v>11</v>
      </c>
      <c r="C46" s="162">
        <f>C45</f>
        <v>7.3000000000000016</v>
      </c>
      <c r="D46" s="144">
        <f>D45</f>
        <v>0.125</v>
      </c>
      <c r="E46" s="144">
        <v>0.105</v>
      </c>
      <c r="F46" s="41" t="s">
        <v>69</v>
      </c>
      <c r="G46" s="144" t="str">
        <f t="shared" ref="G46" si="54">IF(E46&lt;0.12,"NA",IF(E46&gt;=0.12,0.2*E46))</f>
        <v>NA</v>
      </c>
      <c r="H46" s="144"/>
      <c r="I46" s="293"/>
      <c r="J46" s="293"/>
      <c r="K46" s="273">
        <f t="shared" ref="K46" si="55">ROUND(+IF(E46&lt;=0.12,(I47),(IF(E46&gt;0.12,((I46+2*I47+I48)/4)))),3)</f>
        <v>5.3999999999999999E-2</v>
      </c>
      <c r="L46" s="273">
        <f>ROUND(+(D46+D48)/2*(C48-C46),3)</f>
        <v>1.4999999999999999E-2</v>
      </c>
      <c r="M46" s="276">
        <f t="shared" ref="M46" si="56">ROUND(+K46*L46,4)</f>
        <v>8.0000000000000004E-4</v>
      </c>
      <c r="N46" s="279">
        <f t="shared" ref="N46" si="57">ROUND(+M46/$M$59*100,1)</f>
        <v>1.2</v>
      </c>
      <c r="O46" s="164"/>
      <c r="P46" s="270"/>
    </row>
    <row r="47" spans="1:16" s="3" customFormat="1" ht="14.1" customHeight="1" x14ac:dyDescent="0.2">
      <c r="A47" s="11"/>
      <c r="B47" s="160"/>
      <c r="C47" s="163"/>
      <c r="D47" s="145"/>
      <c r="E47" s="145"/>
      <c r="F47" s="42" t="s">
        <v>70</v>
      </c>
      <c r="G47" s="145">
        <f t="shared" ref="G47" si="58">IF(E46&lt;0.12,0.6*E46,IF(E46&gt;=0.12,0.6*E46))</f>
        <v>6.3E-2</v>
      </c>
      <c r="H47" s="145"/>
      <c r="I47" s="294">
        <v>5.3999999999999999E-2</v>
      </c>
      <c r="J47" s="294"/>
      <c r="K47" s="274"/>
      <c r="L47" s="274"/>
      <c r="M47" s="277"/>
      <c r="N47" s="280"/>
      <c r="O47" s="165"/>
      <c r="P47" s="271"/>
    </row>
    <row r="48" spans="1:16" s="3" customFormat="1" ht="13.9" customHeight="1" thickBot="1" x14ac:dyDescent="0.25">
      <c r="A48" s="11"/>
      <c r="B48" s="161"/>
      <c r="C48" s="43">
        <f>C46+0.22</f>
        <v>7.5200000000000014</v>
      </c>
      <c r="D48" s="44">
        <v>8.9999999999999993E-3</v>
      </c>
      <c r="E48" s="146"/>
      <c r="F48" s="45" t="s">
        <v>71</v>
      </c>
      <c r="G48" s="146" t="str">
        <f t="shared" ref="G48" si="59">IF(E46&lt;0.12,"NA",IF(E46&gt;=0.12,0.8*E46))</f>
        <v>NA</v>
      </c>
      <c r="H48" s="146"/>
      <c r="I48" s="295"/>
      <c r="J48" s="295"/>
      <c r="K48" s="275"/>
      <c r="L48" s="275"/>
      <c r="M48" s="278"/>
      <c r="N48" s="281"/>
      <c r="O48" s="167"/>
      <c r="P48" s="272"/>
    </row>
    <row r="49" spans="1:16" s="3" customFormat="1" ht="14.1" customHeight="1" x14ac:dyDescent="0.2">
      <c r="A49" s="11"/>
      <c r="B49" s="265">
        <v>5</v>
      </c>
      <c r="C49" s="268">
        <f>+C28</f>
        <v>6.1000000000000005</v>
      </c>
      <c r="D49" s="269">
        <f>+D28</f>
        <v>0.255</v>
      </c>
      <c r="E49" s="269">
        <f>+E28</f>
        <v>0.25900000000000001</v>
      </c>
      <c r="F49" s="46" t="s">
        <v>30</v>
      </c>
      <c r="G49" s="292"/>
      <c r="H49" s="292"/>
      <c r="I49" s="130">
        <v>0.34200000000000003</v>
      </c>
      <c r="J49" s="130"/>
      <c r="K49" s="130">
        <f>ROUND(+AVERAGE(I49:J58),3)</f>
        <v>0.26100000000000001</v>
      </c>
      <c r="L49" s="131">
        <f>ROUND(+(D49+D54)/2*(C54-C49),3)</f>
        <v>4.9000000000000002E-2</v>
      </c>
      <c r="M49" s="132">
        <f>ROUND(+K49*L49,4)</f>
        <v>1.2800000000000001E-2</v>
      </c>
      <c r="N49" s="131">
        <f>ROUND(+M49/$M$59*100,1)</f>
        <v>19.7</v>
      </c>
      <c r="O49" s="131"/>
      <c r="P49" s="135"/>
    </row>
    <row r="50" spans="1:16" s="3" customFormat="1" ht="14.1" customHeight="1" x14ac:dyDescent="0.2">
      <c r="A50" s="11"/>
      <c r="B50" s="266"/>
      <c r="C50" s="261"/>
      <c r="D50" s="263"/>
      <c r="E50" s="263"/>
      <c r="F50" s="47" t="s">
        <v>72</v>
      </c>
      <c r="G50" s="121">
        <f>+ROUND(0.1*$E$49,2)</f>
        <v>0.03</v>
      </c>
      <c r="H50" s="121"/>
      <c r="I50" s="128">
        <v>0.34899999999999998</v>
      </c>
      <c r="J50" s="128"/>
      <c r="K50" s="126"/>
      <c r="L50" s="126"/>
      <c r="M50" s="133"/>
      <c r="N50" s="126"/>
      <c r="O50" s="126"/>
      <c r="P50" s="136"/>
    </row>
    <row r="51" spans="1:16" s="3" customFormat="1" ht="14.1" customHeight="1" x14ac:dyDescent="0.2">
      <c r="A51" s="11"/>
      <c r="B51" s="266"/>
      <c r="C51" s="261"/>
      <c r="D51" s="263"/>
      <c r="E51" s="263"/>
      <c r="F51" s="47" t="s">
        <v>69</v>
      </c>
      <c r="G51" s="121">
        <f>+ROUND(0.2*$E$49,2)</f>
        <v>0.05</v>
      </c>
      <c r="H51" s="121"/>
      <c r="I51" s="128">
        <v>0.32900000000000001</v>
      </c>
      <c r="J51" s="128"/>
      <c r="K51" s="126"/>
      <c r="L51" s="126"/>
      <c r="M51" s="133"/>
      <c r="N51" s="126"/>
      <c r="O51" s="126"/>
      <c r="P51" s="136"/>
    </row>
    <row r="52" spans="1:16" s="3" customFormat="1" ht="14.1" customHeight="1" x14ac:dyDescent="0.2">
      <c r="A52" s="11"/>
      <c r="B52" s="266"/>
      <c r="C52" s="261"/>
      <c r="D52" s="263"/>
      <c r="E52" s="263"/>
      <c r="F52" s="47" t="s">
        <v>73</v>
      </c>
      <c r="G52" s="121">
        <f>+ROUND(0.3*$E$49,2)</f>
        <v>0.08</v>
      </c>
      <c r="H52" s="121"/>
      <c r="I52" s="128">
        <v>0.32100000000000001</v>
      </c>
      <c r="J52" s="128"/>
      <c r="K52" s="126"/>
      <c r="L52" s="126"/>
      <c r="M52" s="133"/>
      <c r="N52" s="126"/>
      <c r="O52" s="126"/>
      <c r="P52" s="136"/>
    </row>
    <row r="53" spans="1:16" s="3" customFormat="1" ht="14.1" customHeight="1" x14ac:dyDescent="0.2">
      <c r="A53" s="11"/>
      <c r="B53" s="266"/>
      <c r="C53" s="261"/>
      <c r="D53" s="263"/>
      <c r="E53" s="263"/>
      <c r="F53" s="47" t="s">
        <v>74</v>
      </c>
      <c r="G53" s="121">
        <f>+ROUND(0.4*$E$49,2)</f>
        <v>0.1</v>
      </c>
      <c r="H53" s="121"/>
      <c r="I53" s="128">
        <v>0.29599999999999999</v>
      </c>
      <c r="J53" s="128"/>
      <c r="K53" s="126"/>
      <c r="L53" s="126"/>
      <c r="M53" s="133"/>
      <c r="N53" s="126"/>
      <c r="O53" s="126"/>
      <c r="P53" s="136"/>
    </row>
    <row r="54" spans="1:16" s="3" customFormat="1" ht="14.1" customHeight="1" x14ac:dyDescent="0.2">
      <c r="A54" s="11"/>
      <c r="B54" s="266"/>
      <c r="C54" s="261">
        <f>+C30</f>
        <v>6.3000000000000007</v>
      </c>
      <c r="D54" s="263">
        <f>+D30</f>
        <v>0.23499999999999999</v>
      </c>
      <c r="E54" s="263"/>
      <c r="F54" s="47" t="s">
        <v>29</v>
      </c>
      <c r="G54" s="121">
        <f>+ROUND(0.5*$E$49,2)</f>
        <v>0.13</v>
      </c>
      <c r="H54" s="121"/>
      <c r="I54" s="128">
        <v>0.28999999999999998</v>
      </c>
      <c r="J54" s="128"/>
      <c r="K54" s="126"/>
      <c r="L54" s="126"/>
      <c r="M54" s="133"/>
      <c r="N54" s="126"/>
      <c r="O54" s="126"/>
      <c r="P54" s="136"/>
    </row>
    <row r="55" spans="1:16" s="3" customFormat="1" ht="14.1" customHeight="1" x14ac:dyDescent="0.2">
      <c r="A55" s="11"/>
      <c r="B55" s="266"/>
      <c r="C55" s="261"/>
      <c r="D55" s="263"/>
      <c r="E55" s="263"/>
      <c r="F55" s="47" t="s">
        <v>70</v>
      </c>
      <c r="G55" s="121">
        <f>+ROUND(0.6*$E$49,2)</f>
        <v>0.16</v>
      </c>
      <c r="H55" s="121"/>
      <c r="I55" s="128">
        <v>0.20799999999999999</v>
      </c>
      <c r="J55" s="128"/>
      <c r="K55" s="126"/>
      <c r="L55" s="126"/>
      <c r="M55" s="133"/>
      <c r="N55" s="126"/>
      <c r="O55" s="126"/>
      <c r="P55" s="136"/>
    </row>
    <row r="56" spans="1:16" s="3" customFormat="1" ht="14.1" customHeight="1" x14ac:dyDescent="0.2">
      <c r="A56" s="11"/>
      <c r="B56" s="266"/>
      <c r="C56" s="261"/>
      <c r="D56" s="263"/>
      <c r="E56" s="263"/>
      <c r="F56" s="47" t="s">
        <v>75</v>
      </c>
      <c r="G56" s="121">
        <f>+ROUND(0.7*$E$49,2)</f>
        <v>0.18</v>
      </c>
      <c r="H56" s="121"/>
      <c r="I56" s="128">
        <v>0.19600000000000001</v>
      </c>
      <c r="J56" s="128"/>
      <c r="K56" s="126"/>
      <c r="L56" s="126"/>
      <c r="M56" s="133"/>
      <c r="N56" s="126"/>
      <c r="O56" s="126"/>
      <c r="P56" s="136"/>
    </row>
    <row r="57" spans="1:16" s="3" customFormat="1" ht="14.1" customHeight="1" x14ac:dyDescent="0.2">
      <c r="A57" s="11"/>
      <c r="B57" s="266"/>
      <c r="C57" s="261"/>
      <c r="D57" s="263"/>
      <c r="E57" s="263"/>
      <c r="F57" s="47" t="s">
        <v>71</v>
      </c>
      <c r="G57" s="121">
        <f>+ROUND(0.8*$E$49,2)</f>
        <v>0.21</v>
      </c>
      <c r="H57" s="121"/>
      <c r="I57" s="128">
        <v>0.15</v>
      </c>
      <c r="J57" s="128"/>
      <c r="K57" s="126"/>
      <c r="L57" s="126"/>
      <c r="M57" s="133"/>
      <c r="N57" s="126"/>
      <c r="O57" s="126"/>
      <c r="P57" s="136"/>
    </row>
    <row r="58" spans="1:16" s="3" customFormat="1" ht="13.5" thickBot="1" x14ac:dyDescent="0.25">
      <c r="A58" s="11"/>
      <c r="B58" s="267"/>
      <c r="C58" s="262"/>
      <c r="D58" s="264"/>
      <c r="E58" s="264"/>
      <c r="F58" s="49" t="s">
        <v>76</v>
      </c>
      <c r="G58" s="123">
        <f>+ROUND(0.9*$E$49,2)</f>
        <v>0.23</v>
      </c>
      <c r="H58" s="123"/>
      <c r="I58" s="129">
        <v>0.13300000000000001</v>
      </c>
      <c r="J58" s="129"/>
      <c r="K58" s="127"/>
      <c r="L58" s="127"/>
      <c r="M58" s="134"/>
      <c r="N58" s="127"/>
      <c r="O58" s="127"/>
      <c r="P58" s="137"/>
    </row>
    <row r="59" spans="1:16" s="3" customFormat="1" ht="12.75" x14ac:dyDescent="0.2">
      <c r="A59" s="11"/>
      <c r="B59" s="107" t="s">
        <v>31</v>
      </c>
      <c r="C59" s="108"/>
      <c r="D59" s="108"/>
      <c r="E59" s="108"/>
      <c r="F59" s="108"/>
      <c r="G59" s="108"/>
      <c r="H59" s="108"/>
      <c r="I59" s="108"/>
      <c r="J59" s="108"/>
      <c r="K59" s="50">
        <f>ROUND(+M59/L59,3)</f>
        <v>0.17699999999999999</v>
      </c>
      <c r="L59" s="15">
        <f>SUM(L16:L58)</f>
        <v>0.36800000000000005</v>
      </c>
      <c r="M59" s="14">
        <f>SUM(M16:M58)</f>
        <v>6.5100000000000005E-2</v>
      </c>
      <c r="N59" s="12">
        <f>ROUND(SUM(N16:N58),0)</f>
        <v>100</v>
      </c>
      <c r="O59" s="111" t="s">
        <v>32</v>
      </c>
      <c r="P59" s="113"/>
    </row>
    <row r="60" spans="1:16" s="3" customFormat="1" ht="15" customHeight="1" thickBot="1" x14ac:dyDescent="0.25">
      <c r="A60" s="11"/>
      <c r="B60" s="109"/>
      <c r="C60" s="110"/>
      <c r="D60" s="110"/>
      <c r="E60" s="110"/>
      <c r="F60" s="110"/>
      <c r="G60" s="110"/>
      <c r="H60" s="110"/>
      <c r="I60" s="110"/>
      <c r="J60" s="110"/>
      <c r="K60" s="13" t="s">
        <v>33</v>
      </c>
      <c r="L60" s="13" t="s">
        <v>49</v>
      </c>
      <c r="M60" s="13" t="s">
        <v>50</v>
      </c>
      <c r="N60" s="13" t="s">
        <v>34</v>
      </c>
      <c r="O60" s="112"/>
      <c r="P60" s="114"/>
    </row>
    <row r="61" spans="1:16" ht="69.599999999999994" customHeight="1" thickBot="1" x14ac:dyDescent="0.3">
      <c r="A61" s="51"/>
      <c r="B61" s="115" t="s">
        <v>28</v>
      </c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7"/>
    </row>
    <row r="62" spans="1:16" ht="15" customHeight="1" thickBot="1" x14ac:dyDescent="0.3">
      <c r="A62" s="5"/>
      <c r="B62" s="118" t="s">
        <v>77</v>
      </c>
      <c r="C62" s="119"/>
      <c r="D62" s="119"/>
      <c r="E62" s="119"/>
      <c r="F62" s="119"/>
      <c r="G62" s="119" t="s">
        <v>78</v>
      </c>
      <c r="H62" s="119"/>
      <c r="I62" s="119"/>
      <c r="J62" s="119"/>
      <c r="K62" s="119"/>
      <c r="L62" s="119"/>
      <c r="M62" s="119" t="s">
        <v>79</v>
      </c>
      <c r="N62" s="119"/>
      <c r="O62" s="119"/>
      <c r="P62" s="120"/>
    </row>
    <row r="63" spans="1:16" ht="15" customHeight="1" thickBot="1" x14ac:dyDescent="0.3">
      <c r="A63" s="5"/>
      <c r="B63" s="82"/>
      <c r="C63" s="83"/>
      <c r="D63" s="83"/>
      <c r="E63" s="83"/>
      <c r="F63" s="83"/>
      <c r="G63" s="83"/>
      <c r="H63" s="83"/>
      <c r="I63" s="84"/>
      <c r="J63" s="88" t="s">
        <v>52</v>
      </c>
      <c r="K63" s="89"/>
      <c r="L63" s="89"/>
      <c r="M63" s="89"/>
      <c r="N63" s="89"/>
      <c r="O63" s="89"/>
      <c r="P63" s="90"/>
    </row>
    <row r="64" spans="1:16" ht="18.600000000000001" customHeight="1" thickBot="1" x14ac:dyDescent="0.3">
      <c r="A64" s="6"/>
      <c r="B64" s="82"/>
      <c r="C64" s="83"/>
      <c r="D64" s="83"/>
      <c r="E64" s="83"/>
      <c r="F64" s="83"/>
      <c r="G64" s="83"/>
      <c r="H64" s="83"/>
      <c r="I64" s="84"/>
      <c r="J64" s="52" t="s">
        <v>80</v>
      </c>
      <c r="K64" s="91" t="s">
        <v>53</v>
      </c>
      <c r="L64" s="91"/>
      <c r="M64" s="91"/>
      <c r="N64" s="91"/>
      <c r="O64" s="91"/>
      <c r="P64" s="92"/>
    </row>
    <row r="65" spans="1:16" ht="97.15" customHeight="1" thickBot="1" x14ac:dyDescent="0.3">
      <c r="A65" s="10"/>
      <c r="B65" s="82"/>
      <c r="C65" s="83"/>
      <c r="D65" s="83"/>
      <c r="E65" s="83"/>
      <c r="F65" s="83"/>
      <c r="G65" s="83"/>
      <c r="H65" s="83"/>
      <c r="I65" s="84"/>
      <c r="J65" s="93" t="s">
        <v>93</v>
      </c>
      <c r="K65" s="94"/>
      <c r="L65" s="94"/>
      <c r="M65" s="94"/>
      <c r="N65" s="94"/>
      <c r="O65" s="94"/>
      <c r="P65" s="95"/>
    </row>
    <row r="66" spans="1:16" ht="15" customHeight="1" thickBot="1" x14ac:dyDescent="0.3">
      <c r="A66" s="5"/>
      <c r="B66" s="82"/>
      <c r="C66" s="83"/>
      <c r="D66" s="83"/>
      <c r="E66" s="83"/>
      <c r="F66" s="83"/>
      <c r="G66" s="83"/>
      <c r="H66" s="83"/>
      <c r="I66" s="84"/>
      <c r="J66" s="96" t="s">
        <v>35</v>
      </c>
      <c r="K66" s="97"/>
      <c r="L66" s="97"/>
      <c r="M66" s="97"/>
      <c r="N66" s="98"/>
      <c r="O66" s="99">
        <v>4.09</v>
      </c>
      <c r="P66" s="100"/>
    </row>
    <row r="67" spans="1:16" ht="15.75" thickBot="1" x14ac:dyDescent="0.3">
      <c r="A67" s="5"/>
      <c r="B67" s="82"/>
      <c r="C67" s="83"/>
      <c r="D67" s="83"/>
      <c r="E67" s="83"/>
      <c r="F67" s="83"/>
      <c r="G67" s="83"/>
      <c r="H67" s="83"/>
      <c r="I67" s="84"/>
      <c r="J67" s="101" t="s">
        <v>51</v>
      </c>
      <c r="K67" s="102"/>
      <c r="L67" s="102"/>
      <c r="M67" s="102"/>
      <c r="N67" s="103"/>
      <c r="O67" s="99">
        <v>0.26600000000000001</v>
      </c>
      <c r="P67" s="100"/>
    </row>
    <row r="68" spans="1:16" ht="14.45" customHeight="1" thickBot="1" x14ac:dyDescent="0.3">
      <c r="A68" s="5"/>
      <c r="B68" s="85"/>
      <c r="C68" s="86"/>
      <c r="D68" s="86"/>
      <c r="E68" s="86"/>
      <c r="F68" s="86"/>
      <c r="G68" s="86"/>
      <c r="H68" s="86"/>
      <c r="I68" s="87"/>
      <c r="J68" s="104" t="s">
        <v>83</v>
      </c>
      <c r="K68" s="105"/>
      <c r="L68" s="105"/>
      <c r="M68" s="105"/>
      <c r="N68" s="105"/>
      <c r="O68" s="105"/>
      <c r="P68" s="106"/>
    </row>
    <row r="69" spans="1:16" ht="14.45" customHeight="1" thickBot="1" x14ac:dyDescent="0.3">
      <c r="A69" s="7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4"/>
    </row>
    <row r="70" spans="1:16" ht="15.75" thickBot="1" x14ac:dyDescent="0.3">
      <c r="A70" s="75" t="s">
        <v>36</v>
      </c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7"/>
    </row>
    <row r="71" spans="1:16" ht="141.6" customHeight="1" thickBot="1" x14ac:dyDescent="0.3">
      <c r="A71" s="4"/>
      <c r="B71" s="78"/>
      <c r="C71" s="79"/>
      <c r="D71" s="79"/>
      <c r="E71" s="79"/>
      <c r="F71" s="80"/>
      <c r="G71" s="78"/>
      <c r="H71" s="79"/>
      <c r="I71" s="79"/>
      <c r="J71" s="79"/>
      <c r="K71" s="79"/>
      <c r="L71" s="79"/>
      <c r="M71" s="79"/>
      <c r="N71" s="79"/>
      <c r="O71" s="79"/>
      <c r="P71" s="80"/>
    </row>
    <row r="72" spans="1:16" s="9" customFormat="1" ht="13.9" customHeight="1" thickBot="1" x14ac:dyDescent="0.3">
      <c r="A72" s="8" t="s">
        <v>84</v>
      </c>
      <c r="B72" s="81" t="s">
        <v>94</v>
      </c>
      <c r="C72" s="68"/>
      <c r="D72" s="68"/>
      <c r="E72" s="68"/>
      <c r="F72" s="69"/>
      <c r="G72" s="81" t="s">
        <v>85</v>
      </c>
      <c r="H72" s="68"/>
      <c r="I72" s="68"/>
      <c r="J72" s="68"/>
      <c r="K72" s="68"/>
      <c r="L72" s="68"/>
      <c r="M72" s="68"/>
      <c r="N72" s="68"/>
      <c r="O72" s="68"/>
      <c r="P72" s="69"/>
    </row>
    <row r="73" spans="1:16" ht="14.45" customHeight="1" x14ac:dyDescent="0.25">
      <c r="A73" s="7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</row>
    <row r="74" spans="1:16" ht="14.45" customHeight="1" thickBot="1" x14ac:dyDescent="0.3">
      <c r="A74" s="7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</row>
    <row r="75" spans="1:16" s="3" customFormat="1" ht="15.75" customHeight="1" thickBot="1" x14ac:dyDescent="0.25">
      <c r="A75" s="70" t="s">
        <v>37</v>
      </c>
      <c r="B75" s="71"/>
      <c r="C75" s="71"/>
      <c r="D75" s="71" t="s">
        <v>87</v>
      </c>
      <c r="E75" s="71"/>
      <c r="F75" s="71"/>
      <c r="G75" s="71"/>
      <c r="H75" s="71"/>
      <c r="I75" s="71"/>
      <c r="J75" s="71" t="s">
        <v>38</v>
      </c>
      <c r="K75" s="71"/>
      <c r="L75" s="71"/>
      <c r="M75" s="71"/>
      <c r="N75" s="71"/>
      <c r="O75" s="71"/>
      <c r="P75" s="72"/>
    </row>
  </sheetData>
  <mergeCells count="283">
    <mergeCell ref="O2:P3"/>
    <mergeCell ref="B4:P4"/>
    <mergeCell ref="C5:D5"/>
    <mergeCell ref="E5:F5"/>
    <mergeCell ref="H5:I5"/>
    <mergeCell ref="J5:P5"/>
    <mergeCell ref="B2:D3"/>
    <mergeCell ref="E2:N3"/>
    <mergeCell ref="B6:C6"/>
    <mergeCell ref="D6:J6"/>
    <mergeCell ref="K6:L6"/>
    <mergeCell ref="M6:N6"/>
    <mergeCell ref="O6:P6"/>
    <mergeCell ref="B7:E7"/>
    <mergeCell ref="F7:H7"/>
    <mergeCell ref="J7:K7"/>
    <mergeCell ref="M7:O7"/>
    <mergeCell ref="B8:E8"/>
    <mergeCell ref="J8:K8"/>
    <mergeCell ref="M8:O8"/>
    <mergeCell ref="B9:C10"/>
    <mergeCell ref="D9:D10"/>
    <mergeCell ref="E9:G9"/>
    <mergeCell ref="I9:J10"/>
    <mergeCell ref="K9:K10"/>
    <mergeCell ref="L9:N9"/>
    <mergeCell ref="O9:P9"/>
    <mergeCell ref="E10:G10"/>
    <mergeCell ref="L10:N10"/>
    <mergeCell ref="O10:P10"/>
    <mergeCell ref="B11:B13"/>
    <mergeCell ref="C11:E11"/>
    <mergeCell ref="G11:K11"/>
    <mergeCell ref="L11:L13"/>
    <mergeCell ref="M11:P11"/>
    <mergeCell ref="C12:E12"/>
    <mergeCell ref="G12:K13"/>
    <mergeCell ref="M12:P12"/>
    <mergeCell ref="C13:F13"/>
    <mergeCell ref="M13:P13"/>
    <mergeCell ref="B14:B15"/>
    <mergeCell ref="C14:C15"/>
    <mergeCell ref="D14:D15"/>
    <mergeCell ref="E14:E15"/>
    <mergeCell ref="F14:H15"/>
    <mergeCell ref="I14:J14"/>
    <mergeCell ref="I15:J15"/>
    <mergeCell ref="K16:K18"/>
    <mergeCell ref="L16:L18"/>
    <mergeCell ref="M16:M18"/>
    <mergeCell ref="N16:N18"/>
    <mergeCell ref="O16:O18"/>
    <mergeCell ref="P16:P18"/>
    <mergeCell ref="B16:B18"/>
    <mergeCell ref="C16:C17"/>
    <mergeCell ref="D16:D17"/>
    <mergeCell ref="E16:E18"/>
    <mergeCell ref="G16:H16"/>
    <mergeCell ref="I16:J16"/>
    <mergeCell ref="G17:H17"/>
    <mergeCell ref="I17:J17"/>
    <mergeCell ref="G18:H18"/>
    <mergeCell ref="I18:J18"/>
    <mergeCell ref="K19:K21"/>
    <mergeCell ref="L19:L21"/>
    <mergeCell ref="M19:M21"/>
    <mergeCell ref="N19:N21"/>
    <mergeCell ref="O19:O21"/>
    <mergeCell ref="P19:P21"/>
    <mergeCell ref="B19:B21"/>
    <mergeCell ref="C19:C20"/>
    <mergeCell ref="D19:D20"/>
    <mergeCell ref="E19:E21"/>
    <mergeCell ref="G19:H19"/>
    <mergeCell ref="I19:J19"/>
    <mergeCell ref="G20:H20"/>
    <mergeCell ref="I20:J20"/>
    <mergeCell ref="G21:H21"/>
    <mergeCell ref="I21:J21"/>
    <mergeCell ref="K22:K24"/>
    <mergeCell ref="L22:L24"/>
    <mergeCell ref="M22:M24"/>
    <mergeCell ref="N22:N24"/>
    <mergeCell ref="O22:O24"/>
    <mergeCell ref="P22:P24"/>
    <mergeCell ref="B22:B24"/>
    <mergeCell ref="C22:C23"/>
    <mergeCell ref="D22:D23"/>
    <mergeCell ref="E22:E24"/>
    <mergeCell ref="G22:H22"/>
    <mergeCell ref="I22:J22"/>
    <mergeCell ref="G23:H23"/>
    <mergeCell ref="I23:J23"/>
    <mergeCell ref="G24:H24"/>
    <mergeCell ref="I24:J24"/>
    <mergeCell ref="K25:K27"/>
    <mergeCell ref="L25:L27"/>
    <mergeCell ref="M25:M27"/>
    <mergeCell ref="N25:N27"/>
    <mergeCell ref="O25:O27"/>
    <mergeCell ref="P25:P27"/>
    <mergeCell ref="B25:B27"/>
    <mergeCell ref="C25:C26"/>
    <mergeCell ref="D25:D26"/>
    <mergeCell ref="E25:E27"/>
    <mergeCell ref="G25:H25"/>
    <mergeCell ref="I25:J25"/>
    <mergeCell ref="G26:H26"/>
    <mergeCell ref="I26:J26"/>
    <mergeCell ref="G27:H27"/>
    <mergeCell ref="I27:J27"/>
    <mergeCell ref="K28:K30"/>
    <mergeCell ref="L28:L30"/>
    <mergeCell ref="M28:M30"/>
    <mergeCell ref="N28:N30"/>
    <mergeCell ref="O28:O30"/>
    <mergeCell ref="P28:P30"/>
    <mergeCell ref="B28:B30"/>
    <mergeCell ref="C28:C29"/>
    <mergeCell ref="D28:D29"/>
    <mergeCell ref="E28:E30"/>
    <mergeCell ref="G28:H28"/>
    <mergeCell ref="I28:J28"/>
    <mergeCell ref="G29:H29"/>
    <mergeCell ref="I29:J29"/>
    <mergeCell ref="G30:H30"/>
    <mergeCell ref="I30:J30"/>
    <mergeCell ref="K31:K33"/>
    <mergeCell ref="L31:L33"/>
    <mergeCell ref="M31:M33"/>
    <mergeCell ref="N31:N33"/>
    <mergeCell ref="O31:O33"/>
    <mergeCell ref="P31:P33"/>
    <mergeCell ref="B31:B33"/>
    <mergeCell ref="C31:C32"/>
    <mergeCell ref="D31:D32"/>
    <mergeCell ref="E31:E33"/>
    <mergeCell ref="G31:H31"/>
    <mergeCell ref="I31:J31"/>
    <mergeCell ref="G32:H32"/>
    <mergeCell ref="I32:J32"/>
    <mergeCell ref="G33:H33"/>
    <mergeCell ref="I33:J33"/>
    <mergeCell ref="K34:K36"/>
    <mergeCell ref="L34:L36"/>
    <mergeCell ref="M34:M36"/>
    <mergeCell ref="N34:N36"/>
    <mergeCell ref="O34:O36"/>
    <mergeCell ref="P34:P36"/>
    <mergeCell ref="B34:B36"/>
    <mergeCell ref="C34:C35"/>
    <mergeCell ref="D34:D35"/>
    <mergeCell ref="E34:E36"/>
    <mergeCell ref="G34:H34"/>
    <mergeCell ref="I34:J34"/>
    <mergeCell ref="G35:H35"/>
    <mergeCell ref="I35:J35"/>
    <mergeCell ref="G36:H36"/>
    <mergeCell ref="I36:J36"/>
    <mergeCell ref="K37:K39"/>
    <mergeCell ref="L37:L39"/>
    <mergeCell ref="M37:M39"/>
    <mergeCell ref="N37:N39"/>
    <mergeCell ref="O37:O39"/>
    <mergeCell ref="P37:P39"/>
    <mergeCell ref="B37:B39"/>
    <mergeCell ref="C37:C38"/>
    <mergeCell ref="D37:D38"/>
    <mergeCell ref="E37:E39"/>
    <mergeCell ref="G37:H37"/>
    <mergeCell ref="I37:J37"/>
    <mergeCell ref="G38:H38"/>
    <mergeCell ref="I38:J38"/>
    <mergeCell ref="G39:H39"/>
    <mergeCell ref="I39:J39"/>
    <mergeCell ref="K40:K42"/>
    <mergeCell ref="L40:L42"/>
    <mergeCell ref="M40:M42"/>
    <mergeCell ref="N40:N42"/>
    <mergeCell ref="O40:O42"/>
    <mergeCell ref="P40:P42"/>
    <mergeCell ref="B40:B42"/>
    <mergeCell ref="C40:C41"/>
    <mergeCell ref="D40:D41"/>
    <mergeCell ref="E40:E42"/>
    <mergeCell ref="G40:H40"/>
    <mergeCell ref="I40:J40"/>
    <mergeCell ref="G41:H41"/>
    <mergeCell ref="I41:J41"/>
    <mergeCell ref="G42:H42"/>
    <mergeCell ref="I42:J42"/>
    <mergeCell ref="K43:K45"/>
    <mergeCell ref="L43:L45"/>
    <mergeCell ref="M43:M45"/>
    <mergeCell ref="N43:N45"/>
    <mergeCell ref="O43:O45"/>
    <mergeCell ref="P43:P45"/>
    <mergeCell ref="B43:B45"/>
    <mergeCell ref="C43:C44"/>
    <mergeCell ref="D43:D44"/>
    <mergeCell ref="E43:E45"/>
    <mergeCell ref="G43:H43"/>
    <mergeCell ref="I43:J43"/>
    <mergeCell ref="G44:H44"/>
    <mergeCell ref="I44:J44"/>
    <mergeCell ref="G45:H45"/>
    <mergeCell ref="I45:J45"/>
    <mergeCell ref="K46:K48"/>
    <mergeCell ref="L46:L48"/>
    <mergeCell ref="M46:M48"/>
    <mergeCell ref="N46:N48"/>
    <mergeCell ref="O46:O48"/>
    <mergeCell ref="P46:P48"/>
    <mergeCell ref="B46:B48"/>
    <mergeCell ref="C46:C47"/>
    <mergeCell ref="D46:D47"/>
    <mergeCell ref="E46:E48"/>
    <mergeCell ref="G46:H46"/>
    <mergeCell ref="I46:J46"/>
    <mergeCell ref="G47:H47"/>
    <mergeCell ref="I47:J47"/>
    <mergeCell ref="G48:H48"/>
    <mergeCell ref="I48:J48"/>
    <mergeCell ref="G52:H52"/>
    <mergeCell ref="I52:J52"/>
    <mergeCell ref="G53:H53"/>
    <mergeCell ref="I53:J53"/>
    <mergeCell ref="C54:C58"/>
    <mergeCell ref="D54:D58"/>
    <mergeCell ref="G54:H54"/>
    <mergeCell ref="I54:J54"/>
    <mergeCell ref="G55:H55"/>
    <mergeCell ref="I55:J55"/>
    <mergeCell ref="C49:C53"/>
    <mergeCell ref="D49:D53"/>
    <mergeCell ref="E49:E58"/>
    <mergeCell ref="G49:H49"/>
    <mergeCell ref="I49:J49"/>
    <mergeCell ref="G50:H50"/>
    <mergeCell ref="I50:J50"/>
    <mergeCell ref="G51:H51"/>
    <mergeCell ref="I51:J51"/>
    <mergeCell ref="B59:J60"/>
    <mergeCell ref="O59:O60"/>
    <mergeCell ref="P59:P60"/>
    <mergeCell ref="B61:P61"/>
    <mergeCell ref="B62:F62"/>
    <mergeCell ref="G62:L62"/>
    <mergeCell ref="M62:P62"/>
    <mergeCell ref="G56:H56"/>
    <mergeCell ref="I56:J56"/>
    <mergeCell ref="G57:H57"/>
    <mergeCell ref="I57:J57"/>
    <mergeCell ref="G58:H58"/>
    <mergeCell ref="I58:J58"/>
    <mergeCell ref="K49:K58"/>
    <mergeCell ref="L49:L58"/>
    <mergeCell ref="M49:M58"/>
    <mergeCell ref="N49:N58"/>
    <mergeCell ref="O49:O58"/>
    <mergeCell ref="P49:P58"/>
    <mergeCell ref="B49:B58"/>
    <mergeCell ref="B63:I68"/>
    <mergeCell ref="J63:P63"/>
    <mergeCell ref="K64:P64"/>
    <mergeCell ref="J65:P65"/>
    <mergeCell ref="J66:N66"/>
    <mergeCell ref="O66:P66"/>
    <mergeCell ref="J67:N67"/>
    <mergeCell ref="O67:P67"/>
    <mergeCell ref="J68:P68"/>
    <mergeCell ref="B73:P73"/>
    <mergeCell ref="B74:P74"/>
    <mergeCell ref="A75:C75"/>
    <mergeCell ref="D75:I75"/>
    <mergeCell ref="J75:K75"/>
    <mergeCell ref="L75:P75"/>
    <mergeCell ref="B69:P69"/>
    <mergeCell ref="A70:P70"/>
    <mergeCell ref="B71:F71"/>
    <mergeCell ref="G71:P71"/>
    <mergeCell ref="B72:F72"/>
    <mergeCell ref="G72:P72"/>
  </mergeCells>
  <printOptions horizontalCentered="1"/>
  <pageMargins left="0.35433070866141736" right="0.23622047244094491" top="0.74803149606299213" bottom="0.74803149606299213" header="0.19685039370078741" footer="0.31496062992125984"/>
  <pageSetup paperSize="5" scale="70" orientation="portrait" r:id="rId1"/>
  <headerFooter>
    <oddHeader>&amp;C&amp;"-,Negrita Cursiva"&amp;12Protocolo integrado de aforo en ríos de montaña 
Universidad Nacional de Colombia-Sede Manizales</oddHeader>
  </headerFooter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Planta y sección típica</vt:lpstr>
      <vt:lpstr>Aforo 1</vt:lpstr>
      <vt:lpstr>Aforo 2</vt:lpstr>
      <vt:lpstr>Aforo 3</vt:lpstr>
      <vt:lpstr>Aforo 4</vt:lpstr>
      <vt:lpstr>'Aforo 1'!Área_de_impresión</vt:lpstr>
      <vt:lpstr>'Aforo 2'!Área_de_impresión</vt:lpstr>
      <vt:lpstr>'Aforo 3'!Área_de_impresión</vt:lpstr>
      <vt:lpstr>'Aforo 4'!Área_de_impresión</vt:lpstr>
      <vt:lpstr>'Aforo 1'!Títulos_a_imprimir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ALZATE</dc:creator>
  <cp:lastModifiedBy>MATEO ALZATE</cp:lastModifiedBy>
  <dcterms:created xsi:type="dcterms:W3CDTF">2019-04-11T19:24:47Z</dcterms:created>
  <dcterms:modified xsi:type="dcterms:W3CDTF">2019-05-16T20:48:30Z</dcterms:modified>
</cp:coreProperties>
</file>