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firstSheet="1" activeTab="1"/>
  </bookViews>
  <sheets>
    <sheet name="Planta y sección típica" sheetId="1" r:id="rId1"/>
    <sheet name="Aforo 1" sheetId="68" r:id="rId2"/>
    <sheet name="Aforo 2" sheetId="69" r:id="rId3"/>
    <sheet name="Aforo 3" sheetId="70" r:id="rId4"/>
    <sheet name="Aforo 4" sheetId="71" r:id="rId5"/>
  </sheets>
  <definedNames>
    <definedName name="_xlnm.Print_Area" localSheetId="1">'Aforo 1'!$B$1:$P$118</definedName>
    <definedName name="_xlnm.Print_Area" localSheetId="2">'Aforo 2'!$B$1:$P$103</definedName>
    <definedName name="_xlnm.Print_Area" localSheetId="3">'Aforo 3'!$A$1:$P$113</definedName>
    <definedName name="_xlnm.Print_Area" localSheetId="4">'Aforo 4'!$B$1:$P$128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7" i="71" l="1"/>
  <c r="O116" i="71"/>
  <c r="G111" i="71"/>
  <c r="G110" i="71"/>
  <c r="G109" i="71"/>
  <c r="G107" i="71"/>
  <c r="D107" i="71"/>
  <c r="G105" i="71"/>
  <c r="G104" i="71"/>
  <c r="G103" i="71"/>
  <c r="K102" i="71"/>
  <c r="E102" i="71"/>
  <c r="G112" i="71" s="1"/>
  <c r="D102" i="71"/>
  <c r="B102" i="71"/>
  <c r="G93" i="71"/>
  <c r="G92" i="71"/>
  <c r="G91" i="71"/>
  <c r="G90" i="71"/>
  <c r="K89" i="71"/>
  <c r="G88" i="71"/>
  <c r="G87" i="71"/>
  <c r="G86" i="71"/>
  <c r="G85" i="71"/>
  <c r="K84" i="71"/>
  <c r="G83" i="71"/>
  <c r="G82" i="71"/>
  <c r="G81" i="71"/>
  <c r="G80" i="71"/>
  <c r="K79" i="71"/>
  <c r="G78" i="71"/>
  <c r="G77" i="71"/>
  <c r="G76" i="71"/>
  <c r="G75" i="71"/>
  <c r="K74" i="71"/>
  <c r="G73" i="71"/>
  <c r="G72" i="71"/>
  <c r="G71" i="71"/>
  <c r="G70" i="71"/>
  <c r="K69" i="71"/>
  <c r="B69" i="71"/>
  <c r="B74" i="71" s="1"/>
  <c r="B79" i="71" s="1"/>
  <c r="B84" i="71" s="1"/>
  <c r="B89" i="71" s="1"/>
  <c r="G68" i="71"/>
  <c r="G67" i="71"/>
  <c r="G66" i="71"/>
  <c r="G65" i="71"/>
  <c r="K64" i="71"/>
  <c r="G63" i="71"/>
  <c r="G62" i="71"/>
  <c r="G61" i="71"/>
  <c r="G60" i="71"/>
  <c r="K59" i="71"/>
  <c r="G58" i="71"/>
  <c r="G57" i="71"/>
  <c r="G56" i="71"/>
  <c r="G55" i="71"/>
  <c r="K54" i="71"/>
  <c r="G53" i="71"/>
  <c r="G52" i="71"/>
  <c r="G51" i="71"/>
  <c r="G50" i="71"/>
  <c r="G48" i="71"/>
  <c r="G47" i="71"/>
  <c r="G46" i="71"/>
  <c r="G45" i="71"/>
  <c r="K44" i="71"/>
  <c r="G43" i="71"/>
  <c r="G42" i="71"/>
  <c r="G41" i="71"/>
  <c r="G40" i="71"/>
  <c r="K39" i="71"/>
  <c r="G38" i="71"/>
  <c r="G37" i="71"/>
  <c r="G36" i="71"/>
  <c r="G35" i="71"/>
  <c r="K34" i="71"/>
  <c r="G33" i="71"/>
  <c r="G32" i="71"/>
  <c r="G31" i="71"/>
  <c r="G30" i="71"/>
  <c r="K29" i="71"/>
  <c r="G28" i="71"/>
  <c r="G27" i="71"/>
  <c r="G26" i="71"/>
  <c r="G25" i="71"/>
  <c r="K24" i="71"/>
  <c r="G23" i="71"/>
  <c r="G22" i="71"/>
  <c r="G21" i="71"/>
  <c r="G20" i="71"/>
  <c r="L19" i="71"/>
  <c r="K19" i="71"/>
  <c r="M19" i="71" s="1"/>
  <c r="C19" i="71"/>
  <c r="C24" i="71" s="1"/>
  <c r="C18" i="71"/>
  <c r="C29" i="71" l="1"/>
  <c r="L24" i="71"/>
  <c r="M24" i="71" s="1"/>
  <c r="G106" i="71"/>
  <c r="G108" i="71"/>
  <c r="L29" i="71" l="1"/>
  <c r="C34" i="71"/>
  <c r="L34" i="71" l="1"/>
  <c r="M34" i="71" s="1"/>
  <c r="C39" i="71"/>
  <c r="M29" i="71"/>
  <c r="C44" i="71" l="1"/>
  <c r="L39" i="71"/>
  <c r="C102" i="71" l="1"/>
  <c r="L44" i="71"/>
  <c r="M44" i="71" s="1"/>
  <c r="C49" i="71"/>
  <c r="M39" i="71"/>
  <c r="C107" i="71" l="1"/>
  <c r="L102" i="71" s="1"/>
  <c r="M102" i="71" s="1"/>
  <c r="C54" i="71"/>
  <c r="L54" i="71" l="1"/>
  <c r="M54" i="71" s="1"/>
  <c r="C59" i="71"/>
  <c r="C64" i="71" l="1"/>
  <c r="L59" i="71"/>
  <c r="M59" i="71" s="1"/>
  <c r="C69" i="71" l="1"/>
  <c r="L64" i="71"/>
  <c r="M64" i="71" s="1"/>
  <c r="C74" i="71" l="1"/>
  <c r="L69" i="71"/>
  <c r="M69" i="71" s="1"/>
  <c r="C79" i="71" l="1"/>
  <c r="L74" i="71"/>
  <c r="M74" i="71" s="1"/>
  <c r="C84" i="71" l="1"/>
  <c r="L79" i="71"/>
  <c r="M79" i="71" s="1"/>
  <c r="C89" i="71" l="1"/>
  <c r="L89" i="71" s="1"/>
  <c r="L84" i="71"/>
  <c r="M84" i="71" s="1"/>
  <c r="M89" i="71" l="1"/>
  <c r="L113" i="71"/>
  <c r="M113" i="71" l="1"/>
  <c r="K113" i="71" l="1"/>
  <c r="N19" i="71"/>
  <c r="N24" i="71"/>
  <c r="N29" i="71"/>
  <c r="N34" i="71"/>
  <c r="N44" i="71"/>
  <c r="N39" i="71"/>
  <c r="N102" i="71"/>
  <c r="N54" i="71"/>
  <c r="N59" i="71"/>
  <c r="N64" i="71"/>
  <c r="N69" i="71"/>
  <c r="N74" i="71"/>
  <c r="N79" i="71"/>
  <c r="N84" i="71"/>
  <c r="N89" i="71"/>
  <c r="N113" i="71" l="1"/>
  <c r="O102" i="70" l="1"/>
  <c r="O101" i="70"/>
  <c r="G96" i="70"/>
  <c r="G92" i="70"/>
  <c r="D92" i="70"/>
  <c r="G90" i="70"/>
  <c r="K87" i="70"/>
  <c r="E87" i="70"/>
  <c r="G95" i="70" s="1"/>
  <c r="D87" i="70"/>
  <c r="B87" i="70"/>
  <c r="G78" i="70"/>
  <c r="G77" i="70"/>
  <c r="G76" i="70"/>
  <c r="G75" i="70"/>
  <c r="K74" i="70"/>
  <c r="G73" i="70"/>
  <c r="G72" i="70"/>
  <c r="G71" i="70"/>
  <c r="G70" i="70"/>
  <c r="K69" i="70"/>
  <c r="G68" i="70"/>
  <c r="G67" i="70"/>
  <c r="G66" i="70"/>
  <c r="G65" i="70"/>
  <c r="K64" i="70"/>
  <c r="G63" i="70"/>
  <c r="G62" i="70"/>
  <c r="G61" i="70"/>
  <c r="G60" i="70"/>
  <c r="K59" i="70"/>
  <c r="G58" i="70"/>
  <c r="G57" i="70"/>
  <c r="G56" i="70"/>
  <c r="G55" i="70"/>
  <c r="K54" i="70"/>
  <c r="G53" i="70"/>
  <c r="G52" i="70"/>
  <c r="G51" i="70"/>
  <c r="G50" i="70"/>
  <c r="K49" i="70"/>
  <c r="G48" i="70"/>
  <c r="G47" i="70"/>
  <c r="G46" i="70"/>
  <c r="G45" i="70"/>
  <c r="K44" i="70"/>
  <c r="G43" i="70"/>
  <c r="G42" i="70"/>
  <c r="G41" i="70"/>
  <c r="G40" i="70"/>
  <c r="K39" i="70"/>
  <c r="G38" i="70"/>
  <c r="G37" i="70"/>
  <c r="G36" i="70"/>
  <c r="G35" i="70"/>
  <c r="K34" i="70"/>
  <c r="G33" i="70"/>
  <c r="G32" i="70"/>
  <c r="G31" i="70"/>
  <c r="G30" i="70"/>
  <c r="K29" i="70"/>
  <c r="G28" i="70"/>
  <c r="G27" i="70"/>
  <c r="G26" i="70"/>
  <c r="G25" i="70"/>
  <c r="G23" i="70"/>
  <c r="G22" i="70"/>
  <c r="G21" i="70"/>
  <c r="G20" i="70"/>
  <c r="L19" i="70"/>
  <c r="K19" i="70"/>
  <c r="M19" i="70" s="1"/>
  <c r="C19" i="70"/>
  <c r="C87" i="70" s="1"/>
  <c r="G91" i="70" l="1"/>
  <c r="G93" i="70"/>
  <c r="G97" i="70"/>
  <c r="G88" i="70"/>
  <c r="G94" i="70"/>
  <c r="C24" i="70"/>
  <c r="G89" i="70"/>
  <c r="C92" i="70" l="1"/>
  <c r="L87" i="70" s="1"/>
  <c r="M87" i="70" s="1"/>
  <c r="C29" i="70"/>
  <c r="L29" i="70" l="1"/>
  <c r="C34" i="70"/>
  <c r="L34" i="70" l="1"/>
  <c r="M34" i="70" s="1"/>
  <c r="C39" i="70"/>
  <c r="M29" i="70"/>
  <c r="C44" i="70" l="1"/>
  <c r="L39" i="70"/>
  <c r="M39" i="70" l="1"/>
  <c r="C49" i="70"/>
  <c r="L44" i="70"/>
  <c r="M44" i="70" s="1"/>
  <c r="L49" i="70" l="1"/>
  <c r="M49" i="70" s="1"/>
  <c r="C54" i="70"/>
  <c r="L54" i="70" l="1"/>
  <c r="M54" i="70" s="1"/>
  <c r="C59" i="70"/>
  <c r="C64" i="70" l="1"/>
  <c r="L59" i="70"/>
  <c r="M59" i="70" s="1"/>
  <c r="L64" i="70" l="1"/>
  <c r="M64" i="70" s="1"/>
  <c r="C69" i="70"/>
  <c r="L69" i="70" l="1"/>
  <c r="M69" i="70" s="1"/>
  <c r="C74" i="70"/>
  <c r="L74" i="70" s="1"/>
  <c r="M74" i="70" l="1"/>
  <c r="L98" i="70"/>
  <c r="M98" i="70" l="1"/>
  <c r="K98" i="70" l="1"/>
  <c r="N19" i="70"/>
  <c r="N87" i="70"/>
  <c r="N34" i="70"/>
  <c r="N29" i="70"/>
  <c r="N39" i="70"/>
  <c r="N44" i="70"/>
  <c r="N49" i="70"/>
  <c r="N54" i="70"/>
  <c r="N59" i="70"/>
  <c r="N64" i="70"/>
  <c r="N69" i="70"/>
  <c r="N74" i="70"/>
  <c r="N98" i="70" l="1"/>
  <c r="O92" i="69" l="1"/>
  <c r="O91" i="69"/>
  <c r="G86" i="69"/>
  <c r="G84" i="69"/>
  <c r="G82" i="69"/>
  <c r="D82" i="69"/>
  <c r="G80" i="69"/>
  <c r="G78" i="69"/>
  <c r="K77" i="69"/>
  <c r="E77" i="69"/>
  <c r="G85" i="69" s="1"/>
  <c r="D77" i="69"/>
  <c r="G68" i="69"/>
  <c r="G67" i="69"/>
  <c r="G66" i="69"/>
  <c r="G65" i="69"/>
  <c r="K64" i="69"/>
  <c r="G63" i="69"/>
  <c r="G62" i="69"/>
  <c r="G61" i="69"/>
  <c r="G60" i="69"/>
  <c r="K59" i="69"/>
  <c r="G58" i="69"/>
  <c r="G57" i="69"/>
  <c r="G56" i="69"/>
  <c r="G55" i="69"/>
  <c r="K54" i="69"/>
  <c r="G53" i="69"/>
  <c r="G52" i="69"/>
  <c r="G51" i="69"/>
  <c r="G50" i="69"/>
  <c r="K49" i="69"/>
  <c r="G48" i="69"/>
  <c r="G47" i="69"/>
  <c r="G46" i="69"/>
  <c r="G45" i="69"/>
  <c r="K44" i="69"/>
  <c r="G43" i="69"/>
  <c r="G42" i="69"/>
  <c r="G41" i="69"/>
  <c r="G40" i="69"/>
  <c r="K39" i="69"/>
  <c r="G38" i="69"/>
  <c r="G37" i="69"/>
  <c r="G36" i="69"/>
  <c r="G35" i="69"/>
  <c r="K34" i="69"/>
  <c r="G33" i="69"/>
  <c r="G32" i="69"/>
  <c r="G31" i="69"/>
  <c r="G30" i="69"/>
  <c r="K29" i="69"/>
  <c r="G28" i="69"/>
  <c r="G27" i="69"/>
  <c r="G26" i="69"/>
  <c r="G25" i="69"/>
  <c r="G23" i="69"/>
  <c r="G22" i="69"/>
  <c r="G21" i="69"/>
  <c r="G20" i="69"/>
  <c r="K19" i="69"/>
  <c r="C18" i="69"/>
  <c r="C19" i="69" s="1"/>
  <c r="C77" i="69" l="1"/>
  <c r="L19" i="69"/>
  <c r="C24" i="69"/>
  <c r="G81" i="69"/>
  <c r="G83" i="69"/>
  <c r="G87" i="69"/>
  <c r="G79" i="69"/>
  <c r="C29" i="69" l="1"/>
  <c r="C82" i="69"/>
  <c r="L77" i="69" s="1"/>
  <c r="M77" i="69" s="1"/>
  <c r="M19" i="69"/>
  <c r="L29" i="69" l="1"/>
  <c r="C34" i="69"/>
  <c r="M29" i="69" l="1"/>
  <c r="C39" i="69"/>
  <c r="L34" i="69"/>
  <c r="M34" i="69" s="1"/>
  <c r="L39" i="69" l="1"/>
  <c r="M39" i="69" s="1"/>
  <c r="C44" i="69"/>
  <c r="C49" i="69" l="1"/>
  <c r="L44" i="69"/>
  <c r="L49" i="69" l="1"/>
  <c r="M49" i="69" s="1"/>
  <c r="C54" i="69"/>
  <c r="M44" i="69"/>
  <c r="L54" i="69" l="1"/>
  <c r="M54" i="69" s="1"/>
  <c r="C59" i="69"/>
  <c r="L59" i="69" l="1"/>
  <c r="M59" i="69" s="1"/>
  <c r="C64" i="69"/>
  <c r="L64" i="69" s="1"/>
  <c r="M64" i="69" l="1"/>
  <c r="L88" i="69"/>
  <c r="M88" i="69" l="1"/>
  <c r="K88" i="69" l="1"/>
  <c r="N77" i="69"/>
  <c r="N19" i="69"/>
  <c r="N88" i="69" s="1"/>
  <c r="N34" i="69"/>
  <c r="N29" i="69"/>
  <c r="N39" i="69"/>
  <c r="N44" i="69"/>
  <c r="N49" i="69"/>
  <c r="N54" i="69"/>
  <c r="N59" i="69"/>
  <c r="N64" i="69"/>
  <c r="O107" i="68" l="1"/>
  <c r="O106" i="68"/>
  <c r="G101" i="68"/>
  <c r="G97" i="68"/>
  <c r="D97" i="68"/>
  <c r="G95" i="68"/>
  <c r="G94" i="68"/>
  <c r="G93" i="68"/>
  <c r="K92" i="68"/>
  <c r="E92" i="68"/>
  <c r="G100" i="68" s="1"/>
  <c r="D92" i="68"/>
  <c r="B92" i="68"/>
  <c r="G83" i="68"/>
  <c r="G82" i="68"/>
  <c r="G81" i="68"/>
  <c r="G80" i="68"/>
  <c r="K79" i="68"/>
  <c r="G78" i="68"/>
  <c r="G77" i="68"/>
  <c r="G76" i="68"/>
  <c r="G75" i="68"/>
  <c r="K74" i="68"/>
  <c r="G73" i="68"/>
  <c r="G72" i="68"/>
  <c r="G71" i="68"/>
  <c r="G70" i="68"/>
  <c r="G68" i="68"/>
  <c r="G67" i="68"/>
  <c r="G66" i="68"/>
  <c r="G65" i="68"/>
  <c r="K64" i="68"/>
  <c r="G63" i="68"/>
  <c r="G62" i="68"/>
  <c r="G61" i="68"/>
  <c r="G60" i="68"/>
  <c r="K59" i="68"/>
  <c r="G58" i="68"/>
  <c r="G57" i="68"/>
  <c r="G56" i="68"/>
  <c r="G55" i="68"/>
  <c r="K54" i="68"/>
  <c r="G53" i="68"/>
  <c r="G52" i="68"/>
  <c r="G51" i="68"/>
  <c r="G50" i="68"/>
  <c r="K49" i="68"/>
  <c r="G48" i="68"/>
  <c r="G47" i="68"/>
  <c r="G46" i="68"/>
  <c r="G45" i="68"/>
  <c r="K44" i="68"/>
  <c r="G43" i="68"/>
  <c r="G42" i="68"/>
  <c r="G41" i="68"/>
  <c r="G40" i="68"/>
  <c r="K39" i="68"/>
  <c r="G38" i="68"/>
  <c r="G37" i="68"/>
  <c r="G36" i="68"/>
  <c r="G35" i="68"/>
  <c r="K34" i="68"/>
  <c r="G33" i="68"/>
  <c r="G32" i="68"/>
  <c r="G31" i="68"/>
  <c r="G30" i="68"/>
  <c r="K29" i="68"/>
  <c r="G28" i="68"/>
  <c r="G27" i="68"/>
  <c r="G26" i="68"/>
  <c r="G25" i="68"/>
  <c r="K24" i="68"/>
  <c r="G23" i="68"/>
  <c r="G22" i="68"/>
  <c r="G21" i="68"/>
  <c r="G20" i="68"/>
  <c r="K19" i="68"/>
  <c r="C18" i="68"/>
  <c r="C19" i="68" s="1"/>
  <c r="L19" i="68" l="1"/>
  <c r="C24" i="68"/>
  <c r="G96" i="68"/>
  <c r="G98" i="68"/>
  <c r="G102" i="68"/>
  <c r="G99" i="68"/>
  <c r="M19" i="68" l="1"/>
  <c r="C29" i="68"/>
  <c r="L24" i="68"/>
  <c r="M24" i="68" s="1"/>
  <c r="C34" i="68" l="1"/>
  <c r="L29" i="68"/>
  <c r="M29" i="68" s="1"/>
  <c r="L34" i="68" l="1"/>
  <c r="M34" i="68" s="1"/>
  <c r="C39" i="68"/>
  <c r="L39" i="68" l="1"/>
  <c r="M39" i="68" s="1"/>
  <c r="C44" i="68"/>
  <c r="C49" i="68" l="1"/>
  <c r="L44" i="68"/>
  <c r="M44" i="68" l="1"/>
  <c r="L49" i="68"/>
  <c r="M49" i="68" s="1"/>
  <c r="C54" i="68"/>
  <c r="L54" i="68" l="1"/>
  <c r="M54" i="68" s="1"/>
  <c r="C59" i="68"/>
  <c r="L59" i="68" l="1"/>
  <c r="M59" i="68" s="1"/>
  <c r="C64" i="68"/>
  <c r="C92" i="68" l="1"/>
  <c r="C69" i="68"/>
  <c r="L64" i="68"/>
  <c r="M64" i="68" s="1"/>
  <c r="C97" i="68" l="1"/>
  <c r="L92" i="68" s="1"/>
  <c r="C74" i="68"/>
  <c r="L74" i="68" l="1"/>
  <c r="M74" i="68" s="1"/>
  <c r="C79" i="68"/>
  <c r="L79" i="68" s="1"/>
  <c r="M79" i="68" s="1"/>
  <c r="M92" i="68"/>
  <c r="L103" i="68"/>
  <c r="M103" i="68" l="1"/>
  <c r="N79" i="68" s="1"/>
  <c r="N74" i="68" l="1"/>
  <c r="K103" i="68"/>
  <c r="N24" i="68"/>
  <c r="N19" i="68"/>
  <c r="N103" i="68" s="1"/>
  <c r="N29" i="68"/>
  <c r="N34" i="68"/>
  <c r="N39" i="68"/>
  <c r="N49" i="68"/>
  <c r="N44" i="68"/>
  <c r="N54" i="68"/>
  <c r="N59" i="68"/>
  <c r="N64" i="68"/>
  <c r="N92" i="68"/>
</calcChain>
</file>

<file path=xl/sharedStrings.xml><?xml version="1.0" encoding="utf-8"?>
<sst xmlns="http://schemas.openxmlformats.org/spreadsheetml/2006/main" count="694" uniqueCount="125">
  <si>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</si>
  <si>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</si>
  <si>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</si>
  <si>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</si>
  <si>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</si>
  <si>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</si>
  <si>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</si>
  <si>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</si>
  <si>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</si>
  <si>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</si>
  <si>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</si>
  <si>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</si>
  <si>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</si>
  <si>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</si>
  <si>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</si>
  <si>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</si>
  <si>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</si>
  <si>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</si>
  <si>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</si>
  <si>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</si>
  <si>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</si>
  <si>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</si>
  <si>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</si>
  <si>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</si>
  <si>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</si>
  <si>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</si>
  <si>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</si>
  <si>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</si>
  <si>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</si>
  <si>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</si>
  <si>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</si>
  <si>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</si>
  <si>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</si>
  <si>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</si>
  <si>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</si>
  <si>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</si>
  <si>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</si>
  <si>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</si>
  <si>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</si>
  <si>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</si>
  <si>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</si>
  <si>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</si>
  <si>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</si>
  <si>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</si>
  <si>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</si>
  <si>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</si>
  <si>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</si>
  <si>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</si>
  <si>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</si>
  <si>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</si>
  <si>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</si>
  <si>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</si>
  <si>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</si>
  <si>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Medida de la temperatura</t>
  </si>
  <si>
    <t>DETALLE GENERAL DEL AFORO</t>
  </si>
  <si>
    <t xml:space="preserve">Aforo No. </t>
  </si>
  <si>
    <t>QUEBRADA OLIVARES - EL POPAL</t>
  </si>
  <si>
    <t>N  5° 3' 54.18"</t>
  </si>
  <si>
    <t xml:space="preserve">  W 75° 28' 37.86"</t>
  </si>
  <si>
    <t>m.s.n.m.</t>
  </si>
  <si>
    <t>Equipo</t>
  </si>
  <si>
    <t>Molinete (**)</t>
  </si>
  <si>
    <t xml:space="preserve">Marca/Referencia </t>
  </si>
  <si>
    <t>Ecuación del molinete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</si>
  <si>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</si>
  <si>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Hélice #</t>
  </si>
  <si>
    <t>Electromagnético</t>
  </si>
  <si>
    <t>Referencia de medida:</t>
  </si>
  <si>
    <t>Lecho del río</t>
  </si>
  <si>
    <t>Clima</t>
  </si>
  <si>
    <t>Calido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</si>
  <si>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</si>
  <si>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</si>
  <si>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</si>
  <si>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</si>
  <si>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</si>
  <si>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</si>
  <si>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</si>
  <si>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</si>
  <si>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</si>
  <si>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</si>
  <si>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</si>
  <si>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</si>
  <si>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</si>
  <si>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</si>
  <si>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</si>
  <si>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</si>
  <si>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</si>
  <si>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</si>
  <si>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</si>
  <si>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</si>
  <si>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</si>
  <si>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</si>
  <si>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</si>
  <si>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</si>
  <si>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</si>
  <si>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</si>
  <si>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</si>
  <si>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</si>
  <si>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</si>
  <si>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</si>
  <si>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</si>
  <si>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</si>
  <si>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</si>
  <si>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</si>
  <si>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</si>
  <si>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</si>
  <si>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</si>
  <si>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</si>
  <si>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</si>
  <si>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r>
      <t xml:space="preserve">Nivel del agua en el sensor (cm)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</si>
  <si>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>Organizando sección de aforo</t>
  </si>
  <si>
    <t>Detalle del aforo</t>
  </si>
  <si>
    <t>N 5°2´22.32"</t>
  </si>
  <si>
    <t>W 75° 27´45.48"</t>
  </si>
  <si>
    <t>Frio</t>
  </si>
  <si>
    <t xml:space="preserve">QUEBRADA OLIVARES- EL POPAL </t>
  </si>
  <si>
    <t>Soleado</t>
  </si>
  <si>
    <t>C</t>
  </si>
  <si>
    <t>El sensor de nivel no registra datos durante el dia del aforo</t>
  </si>
  <si>
    <t>SIN DATO</t>
  </si>
  <si>
    <t>MEDIDA NIVEL SENSOR</t>
  </si>
  <si>
    <t>TOMA DE TEMPERATURA</t>
  </si>
  <si>
    <t>Formato L1.2: Medición de caudal por el método área-velocidad: medidas desde la superficie del agua con medidor electromagnético</t>
  </si>
  <si>
    <t>Convenio 221/2016 OPERACIÓN Y MANTENIMIENTO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</si>
</sst>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3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41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5" xfId="0" applyFont="1" applyBorder="1"/>
    <xf numFmtId="0" fontId="0" fillId="0" borderId="0" xfId="0" applyFont="1" applyAlignment="1"/>
    <xf numFmtId="0" fontId="2" fillId="0" borderId="45" xfId="0" applyFont="1" applyBorder="1"/>
    <xf numFmtId="0" fontId="2" fillId="0" borderId="52" xfId="0" applyFont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15" fillId="5" borderId="55" xfId="0" applyFont="1" applyFill="1" applyBorder="1" applyAlignment="1">
      <alignment horizontal="center" vertical="center"/>
    </xf>
    <xf numFmtId="0" fontId="2" fillId="0" borderId="54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45" xfId="0" applyFont="1" applyFill="1" applyBorder="1" applyAlignment="1">
      <alignment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vertical="center"/>
    </xf>
    <xf numFmtId="0" fontId="15" fillId="0" borderId="55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9" fillId="0" borderId="62" xfId="0" applyFont="1" applyFill="1" applyBorder="1" applyAlignment="1">
      <alignment horizontal="center" vertical="center"/>
    </xf>
    <xf numFmtId="0" fontId="2" fillId="0" borderId="68" xfId="0" applyFont="1" applyFill="1" applyBorder="1" applyAlignment="1">
      <alignment horizontal="center" vertical="center"/>
    </xf>
    <xf numFmtId="0" fontId="15" fillId="0" borderId="71" xfId="0" applyFont="1" applyFill="1" applyBorder="1" applyAlignment="1">
      <alignment horizontal="center" vertical="center"/>
    </xf>
    <xf numFmtId="0" fontId="19" fillId="0" borderId="78" xfId="0" applyFont="1" applyFill="1" applyBorder="1" applyAlignment="1">
      <alignment vertical="top" wrapText="1"/>
    </xf>
    <xf numFmtId="0" fontId="19" fillId="0" borderId="62" xfId="0" applyFont="1" applyFill="1" applyBorder="1" applyAlignment="1">
      <alignment horizontal="center" vertical="top" wrapText="1"/>
    </xf>
    <xf numFmtId="0" fontId="19" fillId="0" borderId="81" xfId="0" applyFont="1" applyFill="1" applyBorder="1" applyAlignment="1">
      <alignment horizontal="center"/>
    </xf>
    <xf numFmtId="0" fontId="15" fillId="0" borderId="71" xfId="0" applyFont="1" applyFill="1" applyBorder="1" applyAlignment="1">
      <alignment horizontal="center" vertical="top" wrapText="1"/>
    </xf>
    <xf numFmtId="0" fontId="15" fillId="0" borderId="88" xfId="0" applyFont="1" applyFill="1" applyBorder="1" applyAlignment="1">
      <alignment horizontal="center" vertical="center" wrapText="1"/>
    </xf>
    <xf numFmtId="20" fontId="15" fillId="0" borderId="91" xfId="0" applyNumberFormat="1" applyFont="1" applyFill="1" applyBorder="1" applyAlignment="1">
      <alignment horizontal="center" vertical="top"/>
    </xf>
    <xf numFmtId="0" fontId="17" fillId="0" borderId="92" xfId="0" applyFont="1" applyFill="1" applyBorder="1" applyAlignment="1">
      <alignment horizontal="center" vertical="top"/>
    </xf>
    <xf numFmtId="0" fontId="15" fillId="0" borderId="92" xfId="0" applyFont="1" applyFill="1" applyBorder="1" applyAlignment="1">
      <alignment horizontal="center" vertical="top"/>
    </xf>
    <xf numFmtId="0" fontId="15" fillId="0" borderId="81" xfId="0" applyFont="1" applyFill="1" applyBorder="1" applyAlignment="1">
      <alignment horizontal="center" vertical="center"/>
    </xf>
    <xf numFmtId="0" fontId="15" fillId="0" borderId="95" xfId="0" applyFont="1" applyFill="1" applyBorder="1" applyAlignment="1">
      <alignment horizontal="center" vertical="center"/>
    </xf>
    <xf numFmtId="0" fontId="22" fillId="7" borderId="0" xfId="0" applyFont="1" applyFill="1" applyBorder="1" applyAlignment="1">
      <alignment horizontal="left" vertical="center" wrapText="1"/>
    </xf>
    <xf numFmtId="0" fontId="18" fillId="6" borderId="84" xfId="0" applyFont="1" applyFill="1" applyBorder="1" applyAlignment="1">
      <alignment horizontal="center" vertical="center"/>
    </xf>
    <xf numFmtId="0" fontId="18" fillId="6" borderId="101" xfId="0" applyFont="1" applyFill="1" applyBorder="1" applyAlignment="1">
      <alignment vertical="center"/>
    </xf>
    <xf numFmtId="0" fontId="18" fillId="6" borderId="101" xfId="0" applyFont="1" applyFill="1" applyBorder="1" applyAlignment="1">
      <alignment horizontal="center" vertical="center"/>
    </xf>
    <xf numFmtId="0" fontId="18" fillId="6" borderId="62" xfId="0" applyFont="1" applyFill="1" applyBorder="1" applyAlignment="1">
      <alignment horizontal="center" vertical="center"/>
    </xf>
    <xf numFmtId="0" fontId="2" fillId="0" borderId="95" xfId="0" applyFont="1" applyBorder="1"/>
    <xf numFmtId="0" fontId="18" fillId="6" borderId="95" xfId="0" applyFont="1" applyFill="1" applyBorder="1" applyAlignment="1">
      <alignment vertical="center"/>
    </xf>
    <xf numFmtId="0" fontId="18" fillId="6" borderId="104" xfId="0" applyFont="1" applyFill="1" applyBorder="1" applyAlignment="1">
      <alignment horizontal="center" vertical="center"/>
    </xf>
    <xf numFmtId="0" fontId="18" fillId="6" borderId="91" xfId="0" applyFont="1" applyFill="1" applyBorder="1" applyAlignment="1">
      <alignment horizontal="center" vertical="center"/>
    </xf>
    <xf numFmtId="0" fontId="24" fillId="0" borderId="0" xfId="0" applyFont="1" applyFill="1"/>
    <xf numFmtId="0" fontId="18" fillId="0" borderId="83" xfId="0" applyFont="1" applyFill="1" applyBorder="1" applyAlignment="1">
      <alignment horizontal="center" vertical="center" wrapText="1"/>
    </xf>
    <xf numFmtId="0" fontId="2" fillId="0" borderId="99" xfId="0" applyFont="1" applyFill="1" applyBorder="1" applyAlignment="1">
      <alignment horizontal="center" vertical="center" wrapText="1"/>
    </xf>
    <xf numFmtId="0" fontId="18" fillId="0" borderId="99" xfId="0" applyFont="1" applyFill="1" applyBorder="1" applyAlignment="1">
      <alignment horizontal="center" vertical="center"/>
    </xf>
    <xf numFmtId="0" fontId="12" fillId="0" borderId="99" xfId="0" applyFont="1" applyFill="1" applyBorder="1" applyAlignment="1">
      <alignment horizontal="center"/>
    </xf>
    <xf numFmtId="2" fontId="14" fillId="0" borderId="99" xfId="0" applyNumberFormat="1" applyFont="1" applyFill="1" applyBorder="1" applyAlignment="1">
      <alignment horizontal="center" vertical="center"/>
    </xf>
    <xf numFmtId="2" fontId="14" fillId="0" borderId="99" xfId="0" applyNumberFormat="1" applyFont="1" applyFill="1" applyBorder="1" applyAlignment="1">
      <alignment vertical="center"/>
    </xf>
    <xf numFmtId="164" fontId="14" fillId="0" borderId="99" xfId="0" applyNumberFormat="1" applyFont="1" applyFill="1" applyBorder="1" applyAlignment="1">
      <alignment vertical="center"/>
    </xf>
    <xf numFmtId="164" fontId="14" fillId="0" borderId="99" xfId="0" applyNumberFormat="1" applyFont="1" applyFill="1" applyBorder="1" applyAlignment="1">
      <alignment horizontal="center" vertical="center"/>
    </xf>
    <xf numFmtId="0" fontId="18" fillId="0" borderId="105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101" xfId="0" applyFont="1" applyFill="1" applyBorder="1" applyAlignment="1">
      <alignment horizontal="center"/>
    </xf>
    <xf numFmtId="2" fontId="14" fillId="0" borderId="101" xfId="0" applyNumberFormat="1" applyFont="1" applyFill="1" applyBorder="1" applyAlignment="1">
      <alignment horizontal="center" vertical="center"/>
    </xf>
    <xf numFmtId="2" fontId="14" fillId="0" borderId="101" xfId="0" applyNumberFormat="1" applyFont="1" applyFill="1" applyBorder="1" applyAlignment="1">
      <alignment vertical="center"/>
    </xf>
    <xf numFmtId="0" fontId="2" fillId="0" borderId="101" xfId="0" applyFont="1" applyFill="1" applyBorder="1"/>
    <xf numFmtId="164" fontId="14" fillId="0" borderId="101" xfId="0" applyNumberFormat="1" applyFont="1" applyFill="1" applyBorder="1" applyAlignment="1">
      <alignment horizontal="center" vertical="center"/>
    </xf>
    <xf numFmtId="0" fontId="12" fillId="0" borderId="106" xfId="0" applyFont="1" applyFill="1" applyBorder="1" applyAlignment="1">
      <alignment horizontal="center"/>
    </xf>
    <xf numFmtId="2" fontId="14" fillId="0" borderId="106" xfId="0" applyNumberFormat="1" applyFont="1" applyFill="1" applyBorder="1" applyAlignment="1">
      <alignment horizontal="center" vertical="center"/>
    </xf>
    <xf numFmtId="2" fontId="14" fillId="0" borderId="106" xfId="0" applyNumberFormat="1" applyFont="1" applyFill="1" applyBorder="1" applyAlignment="1">
      <alignment vertical="center"/>
    </xf>
    <xf numFmtId="0" fontId="2" fillId="0" borderId="106" xfId="0" applyFont="1" applyFill="1" applyBorder="1"/>
    <xf numFmtId="164" fontId="14" fillId="0" borderId="106" xfId="0" applyNumberFormat="1" applyFont="1" applyFill="1" applyBorder="1" applyAlignment="1">
      <alignment horizontal="center" vertical="center"/>
    </xf>
    <xf numFmtId="0" fontId="12" fillId="0" borderId="109" xfId="0" applyFont="1" applyFill="1" applyBorder="1" applyAlignment="1">
      <alignment horizontal="center"/>
    </xf>
    <xf numFmtId="2" fontId="14" fillId="0" borderId="109" xfId="0" applyNumberFormat="1" applyFont="1" applyFill="1" applyBorder="1" applyAlignment="1">
      <alignment horizontal="center" vertical="center"/>
    </xf>
    <xf numFmtId="2" fontId="14" fillId="0" borderId="109" xfId="0" applyNumberFormat="1" applyFont="1" applyFill="1" applyBorder="1" applyAlignment="1">
      <alignment vertical="center"/>
    </xf>
    <xf numFmtId="0" fontId="2" fillId="0" borderId="109" xfId="0" applyFont="1" applyFill="1" applyBorder="1"/>
    <xf numFmtId="164" fontId="14" fillId="0" borderId="109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12" xfId="0" applyFont="1" applyFill="1" applyBorder="1" applyAlignment="1">
      <alignment vertical="center" wrapText="1"/>
    </xf>
    <xf numFmtId="0" fontId="24" fillId="0" borderId="45" xfId="0" applyFont="1" applyBorder="1"/>
    <xf numFmtId="2" fontId="14" fillId="10" borderId="116" xfId="0" applyNumberFormat="1" applyFont="1" applyFill="1" applyBorder="1" applyAlignment="1">
      <alignment horizontal="center" vertical="center"/>
    </xf>
    <xf numFmtId="2" fontId="14" fillId="10" borderId="116" xfId="0" applyNumberFormat="1" applyFont="1" applyFill="1" applyBorder="1" applyAlignment="1">
      <alignment horizontal="center"/>
    </xf>
    <xf numFmtId="164" fontId="2" fillId="10" borderId="116" xfId="0" applyNumberFormat="1" applyFont="1" applyFill="1" applyBorder="1" applyAlignment="1">
      <alignment horizontal="center"/>
    </xf>
    <xf numFmtId="164" fontId="2" fillId="9" borderId="116" xfId="0" applyNumberFormat="1" applyFont="1" applyFill="1" applyBorder="1" applyAlignment="1">
      <alignment horizontal="center"/>
    </xf>
    <xf numFmtId="0" fontId="24" fillId="0" borderId="0" xfId="0" applyFont="1"/>
    <xf numFmtId="0" fontId="14" fillId="10" borderId="106" xfId="0" applyFont="1" applyFill="1" applyBorder="1" applyAlignment="1">
      <alignment horizontal="center"/>
    </xf>
    <xf numFmtId="2" fontId="14" fillId="10" borderId="106" xfId="0" applyNumberFormat="1" applyFont="1" applyFill="1" applyBorder="1" applyAlignment="1">
      <alignment horizontal="center" vertical="center"/>
    </xf>
    <xf numFmtId="2" fontId="14" fillId="10" borderId="106" xfId="0" applyNumberFormat="1" applyFont="1" applyFill="1" applyBorder="1" applyAlignment="1">
      <alignment horizontal="center"/>
    </xf>
    <xf numFmtId="164" fontId="2" fillId="10" borderId="106" xfId="0" applyNumberFormat="1" applyFont="1" applyFill="1" applyBorder="1" applyAlignment="1">
      <alignment horizontal="center"/>
    </xf>
    <xf numFmtId="164" fontId="2" fillId="9" borderId="106" xfId="0" applyNumberFormat="1" applyFont="1" applyFill="1" applyBorder="1" applyAlignment="1">
      <alignment horizontal="center"/>
    </xf>
    <xf numFmtId="2" fontId="14" fillId="10" borderId="123" xfId="0" applyNumberFormat="1" applyFont="1" applyFill="1" applyBorder="1" applyAlignment="1">
      <alignment horizontal="center" vertical="center"/>
    </xf>
    <xf numFmtId="2" fontId="14" fillId="10" borderId="123" xfId="0" applyNumberFormat="1" applyFont="1" applyFill="1" applyBorder="1" applyAlignment="1">
      <alignment horizontal="center"/>
    </xf>
    <xf numFmtId="164" fontId="2" fillId="10" borderId="123" xfId="0" applyNumberFormat="1" applyFont="1" applyFill="1" applyBorder="1" applyAlignment="1">
      <alignment horizontal="center"/>
    </xf>
    <xf numFmtId="164" fontId="2" fillId="11" borderId="123" xfId="0" applyNumberFormat="1" applyFont="1" applyFill="1" applyBorder="1" applyAlignment="1">
      <alignment horizontal="center"/>
    </xf>
    <xf numFmtId="164" fontId="18" fillId="5" borderId="127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2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0" fillId="0" borderId="125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6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11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8" fillId="12" borderId="0" xfId="0" applyFont="1" applyFill="1" applyBorder="1" applyAlignment="1">
      <alignment horizontal="center" vertical="top" wrapText="1"/>
    </xf>
    <xf numFmtId="0" fontId="18" fillId="12" borderId="50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15" xfId="0" applyFont="1" applyFill="1" applyBorder="1" applyAlignment="1">
      <alignment horizontal="center" vertical="center"/>
    </xf>
    <xf numFmtId="0" fontId="14" fillId="3" borderId="102" xfId="0" applyFont="1" applyFill="1" applyBorder="1"/>
    <xf numFmtId="0" fontId="14" fillId="3" borderId="122" xfId="0" applyFont="1" applyFill="1" applyBorder="1"/>
    <xf numFmtId="166" fontId="14" fillId="10" borderId="115" xfId="0" applyNumberFormat="1" applyFont="1" applyFill="1" applyBorder="1" applyAlignment="1">
      <alignment horizontal="center" vertical="center"/>
    </xf>
    <xf numFmtId="0" fontId="14" fillId="10" borderId="117" xfId="0" applyFont="1" applyFill="1" applyBorder="1" applyAlignment="1">
      <alignment horizontal="center" vertical="center"/>
    </xf>
    <xf numFmtId="0" fontId="14" fillId="3" borderId="119" xfId="0" applyFont="1" applyFill="1" applyBorder="1"/>
    <xf numFmtId="0" fontId="14" fillId="3" borderId="124" xfId="0" applyFont="1" applyFill="1" applyBorder="1"/>
    <xf numFmtId="2" fontId="14" fillId="9" borderId="104" xfId="0" applyNumberFormat="1" applyFont="1" applyFill="1" applyBorder="1" applyAlignment="1">
      <alignment horizontal="center" vertical="center"/>
    </xf>
    <xf numFmtId="164" fontId="14" fillId="9" borderId="104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14" xfId="0" applyFont="1" applyFill="1" applyBorder="1" applyAlignment="1">
      <alignment horizontal="center" vertical="center"/>
    </xf>
    <xf numFmtId="0" fontId="14" fillId="3" borderId="118" xfId="0" applyFont="1" applyFill="1" applyBorder="1"/>
    <xf numFmtId="0" fontId="14" fillId="3" borderId="121" xfId="0" applyFont="1" applyFill="1" applyBorder="1"/>
    <xf numFmtId="2" fontId="14" fillId="9" borderId="115" xfId="0" applyNumberFormat="1" applyFont="1" applyFill="1" applyBorder="1" applyAlignment="1">
      <alignment horizontal="center" vertical="center"/>
    </xf>
    <xf numFmtId="0" fontId="14" fillId="3" borderId="120" xfId="0" applyFont="1" applyFill="1" applyBorder="1"/>
    <xf numFmtId="164" fontId="14" fillId="9" borderId="115" xfId="0" applyNumberFormat="1" applyFont="1" applyFill="1" applyBorder="1" applyAlignment="1">
      <alignment horizontal="center" vertical="center"/>
    </xf>
    <xf numFmtId="164" fontId="14" fillId="10" borderId="115" xfId="0" applyNumberFormat="1" applyFont="1" applyFill="1" applyBorder="1" applyAlignment="1">
      <alignment horizontal="center" vertical="center"/>
    </xf>
    <xf numFmtId="164" fontId="14" fillId="0" borderId="99" xfId="0" applyNumberFormat="1" applyFont="1" applyFill="1" applyBorder="1" applyAlignment="1">
      <alignment horizontal="center" vertical="center"/>
    </xf>
    <xf numFmtId="0" fontId="14" fillId="0" borderId="102" xfId="0" applyFont="1" applyFill="1" applyBorder="1"/>
    <xf numFmtId="0" fontId="14" fillId="0" borderId="108" xfId="0" applyFont="1" applyFill="1" applyBorder="1"/>
    <xf numFmtId="165" fontId="14" fillId="0" borderId="99" xfId="0" applyNumberFormat="1" applyFont="1" applyFill="1" applyBorder="1" applyAlignment="1">
      <alignment horizontal="center" vertical="center"/>
    </xf>
    <xf numFmtId="0" fontId="14" fillId="0" borderId="99" xfId="0" applyFont="1" applyFill="1" applyBorder="1" applyAlignment="1">
      <alignment horizontal="center" vertical="center"/>
    </xf>
    <xf numFmtId="0" fontId="14" fillId="0" borderId="105" xfId="0" applyFont="1" applyFill="1" applyBorder="1" applyAlignment="1">
      <alignment horizontal="center" vertical="center"/>
    </xf>
    <xf numFmtId="0" fontId="14" fillId="0" borderId="107" xfId="0" applyFont="1" applyFill="1" applyBorder="1"/>
    <xf numFmtId="0" fontId="14" fillId="0" borderId="110" xfId="0" applyFont="1" applyFill="1" applyBorder="1"/>
    <xf numFmtId="0" fontId="4" fillId="8" borderId="111" xfId="0" applyFont="1" applyFill="1" applyBorder="1" applyAlignment="1">
      <alignment horizontal="center" vertical="center" textRotation="90"/>
    </xf>
    <xf numFmtId="0" fontId="4" fillId="8" borderId="112" xfId="0" applyFont="1" applyFill="1" applyBorder="1" applyAlignment="1">
      <alignment horizontal="center" vertical="center" textRotation="90"/>
    </xf>
    <xf numFmtId="0" fontId="4" fillId="8" borderId="113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83" xfId="0" applyFont="1" applyFill="1" applyBorder="1" applyAlignment="1">
      <alignment horizontal="center" vertical="center"/>
    </xf>
    <xf numFmtId="0" fontId="14" fillId="0" borderId="80" xfId="0" applyFont="1" applyFill="1" applyBorder="1"/>
    <xf numFmtId="0" fontId="14" fillId="0" borderId="87" xfId="0" applyFont="1" applyFill="1" applyBorder="1"/>
    <xf numFmtId="2" fontId="14" fillId="0" borderId="99" xfId="0" applyNumberFormat="1" applyFont="1" applyFill="1" applyBorder="1" applyAlignment="1">
      <alignment horizontal="center" vertical="center"/>
    </xf>
    <xf numFmtId="0" fontId="14" fillId="7" borderId="50" xfId="0" applyFont="1" applyFill="1" applyBorder="1" applyAlignment="1">
      <alignment horizontal="center" vertical="center" wrapText="1"/>
    </xf>
    <xf numFmtId="0" fontId="14" fillId="0" borderId="50" xfId="0" applyFont="1" applyBorder="1" applyAlignment="1">
      <alignment horizontal="center"/>
    </xf>
    <xf numFmtId="0" fontId="14" fillId="7" borderId="50" xfId="0" applyFont="1" applyFill="1" applyBorder="1" applyAlignment="1">
      <alignment horizontal="center"/>
    </xf>
    <xf numFmtId="0" fontId="14" fillId="0" borderId="50" xfId="0" applyFont="1" applyBorder="1"/>
    <xf numFmtId="0" fontId="14" fillId="0" borderId="51" xfId="0" applyFont="1" applyBorder="1"/>
    <xf numFmtId="0" fontId="18" fillId="6" borderId="83" xfId="0" applyFont="1" applyFill="1" applyBorder="1" applyAlignment="1">
      <alignment horizontal="center" vertical="center" wrapText="1"/>
    </xf>
    <xf numFmtId="0" fontId="14" fillId="0" borderId="80" xfId="0" applyFont="1" applyBorder="1"/>
    <xf numFmtId="0" fontId="18" fillId="6" borderId="99" xfId="0" applyFont="1" applyFill="1" applyBorder="1" applyAlignment="1">
      <alignment horizontal="center" vertical="center" wrapText="1"/>
    </xf>
    <xf numFmtId="0" fontId="14" fillId="0" borderId="102" xfId="0" applyFont="1" applyBorder="1"/>
    <xf numFmtId="0" fontId="18" fillId="6" borderId="99" xfId="0" applyFont="1" applyFill="1" applyBorder="1" applyAlignment="1">
      <alignment horizontal="center" vertical="center"/>
    </xf>
    <xf numFmtId="0" fontId="18" fillId="6" borderId="59" xfId="0" applyFont="1" applyFill="1" applyBorder="1" applyAlignment="1">
      <alignment horizontal="center" vertical="center"/>
    </xf>
    <xf numFmtId="0" fontId="14" fillId="0" borderId="47" xfId="0" applyFont="1" applyBorder="1"/>
    <xf numFmtId="0" fontId="14" fillId="0" borderId="85" xfId="0" applyFont="1" applyBorder="1"/>
    <xf numFmtId="0" fontId="14" fillId="0" borderId="0" xfId="0" applyFont="1" applyBorder="1"/>
    <xf numFmtId="0" fontId="18" fillId="6" borderId="100" xfId="0" applyFont="1" applyFill="1" applyBorder="1" applyAlignment="1">
      <alignment horizontal="center" vertical="center" wrapText="1"/>
    </xf>
    <xf numFmtId="0" fontId="14" fillId="0" borderId="103" xfId="0" applyFont="1" applyBorder="1"/>
    <xf numFmtId="0" fontId="18" fillId="6" borderId="46" xfId="0" applyFont="1" applyFill="1" applyBorder="1" applyAlignment="1">
      <alignment horizontal="center" vertical="center" textRotation="90" wrapText="1"/>
    </xf>
    <xf numFmtId="0" fontId="14" fillId="0" borderId="97" xfId="0" applyFont="1" applyBorder="1"/>
    <xf numFmtId="0" fontId="14" fillId="0" borderId="49" xfId="0" applyFont="1" applyBorder="1"/>
    <xf numFmtId="0" fontId="14" fillId="0" borderId="46" xfId="0" applyFont="1" applyFill="1" applyBorder="1" applyAlignment="1">
      <alignment horizontal="center" vertical="center"/>
    </xf>
    <xf numFmtId="0" fontId="14" fillId="0" borderId="47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 vertical="center" wrapText="1"/>
    </xf>
    <xf numFmtId="0" fontId="14" fillId="0" borderId="47" xfId="0" applyFont="1" applyFill="1" applyBorder="1" applyAlignment="1">
      <alignment horizontal="center" vertical="center"/>
    </xf>
    <xf numFmtId="0" fontId="14" fillId="0" borderId="48" xfId="0" applyFont="1" applyFill="1" applyBorder="1" applyAlignment="1">
      <alignment horizontal="center"/>
    </xf>
    <xf numFmtId="0" fontId="14" fillId="7" borderId="97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8" xfId="0" applyFont="1" applyBorder="1"/>
    <xf numFmtId="0" fontId="14" fillId="7" borderId="49" xfId="0" applyFont="1" applyFill="1" applyBorder="1" applyAlignment="1">
      <alignment horizontal="center" vertical="center" wrapText="1"/>
    </xf>
    <xf numFmtId="0" fontId="2" fillId="0" borderId="90" xfId="0" applyFont="1" applyFill="1" applyBorder="1" applyAlignment="1">
      <alignment horizontal="center" vertical="center" wrapText="1"/>
    </xf>
    <xf numFmtId="0" fontId="14" fillId="0" borderId="93" xfId="0" applyFont="1" applyFill="1" applyBorder="1"/>
    <xf numFmtId="0" fontId="2" fillId="0" borderId="69" xfId="0" applyFont="1" applyFill="1" applyBorder="1" applyAlignment="1">
      <alignment horizontal="center" vertical="center"/>
    </xf>
    <xf numFmtId="0" fontId="14" fillId="0" borderId="70" xfId="0" applyFont="1" applyFill="1" applyBorder="1"/>
    <xf numFmtId="0" fontId="2" fillId="0" borderId="69" xfId="0" applyFont="1" applyFill="1" applyBorder="1" applyAlignment="1">
      <alignment horizontal="center"/>
    </xf>
    <xf numFmtId="0" fontId="2" fillId="0" borderId="69" xfId="0" applyFont="1" applyFill="1" applyBorder="1" applyAlignment="1">
      <alignment horizontal="center" vertical="top"/>
    </xf>
    <xf numFmtId="0" fontId="15" fillId="0" borderId="69" xfId="0" applyFont="1" applyFill="1" applyBorder="1" applyAlignment="1">
      <alignment horizontal="center" vertical="center" wrapText="1"/>
    </xf>
    <xf numFmtId="0" fontId="16" fillId="0" borderId="96" xfId="0" applyFont="1" applyFill="1" applyBorder="1"/>
    <xf numFmtId="0" fontId="2" fillId="0" borderId="88" xfId="0" applyFont="1" applyFill="1" applyBorder="1" applyAlignment="1">
      <alignment horizontal="center" vertical="center"/>
    </xf>
    <xf numFmtId="0" fontId="2" fillId="0" borderId="90" xfId="0" applyFont="1" applyFill="1" applyBorder="1" applyAlignment="1">
      <alignment horizontal="center" vertical="center"/>
    </xf>
    <xf numFmtId="0" fontId="14" fillId="0" borderId="82" xfId="0" applyFont="1" applyFill="1" applyBorder="1"/>
    <xf numFmtId="0" fontId="2" fillId="0" borderId="90" xfId="0" applyFont="1" applyFill="1" applyBorder="1" applyAlignment="1">
      <alignment horizontal="center"/>
    </xf>
    <xf numFmtId="0" fontId="2" fillId="0" borderId="60" xfId="0" applyFont="1" applyFill="1" applyBorder="1" applyAlignment="1">
      <alignment horizontal="center" vertical="top"/>
    </xf>
    <xf numFmtId="0" fontId="14" fillId="0" borderId="61" xfId="0" applyFont="1" applyFill="1" applyBorder="1"/>
    <xf numFmtId="0" fontId="15" fillId="0" borderId="72" xfId="0" applyFont="1" applyFill="1" applyBorder="1" applyAlignment="1">
      <alignment horizontal="center"/>
    </xf>
    <xf numFmtId="0" fontId="16" fillId="0" borderId="72" xfId="0" applyFont="1" applyFill="1" applyBorder="1"/>
    <xf numFmtId="0" fontId="19" fillId="0" borderId="73" xfId="0" applyFont="1" applyFill="1" applyBorder="1" applyAlignment="1">
      <alignment horizontal="center"/>
    </xf>
    <xf numFmtId="0" fontId="16" fillId="0" borderId="74" xfId="0" applyFont="1" applyFill="1" applyBorder="1"/>
    <xf numFmtId="0" fontId="16" fillId="0" borderId="75" xfId="0" applyFont="1" applyFill="1" applyBorder="1"/>
    <xf numFmtId="0" fontId="19" fillId="0" borderId="76" xfId="0" applyFont="1" applyFill="1" applyBorder="1" applyAlignment="1">
      <alignment horizontal="center"/>
    </xf>
    <xf numFmtId="0" fontId="16" fillId="0" borderId="77" xfId="0" applyFont="1" applyFill="1" applyBorder="1"/>
    <xf numFmtId="0" fontId="18" fillId="6" borderId="79" xfId="0" applyFont="1" applyFill="1" applyBorder="1" applyAlignment="1">
      <alignment horizontal="center" vertical="center" wrapText="1"/>
    </xf>
    <xf numFmtId="0" fontId="14" fillId="0" borderId="86" xfId="0" applyFont="1" applyBorder="1"/>
    <xf numFmtId="0" fontId="14" fillId="0" borderId="94" xfId="0" applyFont="1" applyBorder="1"/>
    <xf numFmtId="0" fontId="20" fillId="0" borderId="80" xfId="0" applyFont="1" applyFill="1" applyBorder="1" applyAlignment="1">
      <alignment horizontal="center" vertical="center" wrapText="1"/>
    </xf>
    <xf numFmtId="0" fontId="2" fillId="0" borderId="81" xfId="0" applyFont="1" applyFill="1" applyBorder="1" applyAlignment="1">
      <alignment horizontal="center" vertical="center"/>
    </xf>
    <xf numFmtId="0" fontId="20" fillId="0" borderId="83" xfId="0" applyFont="1" applyFill="1" applyBorder="1" applyAlignment="1">
      <alignment horizontal="center" vertical="center" wrapText="1"/>
    </xf>
    <xf numFmtId="0" fontId="2" fillId="0" borderId="84" xfId="0" applyFont="1" applyFill="1" applyBorder="1" applyAlignment="1">
      <alignment horizontal="center" vertical="center"/>
    </xf>
    <xf numFmtId="0" fontId="15" fillId="0" borderId="85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0" borderId="47" xfId="0" applyFont="1" applyFill="1" applyBorder="1"/>
    <xf numFmtId="0" fontId="16" fillId="0" borderId="48" xfId="0" applyFont="1" applyFill="1" applyBorder="1"/>
    <xf numFmtId="0" fontId="16" fillId="0" borderId="89" xfId="0" applyFont="1" applyFill="1" applyBorder="1"/>
    <xf numFmtId="0" fontId="16" fillId="0" borderId="50" xfId="0" applyFont="1" applyFill="1" applyBorder="1"/>
    <xf numFmtId="0" fontId="16" fillId="0" borderId="51" xfId="0" applyFont="1" applyFill="1" applyBorder="1"/>
    <xf numFmtId="0" fontId="2" fillId="0" borderId="57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vertical="center"/>
    </xf>
    <xf numFmtId="0" fontId="15" fillId="0" borderId="59" xfId="0" applyFont="1" applyFill="1" applyBorder="1" applyAlignment="1">
      <alignment horizontal="center" vertical="center"/>
    </xf>
    <xf numFmtId="0" fontId="16" fillId="0" borderId="47" xfId="0" applyFont="1" applyFill="1" applyBorder="1" applyAlignment="1">
      <alignment vertical="center"/>
    </xf>
    <xf numFmtId="0" fontId="16" fillId="0" borderId="48" xfId="0" applyFont="1" applyFill="1" applyBorder="1" applyAlignment="1">
      <alignment vertical="center"/>
    </xf>
    <xf numFmtId="0" fontId="17" fillId="0" borderId="59" xfId="0" applyFont="1" applyFill="1" applyBorder="1" applyAlignment="1">
      <alignment horizontal="center" vertical="center"/>
    </xf>
    <xf numFmtId="0" fontId="16" fillId="0" borderId="58" xfId="0" applyFont="1" applyFill="1" applyBorder="1" applyAlignment="1">
      <alignment vertical="center"/>
    </xf>
    <xf numFmtId="0" fontId="18" fillId="6" borderId="46" xfId="0" applyFont="1" applyFill="1" applyBorder="1" applyAlignment="1">
      <alignment horizontal="center" vertical="center" wrapText="1"/>
    </xf>
    <xf numFmtId="0" fontId="2" fillId="0" borderId="60" xfId="0" applyFont="1" applyFill="1" applyBorder="1" applyAlignment="1">
      <alignment horizontal="center"/>
    </xf>
    <xf numFmtId="0" fontId="2" fillId="0" borderId="63" xfId="0" applyFont="1" applyFill="1" applyBorder="1" applyAlignment="1">
      <alignment horizontal="center" vertical="center"/>
    </xf>
    <xf numFmtId="0" fontId="14" fillId="0" borderId="63" xfId="0" applyFont="1" applyFill="1" applyBorder="1"/>
    <xf numFmtId="0" fontId="2" fillId="0" borderId="64" xfId="0" applyFont="1" applyFill="1" applyBorder="1" applyAlignment="1">
      <alignment horizontal="center" vertical="center" wrapText="1"/>
    </xf>
    <xf numFmtId="0" fontId="14" fillId="0" borderId="65" xfId="0" applyFont="1" applyFill="1" applyBorder="1"/>
    <xf numFmtId="0" fontId="14" fillId="0" borderId="66" xfId="0" applyFont="1" applyFill="1" applyBorder="1"/>
    <xf numFmtId="0" fontId="2" fillId="0" borderId="63" xfId="0" applyFont="1" applyFill="1" applyBorder="1" applyAlignment="1">
      <alignment horizontal="center" vertical="center" wrapText="1"/>
    </xf>
    <xf numFmtId="0" fontId="14" fillId="0" borderId="67" xfId="0" applyFont="1" applyFill="1" applyBorder="1"/>
    <xf numFmtId="0" fontId="13" fillId="0" borderId="47" xfId="0" applyFont="1" applyBorder="1" applyAlignment="1">
      <alignment horizontal="center" wrapText="1"/>
    </xf>
    <xf numFmtId="14" fontId="15" fillId="0" borderId="53" xfId="0" applyNumberFormat="1" applyFont="1" applyFill="1" applyBorder="1" applyAlignment="1">
      <alignment horizontal="center" vertical="center"/>
    </xf>
    <xf numFmtId="0" fontId="16" fillId="0" borderId="54" xfId="0" applyFont="1" applyFill="1" applyBorder="1"/>
    <xf numFmtId="0" fontId="15" fillId="0" borderId="53" xfId="0" applyFont="1" applyBorder="1" applyAlignment="1">
      <alignment horizontal="center" vertical="center" wrapText="1"/>
    </xf>
    <xf numFmtId="0" fontId="16" fillId="0" borderId="54" xfId="0" applyFont="1" applyBorder="1"/>
    <xf numFmtId="0" fontId="16" fillId="0" borderId="56" xfId="0" applyFont="1" applyBorder="1"/>
    <xf numFmtId="0" fontId="1" fillId="0" borderId="13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128" xfId="0" applyFont="1" applyFill="1" applyBorder="1" applyAlignment="1">
      <alignment horizontal="center" vertical="center"/>
    </xf>
    <xf numFmtId="0" fontId="1" fillId="0" borderId="129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/>
    </xf>
    <xf numFmtId="0" fontId="1" fillId="0" borderId="128" xfId="0" applyFont="1" applyFill="1" applyBorder="1" applyAlignment="1">
      <alignment horizontal="center"/>
    </xf>
    <xf numFmtId="0" fontId="1" fillId="0" borderId="129" xfId="0" applyFont="1" applyFill="1" applyBorder="1" applyAlignment="1">
      <alignment horizontal="center"/>
    </xf>
    <xf numFmtId="164" fontId="14" fillId="13" borderId="16" xfId="0" applyNumberFormat="1" applyFont="1" applyFill="1" applyBorder="1" applyAlignment="1">
      <alignment horizontal="center"/>
    </xf>
    <xf numFmtId="164" fontId="14" fillId="13" borderId="14" xfId="0" applyNumberFormat="1" applyFont="1" applyFill="1" applyBorder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/>
    </xf>
    <xf numFmtId="0" fontId="1" fillId="0" borderId="39" xfId="0" applyFont="1" applyFill="1" applyBorder="1" applyAlignment="1">
      <alignment horizontal="center"/>
    </xf>
    <xf numFmtId="0" fontId="1" fillId="0" borderId="130" xfId="0" applyFont="1" applyFill="1" applyBorder="1" applyAlignment="1">
      <alignment horizontal="center"/>
    </xf>
    <xf numFmtId="0" fontId="0" fillId="0" borderId="32" xfId="0" applyFont="1" applyBorder="1"/>
    <xf numFmtId="0" fontId="0" fillId="0" borderId="13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3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31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9.png"/><Relationship Id="rId5" Type="http://schemas.openxmlformats.org/officeDocument/2006/relationships/image" Target="../media/image15.jpeg"/><Relationship Id="rId4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9.png"/><Relationship Id="rId5" Type="http://schemas.openxmlformats.org/officeDocument/2006/relationships/image" Target="../media/image18.jpeg"/><Relationship Id="rId4" Type="http://schemas.openxmlformats.org/officeDocument/2006/relationships/image" Target="../media/image1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9.png"/><Relationship Id="rId5" Type="http://schemas.openxmlformats.org/officeDocument/2006/relationships/image" Target="../media/image21.jpeg"/><Relationship Id="rId4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23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0</xdr:colOff>
      <xdr:row>46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840941"/>
          <a:ext cx="5334000" cy="361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89</xdr:row>
      <xdr:rowOff>93927</xdr:rowOff>
    </xdr:from>
    <xdr:ext cx="29957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2" y="1716272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106</xdr:row>
      <xdr:rowOff>15875</xdr:rowOff>
    </xdr:from>
    <xdr:to>
      <xdr:col>5</xdr:col>
      <xdr:colOff>408063</xdr:colOff>
      <xdr:row>111</xdr:row>
      <xdr:rowOff>139738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0456525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106</xdr:row>
      <xdr:rowOff>15875</xdr:rowOff>
    </xdr:from>
    <xdr:to>
      <xdr:col>10</xdr:col>
      <xdr:colOff>481636</xdr:colOff>
      <xdr:row>111</xdr:row>
      <xdr:rowOff>139738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1" y="20456525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642257</xdr:colOff>
      <xdr:row>114</xdr:row>
      <xdr:rowOff>108857</xdr:rowOff>
    </xdr:from>
    <xdr:to>
      <xdr:col>9</xdr:col>
      <xdr:colOff>196071</xdr:colOff>
      <xdr:row>114</xdr:row>
      <xdr:rowOff>1908857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1832" y="23130782"/>
          <a:ext cx="982564" cy="1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106458</xdr:colOff>
      <xdr:row>114</xdr:row>
      <xdr:rowOff>106457</xdr:rowOff>
    </xdr:from>
    <xdr:to>
      <xdr:col>5</xdr:col>
      <xdr:colOff>465287</xdr:colOff>
      <xdr:row>114</xdr:row>
      <xdr:rowOff>1906457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83" y="23128382"/>
          <a:ext cx="3140129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256458</xdr:colOff>
      <xdr:row>114</xdr:row>
      <xdr:rowOff>93172</xdr:rowOff>
    </xdr:from>
    <xdr:to>
      <xdr:col>15</xdr:col>
      <xdr:colOff>539086</xdr:colOff>
      <xdr:row>114</xdr:row>
      <xdr:rowOff>1893172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3533" y="23115097"/>
          <a:ext cx="3140128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26968</xdr:rowOff>
    </xdr:from>
    <xdr:to>
      <xdr:col>3</xdr:col>
      <xdr:colOff>402428</xdr:colOff>
      <xdr:row>2</xdr:row>
      <xdr:rowOff>273501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71459" y="86499"/>
          <a:ext cx="1500188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382736</xdr:colOff>
      <xdr:row>1</xdr:row>
      <xdr:rowOff>50006</xdr:rowOff>
    </xdr:from>
    <xdr:to>
      <xdr:col>15</xdr:col>
      <xdr:colOff>338638</xdr:colOff>
      <xdr:row>2</xdr:row>
      <xdr:rowOff>259556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0080" y="109537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21892</xdr:colOff>
      <xdr:row>74</xdr:row>
      <xdr:rowOff>37798</xdr:rowOff>
    </xdr:from>
    <xdr:ext cx="277466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241467" y="14534848"/>
          <a:ext cx="27746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175381</xdr:colOff>
      <xdr:row>91</xdr:row>
      <xdr:rowOff>9071</xdr:rowOff>
    </xdr:from>
    <xdr:to>
      <xdr:col>5</xdr:col>
      <xdr:colOff>435277</xdr:colOff>
      <xdr:row>96</xdr:row>
      <xdr:rowOff>141440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84906" y="17877971"/>
          <a:ext cx="3041196" cy="180876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90</xdr:row>
      <xdr:rowOff>185965</xdr:rowOff>
    </xdr:from>
    <xdr:to>
      <xdr:col>10</xdr:col>
      <xdr:colOff>445918</xdr:colOff>
      <xdr:row>96</xdr:row>
      <xdr:rowOff>127834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7864365"/>
          <a:ext cx="3007085" cy="180876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334372</xdr:colOff>
      <xdr:row>99</xdr:row>
      <xdr:rowOff>87086</xdr:rowOff>
    </xdr:from>
    <xdr:to>
      <xdr:col>4</xdr:col>
      <xdr:colOff>315687</xdr:colOff>
      <xdr:row>99</xdr:row>
      <xdr:rowOff>2007086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27105" y="20792228"/>
          <a:ext cx="1920000" cy="1410065"/>
        </a:xfrm>
        <a:prstGeom prst="rect">
          <a:avLst/>
        </a:prstGeom>
      </xdr:spPr>
    </xdr:pic>
    <xdr:clientData/>
  </xdr:twoCellAnchor>
  <xdr:twoCellAnchor editAs="oneCell">
    <xdr:from>
      <xdr:col>6</xdr:col>
      <xdr:colOff>628972</xdr:colOff>
      <xdr:row>99</xdr:row>
      <xdr:rowOff>128229</xdr:rowOff>
    </xdr:from>
    <xdr:to>
      <xdr:col>10</xdr:col>
      <xdr:colOff>111601</xdr:colOff>
      <xdr:row>99</xdr:row>
      <xdr:rowOff>1928229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4172" y="20578404"/>
          <a:ext cx="2340129" cy="18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373115</xdr:colOff>
      <xdr:row>99</xdr:row>
      <xdr:rowOff>60515</xdr:rowOff>
    </xdr:from>
    <xdr:to>
      <xdr:col>14</xdr:col>
      <xdr:colOff>354429</xdr:colOff>
      <xdr:row>99</xdr:row>
      <xdr:rowOff>1972895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913407" y="20761848"/>
          <a:ext cx="1912380" cy="1410064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26968</xdr:rowOff>
    </xdr:from>
    <xdr:to>
      <xdr:col>3</xdr:col>
      <xdr:colOff>402428</xdr:colOff>
      <xdr:row>2</xdr:row>
      <xdr:rowOff>302076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9078" y="84118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382736</xdr:colOff>
      <xdr:row>1</xdr:row>
      <xdr:rowOff>50006</xdr:rowOff>
    </xdr:from>
    <xdr:to>
      <xdr:col>15</xdr:col>
      <xdr:colOff>338638</xdr:colOff>
      <xdr:row>2</xdr:row>
      <xdr:rowOff>288131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02936" y="107156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21891</xdr:colOff>
      <xdr:row>84</xdr:row>
      <xdr:rowOff>37798</xdr:rowOff>
    </xdr:from>
    <xdr:ext cx="263859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241466" y="16249348"/>
          <a:ext cx="263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100</xdr:row>
      <xdr:rowOff>185964</xdr:rowOff>
    </xdr:from>
    <xdr:to>
      <xdr:col>5</xdr:col>
      <xdr:colOff>408063</xdr:colOff>
      <xdr:row>106</xdr:row>
      <xdr:rowOff>127833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9578864"/>
          <a:ext cx="3041196" cy="18087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100</xdr:row>
      <xdr:rowOff>158750</xdr:rowOff>
    </xdr:from>
    <xdr:to>
      <xdr:col>10</xdr:col>
      <xdr:colOff>445918</xdr:colOff>
      <xdr:row>106</xdr:row>
      <xdr:rowOff>100619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9551650"/>
          <a:ext cx="3007085" cy="18087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587829</xdr:colOff>
      <xdr:row>109</xdr:row>
      <xdr:rowOff>163286</xdr:rowOff>
    </xdr:from>
    <xdr:to>
      <xdr:col>5</xdr:col>
      <xdr:colOff>146658</xdr:colOff>
      <xdr:row>109</xdr:row>
      <xdr:rowOff>1963286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54" y="22366061"/>
          <a:ext cx="2340129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672515</xdr:colOff>
      <xdr:row>109</xdr:row>
      <xdr:rowOff>84685</xdr:rowOff>
    </xdr:from>
    <xdr:to>
      <xdr:col>15</xdr:col>
      <xdr:colOff>155143</xdr:colOff>
      <xdr:row>109</xdr:row>
      <xdr:rowOff>1884685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9590" y="22287460"/>
          <a:ext cx="2340128" cy="1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517714</xdr:colOff>
      <xdr:row>109</xdr:row>
      <xdr:rowOff>104058</xdr:rowOff>
    </xdr:from>
    <xdr:to>
      <xdr:col>9</xdr:col>
      <xdr:colOff>409028</xdr:colOff>
      <xdr:row>109</xdr:row>
      <xdr:rowOff>1904058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7289" y="22306833"/>
          <a:ext cx="1320064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78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26968</xdr:rowOff>
    </xdr:from>
    <xdr:to>
      <xdr:col>3</xdr:col>
      <xdr:colOff>402428</xdr:colOff>
      <xdr:row>2</xdr:row>
      <xdr:rowOff>302076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9078" y="84118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382736</xdr:colOff>
      <xdr:row>1</xdr:row>
      <xdr:rowOff>50006</xdr:rowOff>
    </xdr:from>
    <xdr:to>
      <xdr:col>15</xdr:col>
      <xdr:colOff>338638</xdr:colOff>
      <xdr:row>2</xdr:row>
      <xdr:rowOff>288131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02936" y="107156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49105</xdr:colOff>
      <xdr:row>99</xdr:row>
      <xdr:rowOff>10584</xdr:rowOff>
    </xdr:from>
    <xdr:ext cx="291073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268680" y="18793884"/>
          <a:ext cx="291073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216203</xdr:colOff>
      <xdr:row>116</xdr:row>
      <xdr:rowOff>49893</xdr:rowOff>
    </xdr:from>
    <xdr:to>
      <xdr:col>5</xdr:col>
      <xdr:colOff>476099</xdr:colOff>
      <xdr:row>121</xdr:row>
      <xdr:rowOff>182261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25728" y="22205043"/>
          <a:ext cx="3041196" cy="180876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255511</xdr:colOff>
      <xdr:row>116</xdr:row>
      <xdr:rowOff>36285</xdr:rowOff>
    </xdr:from>
    <xdr:to>
      <xdr:col>10</xdr:col>
      <xdr:colOff>246346</xdr:colOff>
      <xdr:row>121</xdr:row>
      <xdr:rowOff>168653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60711" y="22191435"/>
          <a:ext cx="3010260" cy="180876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430891</xdr:colOff>
      <xdr:row>124</xdr:row>
      <xdr:rowOff>27213</xdr:rowOff>
    </xdr:from>
    <xdr:to>
      <xdr:col>5</xdr:col>
      <xdr:colOff>193219</xdr:colOff>
      <xdr:row>124</xdr:row>
      <xdr:rowOff>1951263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16" y="24763638"/>
          <a:ext cx="2543628" cy="19240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95569</xdr:colOff>
      <xdr:row>124</xdr:row>
      <xdr:rowOff>68035</xdr:rowOff>
    </xdr:from>
    <xdr:to>
      <xdr:col>14</xdr:col>
      <xdr:colOff>707571</xdr:colOff>
      <xdr:row>124</xdr:row>
      <xdr:rowOff>1980314</xdr:rowOff>
    </xdr:to>
    <xdr:pic>
      <xdr:nvPicPr>
        <xdr:cNvPr id="9" name="Imagen 8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989"/>
        <a:stretch/>
      </xdr:blipFill>
      <xdr:spPr>
        <a:xfrm>
          <a:off x="8048944" y="24804460"/>
          <a:ext cx="2107427" cy="1912279"/>
        </a:xfrm>
        <a:prstGeom prst="rect">
          <a:avLst/>
        </a:prstGeom>
      </xdr:spPr>
    </xdr:pic>
    <xdr:clientData/>
  </xdr:twoCellAnchor>
  <xdr:twoCellAnchor editAs="oneCell">
    <xdr:from>
      <xdr:col>7</xdr:col>
      <xdr:colOff>136713</xdr:colOff>
      <xdr:row>124</xdr:row>
      <xdr:rowOff>81643</xdr:rowOff>
    </xdr:from>
    <xdr:to>
      <xdr:col>9</xdr:col>
      <xdr:colOff>618406</xdr:colOff>
      <xdr:row>124</xdr:row>
      <xdr:rowOff>1945821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29" b="17105"/>
        <a:stretch/>
      </xdr:blipFill>
      <xdr:spPr>
        <a:xfrm>
          <a:off x="4356288" y="24818068"/>
          <a:ext cx="1910443" cy="1864178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93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93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93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93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259553</xdr:colOff>
      <xdr:row>1</xdr:row>
      <xdr:rowOff>26968</xdr:rowOff>
    </xdr:from>
    <xdr:to>
      <xdr:col>3</xdr:col>
      <xdr:colOff>402428</xdr:colOff>
      <xdr:row>2</xdr:row>
      <xdr:rowOff>302076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9078" y="84118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382736</xdr:colOff>
      <xdr:row>1</xdr:row>
      <xdr:rowOff>50006</xdr:rowOff>
    </xdr:from>
    <xdr:to>
      <xdr:col>15</xdr:col>
      <xdr:colOff>338638</xdr:colOff>
      <xdr:row>2</xdr:row>
      <xdr:rowOff>288131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02936" y="107156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7"/>
  <sheetViews>
    <sheetView zoomScale="85" zoomScaleNormal="85" workbookViewId="0">
      <selection activeCell="D54" sqref="D54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99" t="s">
        <v>39</v>
      </c>
      <c r="C2" s="99"/>
      <c r="D2" s="99"/>
      <c r="E2" s="99"/>
      <c r="F2" s="99"/>
      <c r="G2" s="99"/>
      <c r="H2" s="99"/>
      <c r="I2" s="99"/>
      <c r="J2" s="99"/>
    </row>
    <row r="3" spans="2:10" ht="6.75" customHeight="1" x14ac:dyDescent="0.25">
      <c r="B3" s="101"/>
      <c r="C3" s="102"/>
      <c r="D3" s="102"/>
      <c r="E3" s="102"/>
      <c r="F3" s="102"/>
      <c r="G3" s="102"/>
      <c r="H3" s="102"/>
      <c r="I3" s="102"/>
      <c r="J3" s="103"/>
    </row>
    <row r="4" spans="2:10" x14ac:dyDescent="0.25">
      <c r="B4" s="104"/>
      <c r="C4" s="100"/>
      <c r="D4" s="100"/>
      <c r="E4" s="100"/>
      <c r="F4" s="100"/>
      <c r="G4" s="100"/>
      <c r="H4" s="100"/>
      <c r="I4" s="100"/>
      <c r="J4" s="106"/>
    </row>
    <row r="5" spans="2:10" x14ac:dyDescent="0.25">
      <c r="B5" s="104"/>
      <c r="C5" s="100"/>
      <c r="D5" s="100"/>
      <c r="E5" s="100"/>
      <c r="F5" s="100"/>
      <c r="G5" s="100"/>
      <c r="H5" s="100"/>
      <c r="I5" s="100"/>
      <c r="J5" s="106"/>
    </row>
    <row r="6" spans="2:10" x14ac:dyDescent="0.25">
      <c r="B6" s="104"/>
      <c r="C6" s="100"/>
      <c r="D6" s="100"/>
      <c r="E6" s="100"/>
      <c r="F6" s="100"/>
      <c r="G6" s="100"/>
      <c r="H6" s="100"/>
      <c r="I6" s="100"/>
      <c r="J6" s="106"/>
    </row>
    <row r="7" spans="2:10" x14ac:dyDescent="0.25">
      <c r="B7" s="104"/>
      <c r="C7" s="100"/>
      <c r="D7" s="100"/>
      <c r="E7" s="100"/>
      <c r="F7" s="100"/>
      <c r="G7" s="100"/>
      <c r="H7" s="100"/>
      <c r="I7" s="100"/>
      <c r="J7" s="106"/>
    </row>
    <row r="8" spans="2:10" x14ac:dyDescent="0.25">
      <c r="B8" s="104"/>
      <c r="C8" s="100"/>
      <c r="D8" s="100"/>
      <c r="E8" s="100"/>
      <c r="F8" s="100"/>
      <c r="G8" s="100"/>
      <c r="H8" s="100"/>
      <c r="I8" s="100"/>
      <c r="J8" s="106"/>
    </row>
    <row r="9" spans="2:10" x14ac:dyDescent="0.25">
      <c r="B9" s="104"/>
      <c r="C9" s="100"/>
      <c r="D9" s="100"/>
      <c r="E9" s="100"/>
      <c r="F9" s="100"/>
      <c r="G9" s="100"/>
      <c r="H9" s="100"/>
      <c r="I9" s="100"/>
      <c r="J9" s="106"/>
    </row>
    <row r="10" spans="2:10" x14ac:dyDescent="0.25">
      <c r="B10" s="104"/>
      <c r="C10" s="100"/>
      <c r="D10" s="100"/>
      <c r="E10" s="100"/>
      <c r="F10" s="100"/>
      <c r="G10" s="100"/>
      <c r="H10" s="100"/>
      <c r="I10" s="100"/>
      <c r="J10" s="106"/>
    </row>
    <row r="11" spans="2:10" x14ac:dyDescent="0.25">
      <c r="B11" s="104"/>
      <c r="C11" s="100"/>
      <c r="D11" s="100"/>
      <c r="E11" s="100"/>
      <c r="F11" s="100"/>
      <c r="G11" s="100"/>
      <c r="H11" s="100"/>
      <c r="I11" s="100"/>
      <c r="J11" s="106"/>
    </row>
    <row r="12" spans="2:10" x14ac:dyDescent="0.25">
      <c r="B12" s="104"/>
      <c r="C12" s="100"/>
      <c r="D12" s="100"/>
      <c r="E12" s="100"/>
      <c r="F12" s="100"/>
      <c r="G12" s="100"/>
      <c r="H12" s="100"/>
      <c r="I12" s="100"/>
      <c r="J12" s="106"/>
    </row>
    <row r="13" spans="2:10" x14ac:dyDescent="0.25">
      <c r="B13" s="104"/>
      <c r="C13" s="100"/>
      <c r="D13" s="100"/>
      <c r="E13" s="100"/>
      <c r="F13" s="100"/>
      <c r="G13" s="100"/>
      <c r="H13" s="100"/>
      <c r="I13" s="100"/>
      <c r="J13" s="106"/>
    </row>
    <row r="14" spans="2:10" x14ac:dyDescent="0.25">
      <c r="B14" s="104"/>
      <c r="C14" s="100"/>
      <c r="D14" s="100"/>
      <c r="E14" s="100"/>
      <c r="F14" s="100"/>
      <c r="G14" s="100"/>
      <c r="H14" s="100"/>
      <c r="I14" s="100"/>
      <c r="J14" s="106"/>
    </row>
    <row r="15" spans="2:10" x14ac:dyDescent="0.25">
      <c r="B15" s="104"/>
      <c r="C15" s="100"/>
      <c r="D15" s="100"/>
      <c r="E15" s="100"/>
      <c r="F15" s="100"/>
      <c r="G15" s="100"/>
      <c r="H15" s="100"/>
      <c r="I15" s="100"/>
      <c r="J15" s="106"/>
    </row>
    <row r="16" spans="2:10" x14ac:dyDescent="0.25">
      <c r="B16" s="104"/>
      <c r="C16" s="100"/>
      <c r="D16" s="100"/>
      <c r="E16" s="100"/>
      <c r="F16" s="100"/>
      <c r="G16" s="100"/>
      <c r="H16" s="100"/>
      <c r="I16" s="100"/>
      <c r="J16" s="106"/>
    </row>
    <row r="17" spans="2:10" x14ac:dyDescent="0.25">
      <c r="B17" s="104"/>
      <c r="C17" s="100"/>
      <c r="D17" s="100"/>
      <c r="E17" s="100"/>
      <c r="F17" s="100"/>
      <c r="G17" s="100"/>
      <c r="H17" s="100"/>
      <c r="I17" s="100"/>
      <c r="J17" s="106"/>
    </row>
    <row r="18" spans="2:10" x14ac:dyDescent="0.25">
      <c r="B18" s="104"/>
      <c r="C18" s="100"/>
      <c r="D18" s="100"/>
      <c r="E18" s="100"/>
      <c r="F18" s="100"/>
      <c r="G18" s="100"/>
      <c r="H18" s="100"/>
      <c r="I18" s="100"/>
      <c r="J18" s="106"/>
    </row>
    <row r="19" spans="2:10" x14ac:dyDescent="0.25">
      <c r="B19" s="104"/>
      <c r="C19" s="100"/>
      <c r="D19" s="100"/>
      <c r="E19" s="100"/>
      <c r="F19" s="100"/>
      <c r="G19" s="100"/>
      <c r="H19" s="100"/>
      <c r="I19" s="100"/>
      <c r="J19" s="106"/>
    </row>
    <row r="20" spans="2:10" x14ac:dyDescent="0.25">
      <c r="B20" s="104"/>
      <c r="C20" s="100"/>
      <c r="D20" s="100"/>
      <c r="E20" s="100"/>
      <c r="F20" s="100"/>
      <c r="G20" s="100"/>
      <c r="H20" s="100"/>
      <c r="I20" s="100"/>
      <c r="J20" s="106"/>
    </row>
    <row r="21" spans="2:10" x14ac:dyDescent="0.25">
      <c r="B21" s="104"/>
      <c r="C21" s="100"/>
      <c r="D21" s="100"/>
      <c r="E21" s="100"/>
      <c r="F21" s="100"/>
      <c r="G21" s="100"/>
      <c r="H21" s="100"/>
      <c r="I21" s="100"/>
      <c r="J21" s="106"/>
    </row>
    <row r="22" spans="2:10" x14ac:dyDescent="0.25">
      <c r="B22" s="104"/>
      <c r="C22" s="100"/>
      <c r="D22" s="100"/>
      <c r="E22" s="100"/>
      <c r="F22" s="100"/>
      <c r="G22" s="100"/>
      <c r="H22" s="100"/>
      <c r="I22" s="100"/>
      <c r="J22" s="106"/>
    </row>
    <row r="23" spans="2:10" x14ac:dyDescent="0.25">
      <c r="B23" s="104"/>
      <c r="C23" s="100"/>
      <c r="D23" s="100"/>
      <c r="E23" s="100"/>
      <c r="F23" s="100"/>
      <c r="G23" s="100"/>
      <c r="H23" s="100"/>
      <c r="I23" s="100"/>
      <c r="J23" s="106"/>
    </row>
    <row r="24" spans="2:10" ht="6.75" customHeight="1" x14ac:dyDescent="0.25">
      <c r="B24" s="105"/>
      <c r="C24" s="108"/>
      <c r="D24" s="108"/>
      <c r="E24" s="108"/>
      <c r="F24" s="108"/>
      <c r="G24" s="108"/>
      <c r="H24" s="108"/>
      <c r="I24" s="108"/>
      <c r="J24" s="107"/>
    </row>
    <row r="25" spans="2:10" x14ac:dyDescent="0.25">
      <c r="B25" s="1"/>
      <c r="C25" s="1"/>
      <c r="D25" s="1"/>
      <c r="E25" s="1"/>
      <c r="F25" s="1"/>
      <c r="G25" s="1"/>
      <c r="H25" s="1"/>
      <c r="I25" s="1"/>
    </row>
    <row r="26" spans="2:10" x14ac:dyDescent="0.25">
      <c r="B26" s="99" t="s">
        <v>40</v>
      </c>
      <c r="C26" s="99"/>
      <c r="D26" s="99"/>
      <c r="E26" s="99"/>
      <c r="F26" s="99"/>
      <c r="G26" s="99"/>
      <c r="H26" s="99"/>
      <c r="I26" s="99"/>
      <c r="J26" s="99"/>
    </row>
    <row r="27" spans="2:10" ht="6.75" customHeight="1" x14ac:dyDescent="0.25">
      <c r="B27" s="101"/>
      <c r="C27" s="102"/>
      <c r="D27" s="102"/>
      <c r="E27" s="102"/>
      <c r="F27" s="102"/>
      <c r="G27" s="102"/>
      <c r="H27" s="102"/>
      <c r="I27" s="102"/>
      <c r="J27" s="103"/>
    </row>
    <row r="28" spans="2:10" x14ac:dyDescent="0.25">
      <c r="B28" s="104"/>
      <c r="C28" s="100"/>
      <c r="D28" s="100"/>
      <c r="E28" s="100"/>
      <c r="F28" s="100"/>
      <c r="G28" s="100"/>
      <c r="H28" s="100"/>
      <c r="I28" s="100"/>
      <c r="J28" s="106"/>
    </row>
    <row r="29" spans="2:10" x14ac:dyDescent="0.25">
      <c r="B29" s="104"/>
      <c r="C29" s="100"/>
      <c r="D29" s="100"/>
      <c r="E29" s="100"/>
      <c r="F29" s="100"/>
      <c r="G29" s="100"/>
      <c r="H29" s="100"/>
      <c r="I29" s="100"/>
      <c r="J29" s="106"/>
    </row>
    <row r="30" spans="2:10" x14ac:dyDescent="0.25">
      <c r="B30" s="104"/>
      <c r="C30" s="100"/>
      <c r="D30" s="100"/>
      <c r="E30" s="100"/>
      <c r="F30" s="100"/>
      <c r="G30" s="100"/>
      <c r="H30" s="100"/>
      <c r="I30" s="100"/>
      <c r="J30" s="106"/>
    </row>
    <row r="31" spans="2:10" x14ac:dyDescent="0.25">
      <c r="B31" s="104"/>
      <c r="C31" s="100"/>
      <c r="D31" s="100"/>
      <c r="E31" s="100"/>
      <c r="F31" s="100"/>
      <c r="G31" s="100"/>
      <c r="H31" s="100"/>
      <c r="I31" s="100"/>
      <c r="J31" s="106"/>
    </row>
    <row r="32" spans="2:10" x14ac:dyDescent="0.25">
      <c r="B32" s="104"/>
      <c r="C32" s="100"/>
      <c r="D32" s="100"/>
      <c r="E32" s="100"/>
      <c r="F32" s="100"/>
      <c r="G32" s="100"/>
      <c r="H32" s="100"/>
      <c r="I32" s="100"/>
      <c r="J32" s="106"/>
    </row>
    <row r="33" spans="2:10" x14ac:dyDescent="0.25">
      <c r="B33" s="104"/>
      <c r="C33" s="100"/>
      <c r="D33" s="100"/>
      <c r="E33" s="100"/>
      <c r="F33" s="100"/>
      <c r="G33" s="100"/>
      <c r="H33" s="100"/>
      <c r="I33" s="100"/>
      <c r="J33" s="106"/>
    </row>
    <row r="34" spans="2:10" x14ac:dyDescent="0.25">
      <c r="B34" s="104"/>
      <c r="C34" s="100"/>
      <c r="D34" s="100"/>
      <c r="E34" s="100"/>
      <c r="F34" s="100"/>
      <c r="G34" s="100"/>
      <c r="H34" s="100"/>
      <c r="I34" s="100"/>
      <c r="J34" s="106"/>
    </row>
    <row r="35" spans="2:10" x14ac:dyDescent="0.25">
      <c r="B35" s="104"/>
      <c r="C35" s="100"/>
      <c r="D35" s="100"/>
      <c r="E35" s="100"/>
      <c r="F35" s="100"/>
      <c r="G35" s="100"/>
      <c r="H35" s="100"/>
      <c r="I35" s="100"/>
      <c r="J35" s="106"/>
    </row>
    <row r="36" spans="2:10" x14ac:dyDescent="0.25">
      <c r="B36" s="104"/>
      <c r="C36" s="100"/>
      <c r="D36" s="100"/>
      <c r="E36" s="100"/>
      <c r="F36" s="100"/>
      <c r="G36" s="100"/>
      <c r="H36" s="100"/>
      <c r="I36" s="100"/>
      <c r="J36" s="106"/>
    </row>
    <row r="37" spans="2:10" x14ac:dyDescent="0.25">
      <c r="B37" s="104"/>
      <c r="C37" s="100"/>
      <c r="D37" s="100"/>
      <c r="E37" s="100"/>
      <c r="F37" s="100"/>
      <c r="G37" s="100"/>
      <c r="H37" s="100"/>
      <c r="I37" s="100"/>
      <c r="J37" s="106"/>
    </row>
    <row r="38" spans="2:10" x14ac:dyDescent="0.25">
      <c r="B38" s="104"/>
      <c r="C38" s="100"/>
      <c r="D38" s="100"/>
      <c r="E38" s="100"/>
      <c r="F38" s="100"/>
      <c r="G38" s="100"/>
      <c r="H38" s="100"/>
      <c r="I38" s="100"/>
      <c r="J38" s="106"/>
    </row>
    <row r="39" spans="2:10" x14ac:dyDescent="0.25">
      <c r="B39" s="104"/>
      <c r="C39" s="100"/>
      <c r="D39" s="100"/>
      <c r="E39" s="100"/>
      <c r="F39" s="100"/>
      <c r="G39" s="100"/>
      <c r="H39" s="100"/>
      <c r="I39" s="100"/>
      <c r="J39" s="106"/>
    </row>
    <row r="40" spans="2:10" x14ac:dyDescent="0.25">
      <c r="B40" s="104"/>
      <c r="C40" s="100"/>
      <c r="D40" s="100"/>
      <c r="E40" s="100"/>
      <c r="F40" s="100"/>
      <c r="G40" s="100"/>
      <c r="H40" s="100"/>
      <c r="I40" s="100"/>
      <c r="J40" s="106"/>
    </row>
    <row r="41" spans="2:10" x14ac:dyDescent="0.25">
      <c r="B41" s="104"/>
      <c r="C41" s="100"/>
      <c r="D41" s="100"/>
      <c r="E41" s="100"/>
      <c r="F41" s="100"/>
      <c r="G41" s="100"/>
      <c r="H41" s="100"/>
      <c r="I41" s="100"/>
      <c r="J41" s="106"/>
    </row>
    <row r="42" spans="2:10" x14ac:dyDescent="0.25">
      <c r="B42" s="104"/>
      <c r="C42" s="100"/>
      <c r="D42" s="100"/>
      <c r="E42" s="100"/>
      <c r="F42" s="100"/>
      <c r="G42" s="100"/>
      <c r="H42" s="100"/>
      <c r="I42" s="100"/>
      <c r="J42" s="106"/>
    </row>
    <row r="43" spans="2:10" x14ac:dyDescent="0.25">
      <c r="B43" s="104"/>
      <c r="C43" s="100"/>
      <c r="D43" s="100"/>
      <c r="E43" s="100"/>
      <c r="F43" s="100"/>
      <c r="G43" s="100"/>
      <c r="H43" s="100"/>
      <c r="I43" s="100"/>
      <c r="J43" s="106"/>
    </row>
    <row r="44" spans="2:10" x14ac:dyDescent="0.25">
      <c r="B44" s="104"/>
      <c r="C44" s="100"/>
      <c r="D44" s="100"/>
      <c r="E44" s="100"/>
      <c r="F44" s="100"/>
      <c r="G44" s="100"/>
      <c r="H44" s="100"/>
      <c r="I44" s="100"/>
      <c r="J44" s="106"/>
    </row>
    <row r="45" spans="2:10" x14ac:dyDescent="0.25">
      <c r="B45" s="104"/>
      <c r="C45" s="100"/>
      <c r="D45" s="100"/>
      <c r="E45" s="100"/>
      <c r="F45" s="100"/>
      <c r="G45" s="100"/>
      <c r="H45" s="100"/>
      <c r="I45" s="100"/>
      <c r="J45" s="106"/>
    </row>
    <row r="46" spans="2:10" x14ac:dyDescent="0.25">
      <c r="B46" s="104"/>
      <c r="C46" s="100"/>
      <c r="D46" s="100"/>
      <c r="E46" s="100"/>
      <c r="F46" s="100"/>
      <c r="G46" s="100"/>
      <c r="H46" s="100"/>
      <c r="I46" s="100"/>
      <c r="J46" s="106"/>
    </row>
    <row r="47" spans="2:10" ht="6.75" customHeight="1" x14ac:dyDescent="0.25">
      <c r="B47" s="105"/>
      <c r="C47" s="108"/>
      <c r="D47" s="108"/>
      <c r="E47" s="108"/>
      <c r="F47" s="108"/>
      <c r="G47" s="108"/>
      <c r="H47" s="108"/>
      <c r="I47" s="108"/>
      <c r="J47" s="107"/>
    </row>
  </sheetData>
  <mergeCells count="12">
    <mergeCell ref="B26:J26"/>
    <mergeCell ref="B27:J27"/>
    <mergeCell ref="B28:B47"/>
    <mergeCell ref="C28:I46"/>
    <mergeCell ref="J28:J47"/>
    <mergeCell ref="C47:I47"/>
    <mergeCell ref="B2:J2"/>
    <mergeCell ref="C4:I23"/>
    <mergeCell ref="B3:J3"/>
    <mergeCell ref="B4:B24"/>
    <mergeCell ref="J4:J24"/>
    <mergeCell ref="C24:I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tabSelected="1" view="pageBreakPreview" zoomScale="80" zoomScaleSheetLayoutView="80" zoomScalePageLayoutView="110" workbookViewId="0">
      <selection activeCell="A2" sqref="A2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6"/>
      <c r="B2" s="327"/>
      <c r="C2" s="328"/>
      <c r="D2" s="329"/>
      <c r="E2" s="330" t="s">
        <v>123</v>
      </c>
      <c r="F2" s="331"/>
      <c r="G2" s="331"/>
      <c r="H2" s="331"/>
      <c r="I2" s="331"/>
      <c r="J2" s="331"/>
      <c r="K2" s="331"/>
      <c r="L2" s="331"/>
      <c r="M2" s="331"/>
      <c r="N2" s="331"/>
      <c r="O2" s="332"/>
      <c r="P2" s="333"/>
    </row>
    <row r="3" spans="1:26" s="2" customFormat="1" ht="24.75" customHeight="1" thickBot="1" x14ac:dyDescent="0.3">
      <c r="A3" s="326"/>
      <c r="B3" s="334"/>
      <c r="C3" s="335"/>
      <c r="D3" s="336"/>
      <c r="E3" s="337"/>
      <c r="F3" s="338"/>
      <c r="G3" s="338"/>
      <c r="H3" s="338"/>
      <c r="I3" s="338"/>
      <c r="J3" s="338"/>
      <c r="K3" s="338"/>
      <c r="L3" s="338"/>
      <c r="M3" s="338"/>
      <c r="N3" s="338"/>
      <c r="O3" s="339"/>
      <c r="P3" s="340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43039</v>
      </c>
      <c r="D5" s="298"/>
      <c r="E5" s="22" t="s">
        <v>55</v>
      </c>
      <c r="F5" s="23">
        <v>1</v>
      </c>
      <c r="G5" s="24" t="s">
        <v>1</v>
      </c>
      <c r="H5" s="299" t="s">
        <v>124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2</v>
      </c>
      <c r="C6" s="281"/>
      <c r="D6" s="282" t="s">
        <v>56</v>
      </c>
      <c r="E6" s="283"/>
      <c r="F6" s="283"/>
      <c r="G6" s="283"/>
      <c r="H6" s="283"/>
      <c r="I6" s="284"/>
      <c r="J6" s="28" t="s">
        <v>3</v>
      </c>
      <c r="K6" s="285" t="s">
        <v>57</v>
      </c>
      <c r="L6" s="284"/>
      <c r="M6" s="285" t="s">
        <v>58</v>
      </c>
      <c r="N6" s="286"/>
      <c r="O6" s="29" t="s">
        <v>59</v>
      </c>
      <c r="P6" s="30">
        <v>2101</v>
      </c>
    </row>
    <row r="7" spans="1:26" s="26" customFormat="1" ht="21.75" customHeight="1" x14ac:dyDescent="0.25">
      <c r="B7" s="287" t="s">
        <v>60</v>
      </c>
      <c r="C7" s="288" t="s">
        <v>61</v>
      </c>
      <c r="D7" s="258"/>
      <c r="E7" s="32"/>
      <c r="F7" s="289" t="s">
        <v>62</v>
      </c>
      <c r="G7" s="290"/>
      <c r="H7" s="290"/>
      <c r="I7" s="290"/>
      <c r="J7" s="291" t="s">
        <v>63</v>
      </c>
      <c r="K7" s="292"/>
      <c r="L7" s="292"/>
      <c r="M7" s="293"/>
      <c r="N7" s="294" t="s">
        <v>64</v>
      </c>
      <c r="O7" s="295"/>
      <c r="P7" s="33" t="s">
        <v>65</v>
      </c>
    </row>
    <row r="8" spans="1:26" s="26" customFormat="1" ht="21.75" customHeight="1" thickBot="1" x14ac:dyDescent="0.3">
      <c r="B8" s="232"/>
      <c r="C8" s="249" t="s">
        <v>66</v>
      </c>
      <c r="D8" s="248"/>
      <c r="E8" s="34" t="s">
        <v>4</v>
      </c>
      <c r="F8" s="259" t="s">
        <v>5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6</v>
      </c>
      <c r="C9" s="269" t="s">
        <v>67</v>
      </c>
      <c r="D9" s="270" t="s">
        <v>68</v>
      </c>
      <c r="E9" s="255"/>
      <c r="F9" s="36"/>
      <c r="G9" s="271" t="s">
        <v>7</v>
      </c>
      <c r="H9" s="272" t="s">
        <v>8</v>
      </c>
      <c r="I9" s="258"/>
      <c r="J9" s="37"/>
      <c r="K9" s="269" t="s">
        <v>69</v>
      </c>
      <c r="L9" s="273" t="s">
        <v>70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71</v>
      </c>
      <c r="E10" s="248"/>
      <c r="F10" s="38" t="s">
        <v>4</v>
      </c>
      <c r="G10" s="212"/>
      <c r="H10" s="253" t="s">
        <v>9</v>
      </c>
      <c r="I10" s="248"/>
      <c r="J10" s="39" t="s">
        <v>4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10</v>
      </c>
      <c r="D11" s="255"/>
      <c r="E11" s="40">
        <v>0.55625000000000002</v>
      </c>
      <c r="F11" s="256" t="s">
        <v>11</v>
      </c>
      <c r="G11" s="255"/>
      <c r="H11" s="41">
        <v>1.06</v>
      </c>
      <c r="I11" s="257" t="s">
        <v>12</v>
      </c>
      <c r="J11" s="258"/>
      <c r="K11" s="42">
        <v>11</v>
      </c>
      <c r="L11" s="254" t="s">
        <v>13</v>
      </c>
      <c r="M11" s="255"/>
      <c r="N11" s="43">
        <v>5.4</v>
      </c>
      <c r="O11" s="245" t="s">
        <v>72</v>
      </c>
      <c r="P11" s="246"/>
    </row>
    <row r="12" spans="1:26" s="26" customFormat="1" ht="21.75" customHeight="1" thickBot="1" x14ac:dyDescent="0.3">
      <c r="A12" s="20"/>
      <c r="B12" s="268"/>
      <c r="C12" s="247" t="s">
        <v>14</v>
      </c>
      <c r="D12" s="248"/>
      <c r="E12" s="40">
        <v>0.65138888888888891</v>
      </c>
      <c r="F12" s="249" t="s">
        <v>15</v>
      </c>
      <c r="G12" s="248"/>
      <c r="H12" s="41">
        <v>1.05</v>
      </c>
      <c r="I12" s="250" t="s">
        <v>16</v>
      </c>
      <c r="J12" s="248"/>
      <c r="K12" s="40">
        <v>0.57777777777777783</v>
      </c>
      <c r="L12" s="247" t="s">
        <v>17</v>
      </c>
      <c r="M12" s="248"/>
      <c r="N12" s="44">
        <v>0.4</v>
      </c>
      <c r="O12" s="251">
        <v>1.1000000000000001</v>
      </c>
      <c r="P12" s="252"/>
    </row>
    <row r="13" spans="1:26" s="26" customFormat="1" ht="21.75" customHeight="1" x14ac:dyDescent="0.25">
      <c r="A13" s="20"/>
      <c r="B13" s="230" t="s">
        <v>18</v>
      </c>
      <c r="C13" s="233" t="s">
        <v>73</v>
      </c>
      <c r="D13" s="234"/>
      <c r="E13" s="234"/>
      <c r="F13" s="235" t="s">
        <v>74</v>
      </c>
      <c r="G13" s="234"/>
      <c r="H13" s="234"/>
      <c r="I13" s="234"/>
      <c r="J13" s="235" t="s">
        <v>75</v>
      </c>
      <c r="K13" s="234"/>
      <c r="L13" s="234"/>
      <c r="M13" s="234"/>
      <c r="N13" s="236" t="s">
        <v>76</v>
      </c>
      <c r="O13" s="234"/>
      <c r="P13" s="237"/>
      <c r="Q13" s="45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77</v>
      </c>
      <c r="D14" s="239"/>
      <c r="E14" s="239"/>
      <c r="F14" s="240" t="s">
        <v>78</v>
      </c>
      <c r="G14" s="239"/>
      <c r="H14" s="239"/>
      <c r="I14" s="239"/>
      <c r="J14" s="241" t="s">
        <v>79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80</v>
      </c>
      <c r="D15" s="214"/>
      <c r="E15" s="214"/>
      <c r="F15" s="214" t="s">
        <v>81</v>
      </c>
      <c r="G15" s="215"/>
      <c r="H15" s="215"/>
      <c r="I15" s="215"/>
      <c r="J15" s="214" t="s">
        <v>82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19</v>
      </c>
      <c r="C16" s="221" t="s">
        <v>20</v>
      </c>
      <c r="D16" s="221" t="s">
        <v>41</v>
      </c>
      <c r="E16" s="223" t="s">
        <v>21</v>
      </c>
      <c r="F16" s="224" t="s">
        <v>42</v>
      </c>
      <c r="G16" s="225"/>
      <c r="H16" s="221" t="s">
        <v>83</v>
      </c>
      <c r="I16" s="228" t="s">
        <v>84</v>
      </c>
      <c r="J16" s="46" t="s">
        <v>43</v>
      </c>
      <c r="K16" s="47"/>
      <c r="L16" s="48" t="s">
        <v>44</v>
      </c>
      <c r="M16" s="48" t="s">
        <v>45</v>
      </c>
      <c r="N16" s="48" t="s">
        <v>45</v>
      </c>
      <c r="O16" s="48" t="s">
        <v>46</v>
      </c>
      <c r="P16" s="49" t="s">
        <v>22</v>
      </c>
    </row>
    <row r="17" spans="1:26" s="26" customFormat="1" ht="21.75" customHeight="1" thickBot="1" x14ac:dyDescent="0.3">
      <c r="A17" s="50"/>
      <c r="B17" s="220"/>
      <c r="C17" s="222"/>
      <c r="D17" s="222"/>
      <c r="E17" s="222"/>
      <c r="F17" s="226"/>
      <c r="G17" s="227"/>
      <c r="H17" s="222"/>
      <c r="I17" s="229"/>
      <c r="J17" s="51" t="s">
        <v>23</v>
      </c>
      <c r="K17" s="52" t="s">
        <v>24</v>
      </c>
      <c r="L17" s="52" t="s">
        <v>47</v>
      </c>
      <c r="M17" s="52" t="s">
        <v>48</v>
      </c>
      <c r="N17" s="52" t="s">
        <v>25</v>
      </c>
      <c r="O17" s="52" t="s">
        <v>26</v>
      </c>
      <c r="P17" s="53" t="s">
        <v>27</v>
      </c>
    </row>
    <row r="18" spans="1:26" s="64" customFormat="1" ht="21.75" customHeight="1" thickBot="1" x14ac:dyDescent="0.3">
      <c r="A18" s="54"/>
      <c r="B18" s="55"/>
      <c r="C18" s="56">
        <f>+O12</f>
        <v>1.1000000000000001</v>
      </c>
      <c r="D18" s="56">
        <v>0.14000000000000001</v>
      </c>
      <c r="E18" s="57"/>
      <c r="F18" s="58"/>
      <c r="G18" s="59"/>
      <c r="H18" s="60"/>
      <c r="I18" s="61"/>
      <c r="J18" s="62"/>
      <c r="K18" s="57"/>
      <c r="L18" s="57"/>
      <c r="M18" s="57"/>
      <c r="N18" s="57"/>
      <c r="O18" s="57"/>
      <c r="P18" s="63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s="64" customFormat="1" ht="13.5" customHeight="1" x14ac:dyDescent="0.25">
      <c r="A19" s="54"/>
      <c r="B19" s="210">
        <v>1</v>
      </c>
      <c r="C19" s="213">
        <f>+C18+$N$12</f>
        <v>1.5</v>
      </c>
      <c r="D19" s="190">
        <v>0.31</v>
      </c>
      <c r="E19" s="190">
        <v>0.25900000000000001</v>
      </c>
      <c r="F19" s="65" t="s">
        <v>85</v>
      </c>
      <c r="G19" s="66">
        <v>0</v>
      </c>
      <c r="H19" s="67"/>
      <c r="I19" s="68"/>
      <c r="J19" s="69">
        <v>1.6E-2</v>
      </c>
      <c r="K19" s="190">
        <f>+IF(E19&lt;=0.12,(J21),(IF(E19&lt;0.16,((J20+2*J21+J22)/4),IF(E19&gt;=0.16,((J19+3*J20+2*J21+3*J22+J23)/10)))))</f>
        <v>1.1400000000000002E-2</v>
      </c>
      <c r="L19" s="190">
        <f>ROUND(+(D18+D19)/2*(C19-C18),3)</f>
        <v>0.09</v>
      </c>
      <c r="M19" s="190">
        <f>ROUND(+K19*L19,4)</f>
        <v>1E-3</v>
      </c>
      <c r="N19" s="193">
        <f>ROUND(+M19/$M$103*100,2)</f>
        <v>0.16</v>
      </c>
      <c r="O19" s="194"/>
      <c r="P19" s="195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s="64" customFormat="1" ht="13.5" customHeight="1" x14ac:dyDescent="0.25">
      <c r="A20" s="54"/>
      <c r="B20" s="211"/>
      <c r="C20" s="191"/>
      <c r="D20" s="191"/>
      <c r="E20" s="191"/>
      <c r="F20" s="70" t="s">
        <v>86</v>
      </c>
      <c r="G20" s="71">
        <f>IF(E19&lt;0.125,"NA",IF(0.125&lt;=E19,(0.2*E19)))</f>
        <v>5.1800000000000006E-2</v>
      </c>
      <c r="H20" s="72"/>
      <c r="I20" s="73"/>
      <c r="J20" s="74">
        <v>8.0000000000000002E-3</v>
      </c>
      <c r="K20" s="191"/>
      <c r="L20" s="191"/>
      <c r="M20" s="191"/>
      <c r="N20" s="191"/>
      <c r="O20" s="191"/>
      <c r="P20" s="196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s="64" customFormat="1" ht="13.5" customHeight="1" x14ac:dyDescent="0.25">
      <c r="A21" s="54"/>
      <c r="B21" s="211"/>
      <c r="C21" s="191"/>
      <c r="D21" s="191"/>
      <c r="E21" s="191"/>
      <c r="F21" s="70" t="s">
        <v>87</v>
      </c>
      <c r="G21" s="71">
        <f>+E19*0.4</f>
        <v>0.10360000000000001</v>
      </c>
      <c r="H21" s="72"/>
      <c r="I21" s="73"/>
      <c r="J21" s="74">
        <v>1.4E-2</v>
      </c>
      <c r="K21" s="191"/>
      <c r="L21" s="191"/>
      <c r="M21" s="191"/>
      <c r="N21" s="191"/>
      <c r="O21" s="191"/>
      <c r="P21" s="196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s="64" customFormat="1" ht="13.5" customHeight="1" x14ac:dyDescent="0.25">
      <c r="A22" s="54"/>
      <c r="B22" s="211"/>
      <c r="C22" s="191"/>
      <c r="D22" s="191"/>
      <c r="E22" s="191"/>
      <c r="F22" s="70" t="s">
        <v>88</v>
      </c>
      <c r="G22" s="71">
        <f>IF(E19&lt;0.125,"NA",IF(0.125&lt;=E19,(0.8*E19)))</f>
        <v>0.20720000000000002</v>
      </c>
      <c r="H22" s="72"/>
      <c r="I22" s="73"/>
      <c r="J22" s="74">
        <v>1.4E-2</v>
      </c>
      <c r="K22" s="191"/>
      <c r="L22" s="191"/>
      <c r="M22" s="191"/>
      <c r="N22" s="191"/>
      <c r="O22" s="191"/>
      <c r="P22" s="196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s="64" customFormat="1" ht="13.5" customHeight="1" thickBot="1" x14ac:dyDescent="0.3">
      <c r="A23" s="54"/>
      <c r="B23" s="212"/>
      <c r="C23" s="192"/>
      <c r="D23" s="192"/>
      <c r="E23" s="192"/>
      <c r="F23" s="75" t="s">
        <v>89</v>
      </c>
      <c r="G23" s="76">
        <f>+E19</f>
        <v>0.25900000000000001</v>
      </c>
      <c r="H23" s="77"/>
      <c r="I23" s="78"/>
      <c r="J23" s="79">
        <v>4.0000000000000001E-3</v>
      </c>
      <c r="K23" s="192"/>
      <c r="L23" s="192"/>
      <c r="M23" s="192"/>
      <c r="N23" s="192"/>
      <c r="O23" s="192"/>
      <c r="P23" s="197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s="64" customFormat="1" ht="13.5" customHeight="1" x14ac:dyDescent="0.25">
      <c r="A24" s="54"/>
      <c r="B24" s="210">
        <v>2</v>
      </c>
      <c r="C24" s="213">
        <f>+C19+$N$12</f>
        <v>1.9</v>
      </c>
      <c r="D24" s="190">
        <v>0.40100000000000002</v>
      </c>
      <c r="E24" s="190">
        <v>0.41799999999999998</v>
      </c>
      <c r="F24" s="65" t="s">
        <v>85</v>
      </c>
      <c r="G24" s="66">
        <v>0</v>
      </c>
      <c r="H24" s="67"/>
      <c r="I24" s="68"/>
      <c r="J24" s="69">
        <v>6.9000000000000006E-2</v>
      </c>
      <c r="K24" s="190">
        <f>+IF(E24&lt;=0.12,(J26),(IF(E24&lt;0.16,((J25+2*J26+J27)/4),IF(E24&gt;=0.16,((J24+3*J25+2*J26+3*J27+J28)/10)))))</f>
        <v>0.1341</v>
      </c>
      <c r="L24" s="190">
        <f>ROUND(+(D19+D24)/2*(C24-C19),3)</f>
        <v>0.14199999999999999</v>
      </c>
      <c r="M24" s="190">
        <f>ROUND(+K24*L24,4)</f>
        <v>1.9E-2</v>
      </c>
      <c r="N24" s="193">
        <f>ROUND(+M24/$M$103*100,2)</f>
        <v>3.12</v>
      </c>
      <c r="O24" s="194"/>
      <c r="P24" s="195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s="64" customFormat="1" ht="13.5" customHeight="1" x14ac:dyDescent="0.25">
      <c r="A25" s="54"/>
      <c r="B25" s="211"/>
      <c r="C25" s="191"/>
      <c r="D25" s="191"/>
      <c r="E25" s="191"/>
      <c r="F25" s="70" t="s">
        <v>86</v>
      </c>
      <c r="G25" s="71">
        <f t="shared" ref="G25" si="0">IF(E24&lt;0.125,"NA",IF(0.125&lt;=E24,(0.2*E24)))</f>
        <v>8.3600000000000008E-2</v>
      </c>
      <c r="H25" s="72"/>
      <c r="I25" s="73"/>
      <c r="J25" s="74">
        <v>0.106</v>
      </c>
      <c r="K25" s="191"/>
      <c r="L25" s="191"/>
      <c r="M25" s="191"/>
      <c r="N25" s="191"/>
      <c r="O25" s="191"/>
      <c r="P25" s="196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s="64" customFormat="1" ht="13.5" customHeight="1" x14ac:dyDescent="0.25">
      <c r="A26" s="54"/>
      <c r="B26" s="211"/>
      <c r="C26" s="191"/>
      <c r="D26" s="191"/>
      <c r="E26" s="191"/>
      <c r="F26" s="70" t="s">
        <v>87</v>
      </c>
      <c r="G26" s="71">
        <f t="shared" ref="G26" si="1">+E24*0.4</f>
        <v>0.16720000000000002</v>
      </c>
      <c r="H26" s="72"/>
      <c r="I26" s="73"/>
      <c r="J26" s="74">
        <v>0.17599999999999999</v>
      </c>
      <c r="K26" s="191"/>
      <c r="L26" s="191"/>
      <c r="M26" s="191"/>
      <c r="N26" s="191"/>
      <c r="O26" s="191"/>
      <c r="P26" s="196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s="64" customFormat="1" ht="13.5" customHeight="1" x14ac:dyDescent="0.25">
      <c r="A27" s="54"/>
      <c r="B27" s="211"/>
      <c r="C27" s="191"/>
      <c r="D27" s="191"/>
      <c r="E27" s="191"/>
      <c r="F27" s="70" t="s">
        <v>88</v>
      </c>
      <c r="G27" s="71">
        <f t="shared" ref="G27" si="2">IF(E24&lt;0.125,"NA",IF(0.125&lt;=E24,(0.8*E24)))</f>
        <v>0.33440000000000003</v>
      </c>
      <c r="H27" s="72"/>
      <c r="I27" s="73"/>
      <c r="J27" s="74">
        <v>0.17100000000000001</v>
      </c>
      <c r="K27" s="191"/>
      <c r="L27" s="191"/>
      <c r="M27" s="191"/>
      <c r="N27" s="191"/>
      <c r="O27" s="191"/>
      <c r="P27" s="196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s="64" customFormat="1" ht="13.5" customHeight="1" thickBot="1" x14ac:dyDescent="0.3">
      <c r="A28" s="54"/>
      <c r="B28" s="212"/>
      <c r="C28" s="192"/>
      <c r="D28" s="192"/>
      <c r="E28" s="192"/>
      <c r="F28" s="75" t="s">
        <v>89</v>
      </c>
      <c r="G28" s="76">
        <f t="shared" ref="G28" si="3">+E24</f>
        <v>0.41799999999999998</v>
      </c>
      <c r="H28" s="77"/>
      <c r="I28" s="78"/>
      <c r="J28" s="79">
        <v>8.8999999999999996E-2</v>
      </c>
      <c r="K28" s="192"/>
      <c r="L28" s="192"/>
      <c r="M28" s="192"/>
      <c r="N28" s="192"/>
      <c r="O28" s="192"/>
      <c r="P28" s="197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s="64" customFormat="1" ht="13.5" customHeight="1" x14ac:dyDescent="0.25">
      <c r="A29" s="54"/>
      <c r="B29" s="210">
        <v>3</v>
      </c>
      <c r="C29" s="213">
        <f>+C24+$N$12</f>
        <v>2.2999999999999998</v>
      </c>
      <c r="D29" s="190">
        <v>0.34899999999999998</v>
      </c>
      <c r="E29" s="190">
        <v>0.36499999999999999</v>
      </c>
      <c r="F29" s="65" t="s">
        <v>85</v>
      </c>
      <c r="G29" s="66">
        <v>0</v>
      </c>
      <c r="H29" s="67"/>
      <c r="I29" s="68"/>
      <c r="J29" s="69">
        <v>8.4000000000000005E-2</v>
      </c>
      <c r="K29" s="190">
        <f t="shared" ref="K29" si="4">+IF(E29&lt;=0.12,(J31),(IF(E29&lt;0.16,((J30+2*J31+J32)/4),IF(E29&gt;=0.16,((J29+3*J30+2*J31+3*J32+J33)/10)))))</f>
        <v>0.19189999999999999</v>
      </c>
      <c r="L29" s="190">
        <f>ROUND(+(D24+D29)/2*(C29-C24),3)</f>
        <v>0.15</v>
      </c>
      <c r="M29" s="190">
        <f t="shared" ref="M29" si="5">ROUND(+K29*L29,4)</f>
        <v>2.8799999999999999E-2</v>
      </c>
      <c r="N29" s="193">
        <f t="shared" ref="N29" si="6">ROUND(+M29/$M$103*100,2)</f>
        <v>4.7300000000000004</v>
      </c>
      <c r="O29" s="194"/>
      <c r="P29" s="195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s="64" customFormat="1" ht="13.5" customHeight="1" x14ac:dyDescent="0.25">
      <c r="A30" s="54"/>
      <c r="B30" s="211"/>
      <c r="C30" s="191"/>
      <c r="D30" s="191"/>
      <c r="E30" s="191"/>
      <c r="F30" s="70" t="s">
        <v>86</v>
      </c>
      <c r="G30" s="71">
        <f t="shared" ref="G30" si="7">IF(E29&lt;0.125,"NA",IF(0.125&lt;=E29,(0.2*E29)))</f>
        <v>7.2999999999999995E-2</v>
      </c>
      <c r="H30" s="72"/>
      <c r="I30" s="73"/>
      <c r="J30" s="74">
        <v>0.17299999999999999</v>
      </c>
      <c r="K30" s="191"/>
      <c r="L30" s="191"/>
      <c r="M30" s="191"/>
      <c r="N30" s="191"/>
      <c r="O30" s="191"/>
      <c r="P30" s="196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s="64" customFormat="1" ht="13.5" customHeight="1" x14ac:dyDescent="0.25">
      <c r="A31" s="54"/>
      <c r="B31" s="211"/>
      <c r="C31" s="191"/>
      <c r="D31" s="191"/>
      <c r="E31" s="191"/>
      <c r="F31" s="70" t="s">
        <v>87</v>
      </c>
      <c r="G31" s="71">
        <f t="shared" ref="G31" si="8">+E29*0.4</f>
        <v>0.14599999999999999</v>
      </c>
      <c r="H31" s="72"/>
      <c r="I31" s="73"/>
      <c r="J31" s="74">
        <v>0.21199999999999999</v>
      </c>
      <c r="K31" s="191"/>
      <c r="L31" s="191"/>
      <c r="M31" s="191"/>
      <c r="N31" s="191"/>
      <c r="O31" s="191"/>
      <c r="P31" s="196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s="64" customFormat="1" ht="13.5" customHeight="1" x14ac:dyDescent="0.25">
      <c r="A32" s="54"/>
      <c r="B32" s="211"/>
      <c r="C32" s="191"/>
      <c r="D32" s="191"/>
      <c r="E32" s="191"/>
      <c r="F32" s="70" t="s">
        <v>88</v>
      </c>
      <c r="G32" s="71">
        <f t="shared" ref="G32" si="9">IF(E29&lt;0.125,"NA",IF(0.125&lt;=E29,(0.8*E29)))</f>
        <v>0.29199999999999998</v>
      </c>
      <c r="H32" s="72"/>
      <c r="I32" s="73"/>
      <c r="J32" s="74">
        <v>0.23799999999999999</v>
      </c>
      <c r="K32" s="191"/>
      <c r="L32" s="191"/>
      <c r="M32" s="191"/>
      <c r="N32" s="191"/>
      <c r="O32" s="191"/>
      <c r="P32" s="196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s="64" customFormat="1" ht="13.5" customHeight="1" thickBot="1" x14ac:dyDescent="0.3">
      <c r="A33" s="54"/>
      <c r="B33" s="212"/>
      <c r="C33" s="192"/>
      <c r="D33" s="192"/>
      <c r="E33" s="192"/>
      <c r="F33" s="75" t="s">
        <v>89</v>
      </c>
      <c r="G33" s="76">
        <f t="shared" ref="G33" si="10">+E29</f>
        <v>0.36499999999999999</v>
      </c>
      <c r="H33" s="77"/>
      <c r="I33" s="78"/>
      <c r="J33" s="79">
        <v>0.17799999999999999</v>
      </c>
      <c r="K33" s="192"/>
      <c r="L33" s="192"/>
      <c r="M33" s="192"/>
      <c r="N33" s="192"/>
      <c r="O33" s="192"/>
      <c r="P33" s="197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s="64" customFormat="1" ht="13.5" customHeight="1" x14ac:dyDescent="0.25">
      <c r="A34" s="54"/>
      <c r="B34" s="210">
        <v>4</v>
      </c>
      <c r="C34" s="213">
        <f>+C29+$N$12</f>
        <v>2.6999999999999997</v>
      </c>
      <c r="D34" s="190">
        <v>0.41</v>
      </c>
      <c r="E34" s="190">
        <v>0.40200000000000002</v>
      </c>
      <c r="F34" s="65" t="s">
        <v>85</v>
      </c>
      <c r="G34" s="66">
        <v>0</v>
      </c>
      <c r="H34" s="67"/>
      <c r="I34" s="68"/>
      <c r="J34" s="69">
        <v>0.14599999999999999</v>
      </c>
      <c r="K34" s="190">
        <f t="shared" ref="K34" si="11">+IF(E34&lt;=0.12,(J36),(IF(E34&lt;0.16,((J35+2*J36+J37)/4),IF(E34&gt;=0.16,((J34+3*J35+2*J36+3*J37+J38)/10)))))</f>
        <v>0.23090000000000002</v>
      </c>
      <c r="L34" s="190">
        <f>ROUND(+(D29+D34)/2*(C34-C29),3)</f>
        <v>0.152</v>
      </c>
      <c r="M34" s="190">
        <f t="shared" ref="M34" si="12">ROUND(+K34*L34,4)</f>
        <v>3.5099999999999999E-2</v>
      </c>
      <c r="N34" s="193">
        <f t="shared" ref="N34" si="13">ROUND(+M34/$M$103*100,2)</f>
        <v>5.76</v>
      </c>
      <c r="O34" s="194"/>
      <c r="P34" s="195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s="64" customFormat="1" ht="13.5" customHeight="1" x14ac:dyDescent="0.25">
      <c r="A35" s="54"/>
      <c r="B35" s="211"/>
      <c r="C35" s="191"/>
      <c r="D35" s="191"/>
      <c r="E35" s="191"/>
      <c r="F35" s="70" t="s">
        <v>86</v>
      </c>
      <c r="G35" s="71">
        <f t="shared" ref="G35" si="14">IF(E34&lt;0.125,"NA",IF(0.125&lt;=E34,(0.2*E34)))</f>
        <v>8.0400000000000013E-2</v>
      </c>
      <c r="H35" s="72"/>
      <c r="I35" s="73"/>
      <c r="J35" s="74">
        <v>0.22500000000000001</v>
      </c>
      <c r="K35" s="191"/>
      <c r="L35" s="191"/>
      <c r="M35" s="191"/>
      <c r="N35" s="191"/>
      <c r="O35" s="191"/>
      <c r="P35" s="196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s="64" customFormat="1" ht="13.5" customHeight="1" x14ac:dyDescent="0.25">
      <c r="A36" s="54"/>
      <c r="B36" s="211"/>
      <c r="C36" s="191"/>
      <c r="D36" s="191"/>
      <c r="E36" s="191"/>
      <c r="F36" s="70" t="s">
        <v>87</v>
      </c>
      <c r="G36" s="71">
        <f t="shared" ref="G36" si="15">+E34*0.4</f>
        <v>0.16080000000000003</v>
      </c>
      <c r="H36" s="72"/>
      <c r="I36" s="73"/>
      <c r="J36" s="74">
        <v>0.254</v>
      </c>
      <c r="K36" s="191"/>
      <c r="L36" s="191"/>
      <c r="M36" s="191"/>
      <c r="N36" s="191"/>
      <c r="O36" s="191"/>
      <c r="P36" s="196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s="64" customFormat="1" ht="13.5" customHeight="1" x14ac:dyDescent="0.25">
      <c r="A37" s="54"/>
      <c r="B37" s="211"/>
      <c r="C37" s="191"/>
      <c r="D37" s="191"/>
      <c r="E37" s="191"/>
      <c r="F37" s="70" t="s">
        <v>88</v>
      </c>
      <c r="G37" s="71">
        <f t="shared" ref="G37" si="16">IF(E34&lt;0.125,"NA",IF(0.125&lt;=E34,(0.8*E34)))</f>
        <v>0.32160000000000005</v>
      </c>
      <c r="H37" s="72"/>
      <c r="I37" s="73"/>
      <c r="J37" s="74">
        <v>0.252</v>
      </c>
      <c r="K37" s="191"/>
      <c r="L37" s="191"/>
      <c r="M37" s="191"/>
      <c r="N37" s="191"/>
      <c r="O37" s="191"/>
      <c r="P37" s="196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s="64" customFormat="1" ht="13.5" customHeight="1" thickBot="1" x14ac:dyDescent="0.3">
      <c r="A38" s="54"/>
      <c r="B38" s="212"/>
      <c r="C38" s="192"/>
      <c r="D38" s="192"/>
      <c r="E38" s="192"/>
      <c r="F38" s="75" t="s">
        <v>89</v>
      </c>
      <c r="G38" s="76">
        <f t="shared" ref="G38" si="17">+E34</f>
        <v>0.40200000000000002</v>
      </c>
      <c r="H38" s="77"/>
      <c r="I38" s="78"/>
      <c r="J38" s="79">
        <v>0.224</v>
      </c>
      <c r="K38" s="192"/>
      <c r="L38" s="192"/>
      <c r="M38" s="192"/>
      <c r="N38" s="192"/>
      <c r="O38" s="192"/>
      <c r="P38" s="197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s="64" customFormat="1" ht="13.5" customHeight="1" x14ac:dyDescent="0.25">
      <c r="A39" s="54"/>
      <c r="B39" s="210">
        <v>5</v>
      </c>
      <c r="C39" s="213">
        <f>+C34+$N$12</f>
        <v>3.0999999999999996</v>
      </c>
      <c r="D39" s="190">
        <v>0.4</v>
      </c>
      <c r="E39" s="190">
        <v>0.39100000000000001</v>
      </c>
      <c r="F39" s="65" t="s">
        <v>85</v>
      </c>
      <c r="G39" s="66">
        <v>0</v>
      </c>
      <c r="H39" s="67"/>
      <c r="I39" s="68"/>
      <c r="J39" s="69">
        <v>0.221</v>
      </c>
      <c r="K39" s="190">
        <f t="shared" ref="K39" si="18">+IF(E39&lt;=0.12,(J41),(IF(E39&lt;0.16,((J40+2*J41+J42)/4),IF(E39&gt;=0.16,((J39+3*J40+2*J41+3*J42+J43)/10)))))</f>
        <v>0.25680000000000003</v>
      </c>
      <c r="L39" s="190">
        <f>ROUND(+(D34+D39)/2*(C39-C34),3)</f>
        <v>0.16200000000000001</v>
      </c>
      <c r="M39" s="190">
        <f t="shared" ref="M39" si="19">ROUND(+K39*L39,4)</f>
        <v>4.1599999999999998E-2</v>
      </c>
      <c r="N39" s="193">
        <f t="shared" ref="N39" si="20">ROUND(+M39/$M$103*100,2)</f>
        <v>6.83</v>
      </c>
      <c r="O39" s="194"/>
      <c r="P39" s="195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s="64" customFormat="1" ht="13.5" customHeight="1" x14ac:dyDescent="0.25">
      <c r="A40" s="54"/>
      <c r="B40" s="211"/>
      <c r="C40" s="191"/>
      <c r="D40" s="191"/>
      <c r="E40" s="191"/>
      <c r="F40" s="70" t="s">
        <v>86</v>
      </c>
      <c r="G40" s="71">
        <f t="shared" ref="G40" si="21">IF(E39&lt;0.125,"NA",IF(0.125&lt;=E39,(0.2*E39)))</f>
        <v>7.8200000000000006E-2</v>
      </c>
      <c r="H40" s="72"/>
      <c r="I40" s="73"/>
      <c r="J40" s="74">
        <v>0.22900000000000001</v>
      </c>
      <c r="K40" s="191"/>
      <c r="L40" s="191"/>
      <c r="M40" s="191"/>
      <c r="N40" s="191"/>
      <c r="O40" s="191"/>
      <c r="P40" s="196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s="64" customFormat="1" ht="13.5" customHeight="1" x14ac:dyDescent="0.25">
      <c r="A41" s="54"/>
      <c r="B41" s="211"/>
      <c r="C41" s="191"/>
      <c r="D41" s="191"/>
      <c r="E41" s="191"/>
      <c r="F41" s="70" t="s">
        <v>87</v>
      </c>
      <c r="G41" s="71">
        <f t="shared" ref="G41" si="22">+E39*0.4</f>
        <v>0.15640000000000001</v>
      </c>
      <c r="H41" s="72"/>
      <c r="I41" s="73"/>
      <c r="J41" s="74">
        <v>0.249</v>
      </c>
      <c r="K41" s="191"/>
      <c r="L41" s="191"/>
      <c r="M41" s="191"/>
      <c r="N41" s="191"/>
      <c r="O41" s="191"/>
      <c r="P41" s="196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s="64" customFormat="1" ht="13.5" customHeight="1" x14ac:dyDescent="0.25">
      <c r="A42" s="54"/>
      <c r="B42" s="211"/>
      <c r="C42" s="191"/>
      <c r="D42" s="191"/>
      <c r="E42" s="191"/>
      <c r="F42" s="70" t="s">
        <v>88</v>
      </c>
      <c r="G42" s="71">
        <f t="shared" ref="G42" si="23">IF(E39&lt;0.125,"NA",IF(0.125&lt;=E39,(0.8*E39)))</f>
        <v>0.31280000000000002</v>
      </c>
      <c r="H42" s="72"/>
      <c r="I42" s="73"/>
      <c r="J42" s="74">
        <v>0.29399999999999998</v>
      </c>
      <c r="K42" s="191"/>
      <c r="L42" s="191"/>
      <c r="M42" s="191"/>
      <c r="N42" s="191"/>
      <c r="O42" s="191"/>
      <c r="P42" s="196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s="64" customFormat="1" ht="13.5" customHeight="1" thickBot="1" x14ac:dyDescent="0.3">
      <c r="A43" s="54"/>
      <c r="B43" s="212"/>
      <c r="C43" s="192"/>
      <c r="D43" s="192"/>
      <c r="E43" s="192"/>
      <c r="F43" s="75" t="s">
        <v>89</v>
      </c>
      <c r="G43" s="76">
        <f t="shared" ref="G43" si="24">+E39</f>
        <v>0.39100000000000001</v>
      </c>
      <c r="H43" s="77"/>
      <c r="I43" s="78"/>
      <c r="J43" s="79">
        <v>0.28000000000000003</v>
      </c>
      <c r="K43" s="192"/>
      <c r="L43" s="192"/>
      <c r="M43" s="192"/>
      <c r="N43" s="192"/>
      <c r="O43" s="192"/>
      <c r="P43" s="197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s="64" customFormat="1" ht="13.5" customHeight="1" x14ac:dyDescent="0.25">
      <c r="A44" s="54"/>
      <c r="B44" s="210">
        <v>6</v>
      </c>
      <c r="C44" s="213">
        <f t="shared" ref="C44" si="25">+C39+$N$12</f>
        <v>3.4999999999999996</v>
      </c>
      <c r="D44" s="190">
        <v>0.44400000000000001</v>
      </c>
      <c r="E44" s="190">
        <v>0.42799999999999999</v>
      </c>
      <c r="F44" s="65" t="s">
        <v>85</v>
      </c>
      <c r="G44" s="66">
        <v>0</v>
      </c>
      <c r="H44" s="67"/>
      <c r="I44" s="68"/>
      <c r="J44" s="69">
        <v>0.157</v>
      </c>
      <c r="K44" s="190">
        <f t="shared" ref="K44" si="26">+IF(E44&lt;=0.12,(J46),(IF(E44&lt;0.16,((J45+2*J46+J47)/4),IF(E44&gt;=0.16,((J44+3*J45+2*J46+3*J47+J48)/10)))))</f>
        <v>0.25080000000000002</v>
      </c>
      <c r="L44" s="190">
        <f t="shared" ref="L44" si="27">ROUND(+(D39+D44)/2*(C44-C39),3)</f>
        <v>0.16900000000000001</v>
      </c>
      <c r="M44" s="190">
        <f t="shared" ref="M44" si="28">ROUND(+K44*L44,4)</f>
        <v>4.24E-2</v>
      </c>
      <c r="N44" s="193">
        <f t="shared" ref="N44" si="29">ROUND(+M44/$M$103*100,2)</f>
        <v>6.96</v>
      </c>
      <c r="O44" s="194"/>
      <c r="P44" s="195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s="64" customFormat="1" ht="13.5" customHeight="1" x14ac:dyDescent="0.25">
      <c r="A45" s="54"/>
      <c r="B45" s="211"/>
      <c r="C45" s="191"/>
      <c r="D45" s="191"/>
      <c r="E45" s="191"/>
      <c r="F45" s="70" t="s">
        <v>86</v>
      </c>
      <c r="G45" s="71">
        <f t="shared" ref="G45" si="30">IF(E44&lt;0.125,"NA",IF(0.125&lt;=E44,(0.2*E44)))</f>
        <v>8.5600000000000009E-2</v>
      </c>
      <c r="H45" s="72"/>
      <c r="I45" s="73"/>
      <c r="J45" s="74">
        <v>0.222</v>
      </c>
      <c r="K45" s="191"/>
      <c r="L45" s="191"/>
      <c r="M45" s="191"/>
      <c r="N45" s="191"/>
      <c r="O45" s="191"/>
      <c r="P45" s="196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s="64" customFormat="1" ht="13.5" customHeight="1" x14ac:dyDescent="0.25">
      <c r="A46" s="54"/>
      <c r="B46" s="211"/>
      <c r="C46" s="191"/>
      <c r="D46" s="191"/>
      <c r="E46" s="191"/>
      <c r="F46" s="70" t="s">
        <v>87</v>
      </c>
      <c r="G46" s="71">
        <f t="shared" ref="G46" si="31">+E44*0.4</f>
        <v>0.17120000000000002</v>
      </c>
      <c r="H46" s="72"/>
      <c r="I46" s="73"/>
      <c r="J46" s="74">
        <v>0.27900000000000003</v>
      </c>
      <c r="K46" s="191"/>
      <c r="L46" s="191"/>
      <c r="M46" s="191"/>
      <c r="N46" s="191"/>
      <c r="O46" s="191"/>
      <c r="P46" s="196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s="64" customFormat="1" ht="13.5" customHeight="1" x14ac:dyDescent="0.25">
      <c r="A47" s="54"/>
      <c r="B47" s="211"/>
      <c r="C47" s="191"/>
      <c r="D47" s="191"/>
      <c r="E47" s="191"/>
      <c r="F47" s="70" t="s">
        <v>88</v>
      </c>
      <c r="G47" s="71">
        <f t="shared" ref="G47" si="32">IF(E44&lt;0.125,"NA",IF(0.125&lt;=E44,(0.8*E44)))</f>
        <v>0.34240000000000004</v>
      </c>
      <c r="H47" s="72"/>
      <c r="I47" s="73"/>
      <c r="J47" s="74">
        <v>0.27800000000000002</v>
      </c>
      <c r="K47" s="191"/>
      <c r="L47" s="191"/>
      <c r="M47" s="191"/>
      <c r="N47" s="191"/>
      <c r="O47" s="191"/>
      <c r="P47" s="196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s="64" customFormat="1" ht="13.5" customHeight="1" thickBot="1" x14ac:dyDescent="0.3">
      <c r="A48" s="54"/>
      <c r="B48" s="212"/>
      <c r="C48" s="192"/>
      <c r="D48" s="192"/>
      <c r="E48" s="192"/>
      <c r="F48" s="75" t="s">
        <v>89</v>
      </c>
      <c r="G48" s="76">
        <f t="shared" ref="G48" si="33">+E44</f>
        <v>0.42799999999999999</v>
      </c>
      <c r="H48" s="77"/>
      <c r="I48" s="78"/>
      <c r="J48" s="79">
        <v>0.29299999999999998</v>
      </c>
      <c r="K48" s="192"/>
      <c r="L48" s="192"/>
      <c r="M48" s="192"/>
      <c r="N48" s="192"/>
      <c r="O48" s="192"/>
      <c r="P48" s="197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s="64" customFormat="1" ht="13.5" customHeight="1" x14ac:dyDescent="0.25">
      <c r="A49" s="54"/>
      <c r="B49" s="210">
        <v>7</v>
      </c>
      <c r="C49" s="213">
        <f t="shared" ref="C49" si="34">+C44+$N$12</f>
        <v>3.8999999999999995</v>
      </c>
      <c r="D49" s="190">
        <v>0.51600000000000001</v>
      </c>
      <c r="E49" s="190">
        <v>0.50600000000000001</v>
      </c>
      <c r="F49" s="65" t="s">
        <v>85</v>
      </c>
      <c r="G49" s="66">
        <v>0</v>
      </c>
      <c r="H49" s="67"/>
      <c r="I49" s="68"/>
      <c r="J49" s="69">
        <v>8.3000000000000004E-2</v>
      </c>
      <c r="K49" s="190">
        <f t="shared" ref="K49" si="35">+IF(E49&lt;=0.12,(J51),(IF(E49&lt;0.16,((J50+2*J51+J52)/4),IF(E49&gt;=0.16,((J49+3*J50+2*J51+3*J52+J53)/10)))))</f>
        <v>0.24900000000000003</v>
      </c>
      <c r="L49" s="190">
        <f t="shared" ref="L49" si="36">ROUND(+(D44+D49)/2*(C49-C44),3)</f>
        <v>0.192</v>
      </c>
      <c r="M49" s="190">
        <f t="shared" ref="M49" si="37">ROUND(+K49*L49,4)</f>
        <v>4.7800000000000002E-2</v>
      </c>
      <c r="N49" s="193">
        <f t="shared" ref="N49" si="38">ROUND(+M49/$M$103*100,2)</f>
        <v>7.85</v>
      </c>
      <c r="O49" s="194"/>
      <c r="P49" s="195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s="64" customFormat="1" ht="13.5" customHeight="1" x14ac:dyDescent="0.25">
      <c r="A50" s="54"/>
      <c r="B50" s="211"/>
      <c r="C50" s="191"/>
      <c r="D50" s="191"/>
      <c r="E50" s="191"/>
      <c r="F50" s="70" t="s">
        <v>86</v>
      </c>
      <c r="G50" s="71">
        <f t="shared" ref="G50" si="39">IF(E49&lt;0.125,"NA",IF(0.125&lt;=E49,(0.2*E49)))</f>
        <v>0.10120000000000001</v>
      </c>
      <c r="H50" s="72"/>
      <c r="I50" s="73"/>
      <c r="J50" s="74">
        <v>0.19800000000000001</v>
      </c>
      <c r="K50" s="191"/>
      <c r="L50" s="191"/>
      <c r="M50" s="191"/>
      <c r="N50" s="191"/>
      <c r="O50" s="191"/>
      <c r="P50" s="196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s="64" customFormat="1" ht="13.5" customHeight="1" x14ac:dyDescent="0.25">
      <c r="A51" s="54"/>
      <c r="B51" s="211"/>
      <c r="C51" s="191"/>
      <c r="D51" s="191"/>
      <c r="E51" s="191"/>
      <c r="F51" s="70" t="s">
        <v>87</v>
      </c>
      <c r="G51" s="71">
        <f t="shared" ref="G51" si="40">+E49*0.4</f>
        <v>0.20240000000000002</v>
      </c>
      <c r="H51" s="72"/>
      <c r="I51" s="73"/>
      <c r="J51" s="74">
        <v>0.32</v>
      </c>
      <c r="K51" s="191"/>
      <c r="L51" s="191"/>
      <c r="M51" s="191"/>
      <c r="N51" s="191"/>
      <c r="O51" s="191"/>
      <c r="P51" s="196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s="64" customFormat="1" ht="13.5" customHeight="1" x14ac:dyDescent="0.25">
      <c r="A52" s="54"/>
      <c r="B52" s="211"/>
      <c r="C52" s="191"/>
      <c r="D52" s="191"/>
      <c r="E52" s="191"/>
      <c r="F52" s="70" t="s">
        <v>88</v>
      </c>
      <c r="G52" s="71">
        <f t="shared" ref="G52" si="41">IF(E49&lt;0.125,"NA",IF(0.125&lt;=E49,(0.8*E49)))</f>
        <v>0.40480000000000005</v>
      </c>
      <c r="H52" s="72"/>
      <c r="I52" s="73"/>
      <c r="J52" s="74">
        <v>0.29799999999999999</v>
      </c>
      <c r="K52" s="191"/>
      <c r="L52" s="191"/>
      <c r="M52" s="191"/>
      <c r="N52" s="191"/>
      <c r="O52" s="191"/>
      <c r="P52" s="196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s="64" customFormat="1" ht="13.5" customHeight="1" thickBot="1" x14ac:dyDescent="0.3">
      <c r="A53" s="54"/>
      <c r="B53" s="212"/>
      <c r="C53" s="192"/>
      <c r="D53" s="192"/>
      <c r="E53" s="192"/>
      <c r="F53" s="75" t="s">
        <v>89</v>
      </c>
      <c r="G53" s="76">
        <f t="shared" ref="G53" si="42">+E49</f>
        <v>0.50600000000000001</v>
      </c>
      <c r="H53" s="77"/>
      <c r="I53" s="78"/>
      <c r="J53" s="79">
        <v>0.27900000000000003</v>
      </c>
      <c r="K53" s="192"/>
      <c r="L53" s="192"/>
      <c r="M53" s="192"/>
      <c r="N53" s="192"/>
      <c r="O53" s="192"/>
      <c r="P53" s="197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s="64" customFormat="1" ht="13.5" customHeight="1" x14ac:dyDescent="0.25">
      <c r="A54" s="54"/>
      <c r="B54" s="210">
        <v>8</v>
      </c>
      <c r="C54" s="213">
        <f>+C49+$N$12</f>
        <v>4.3</v>
      </c>
      <c r="D54" s="190">
        <v>0.55500000000000005</v>
      </c>
      <c r="E54" s="190">
        <v>0.53200000000000003</v>
      </c>
      <c r="F54" s="65" t="s">
        <v>85</v>
      </c>
      <c r="G54" s="66">
        <v>0</v>
      </c>
      <c r="H54" s="67"/>
      <c r="I54" s="68"/>
      <c r="J54" s="69">
        <v>0.17899999999999999</v>
      </c>
      <c r="K54" s="190">
        <f t="shared" ref="K54" si="43">+IF(E54&lt;=0.12,(J56),(IF(E54&lt;0.16,((J55+2*J56+J57)/4),IF(E54&gt;=0.16,((J54+3*J55+2*J56+3*J57+J58)/10)))))</f>
        <v>0.30199999999999999</v>
      </c>
      <c r="L54" s="190">
        <f t="shared" ref="L54" si="44">ROUND(+(D49+D54)/2*(C54-C49),3)</f>
        <v>0.214</v>
      </c>
      <c r="M54" s="190">
        <f t="shared" ref="M54" si="45">ROUND(+K54*L54,4)</f>
        <v>6.4600000000000005E-2</v>
      </c>
      <c r="N54" s="193">
        <f t="shared" ref="N54" si="46">ROUND(+M54/$M$103*100,2)</f>
        <v>10.61</v>
      </c>
      <c r="O54" s="194"/>
      <c r="P54" s="195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s="64" customFormat="1" ht="13.5" customHeight="1" x14ac:dyDescent="0.25">
      <c r="A55" s="54"/>
      <c r="B55" s="211"/>
      <c r="C55" s="191"/>
      <c r="D55" s="191"/>
      <c r="E55" s="191"/>
      <c r="F55" s="70" t="s">
        <v>86</v>
      </c>
      <c r="G55" s="71">
        <f t="shared" ref="G55" si="47">IF(E54&lt;0.125,"NA",IF(0.125&lt;=E54,(0.2*E54)))</f>
        <v>0.10640000000000001</v>
      </c>
      <c r="H55" s="72"/>
      <c r="I55" s="73"/>
      <c r="J55" s="74">
        <v>0.29399999999999998</v>
      </c>
      <c r="K55" s="191"/>
      <c r="L55" s="191"/>
      <c r="M55" s="191"/>
      <c r="N55" s="191"/>
      <c r="O55" s="191"/>
      <c r="P55" s="196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s="64" customFormat="1" ht="13.5" customHeight="1" x14ac:dyDescent="0.25">
      <c r="A56" s="54"/>
      <c r="B56" s="211"/>
      <c r="C56" s="191"/>
      <c r="D56" s="191"/>
      <c r="E56" s="191"/>
      <c r="F56" s="70" t="s">
        <v>87</v>
      </c>
      <c r="G56" s="71">
        <f t="shared" ref="G56" si="48">+E54*0.4</f>
        <v>0.21280000000000002</v>
      </c>
      <c r="H56" s="72"/>
      <c r="I56" s="73"/>
      <c r="J56" s="74">
        <v>0.33800000000000002</v>
      </c>
      <c r="K56" s="191"/>
      <c r="L56" s="191"/>
      <c r="M56" s="191"/>
      <c r="N56" s="191"/>
      <c r="O56" s="191"/>
      <c r="P56" s="196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s="64" customFormat="1" ht="13.5" customHeight="1" x14ac:dyDescent="0.25">
      <c r="A57" s="54"/>
      <c r="B57" s="211"/>
      <c r="C57" s="191"/>
      <c r="D57" s="191"/>
      <c r="E57" s="191"/>
      <c r="F57" s="70" t="s">
        <v>88</v>
      </c>
      <c r="G57" s="71">
        <f t="shared" ref="G57" si="49">IF(E54&lt;0.125,"NA",IF(0.125&lt;=E54,(0.8*E54)))</f>
        <v>0.42560000000000003</v>
      </c>
      <c r="H57" s="72"/>
      <c r="I57" s="73"/>
      <c r="J57" s="74">
        <v>0.32800000000000001</v>
      </c>
      <c r="K57" s="191"/>
      <c r="L57" s="191"/>
      <c r="M57" s="191"/>
      <c r="N57" s="191"/>
      <c r="O57" s="191"/>
      <c r="P57" s="196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s="64" customFormat="1" ht="13.5" customHeight="1" thickBot="1" x14ac:dyDescent="0.3">
      <c r="A58" s="54"/>
      <c r="B58" s="212"/>
      <c r="C58" s="192"/>
      <c r="D58" s="192"/>
      <c r="E58" s="192"/>
      <c r="F58" s="75" t="s">
        <v>89</v>
      </c>
      <c r="G58" s="76">
        <f t="shared" ref="G58" si="50">+E54</f>
        <v>0.53200000000000003</v>
      </c>
      <c r="H58" s="77"/>
      <c r="I58" s="78"/>
      <c r="J58" s="79">
        <v>0.29899999999999999</v>
      </c>
      <c r="K58" s="192"/>
      <c r="L58" s="192"/>
      <c r="M58" s="192"/>
      <c r="N58" s="192"/>
      <c r="O58" s="192"/>
      <c r="P58" s="197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s="64" customFormat="1" ht="13.5" customHeight="1" x14ac:dyDescent="0.25">
      <c r="A59" s="54"/>
      <c r="B59" s="210">
        <v>9</v>
      </c>
      <c r="C59" s="213">
        <f t="shared" ref="C59" si="51">+C54+$N$12</f>
        <v>4.7</v>
      </c>
      <c r="D59" s="190">
        <v>0.59899999999999998</v>
      </c>
      <c r="E59" s="190">
        <v>0.60099999999999998</v>
      </c>
      <c r="F59" s="65" t="s">
        <v>85</v>
      </c>
      <c r="G59" s="66">
        <v>0</v>
      </c>
      <c r="H59" s="67"/>
      <c r="I59" s="68"/>
      <c r="J59" s="69">
        <v>0.248</v>
      </c>
      <c r="K59" s="190">
        <f t="shared" ref="K59" si="52">+IF(E59&lt;=0.12,(J61),(IF(E59&lt;0.16,((J60+2*J61+J62)/4),IF(E59&gt;=0.16,((J59+3*J60+2*J61+3*J62+J63)/10)))))</f>
        <v>0.34330000000000005</v>
      </c>
      <c r="L59" s="190">
        <f t="shared" ref="L59" si="53">ROUND(+(D54+D59)/2*(C59-C54),3)</f>
        <v>0.23100000000000001</v>
      </c>
      <c r="M59" s="190">
        <f t="shared" ref="M59" si="54">ROUND(+K59*L59,4)</f>
        <v>7.9299999999999995E-2</v>
      </c>
      <c r="N59" s="193">
        <f t="shared" ref="N59" si="55">ROUND(+M59/$M$103*100,2)</f>
        <v>13.02</v>
      </c>
      <c r="O59" s="194"/>
      <c r="P59" s="195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s="64" customFormat="1" ht="13.5" customHeight="1" x14ac:dyDescent="0.25">
      <c r="A60" s="54"/>
      <c r="B60" s="211"/>
      <c r="C60" s="191"/>
      <c r="D60" s="191"/>
      <c r="E60" s="191"/>
      <c r="F60" s="70" t="s">
        <v>86</v>
      </c>
      <c r="G60" s="71">
        <f t="shared" ref="G60" si="56">IF(E59&lt;0.125,"NA",IF(0.125&lt;=E59,(0.2*E59)))</f>
        <v>0.1202</v>
      </c>
      <c r="H60" s="72"/>
      <c r="I60" s="73"/>
      <c r="J60" s="74">
        <v>0.32400000000000001</v>
      </c>
      <c r="K60" s="191"/>
      <c r="L60" s="191"/>
      <c r="M60" s="191"/>
      <c r="N60" s="191"/>
      <c r="O60" s="191"/>
      <c r="P60" s="196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s="64" customFormat="1" ht="13.5" customHeight="1" x14ac:dyDescent="0.25">
      <c r="A61" s="54"/>
      <c r="B61" s="211"/>
      <c r="C61" s="191"/>
      <c r="D61" s="191"/>
      <c r="E61" s="191"/>
      <c r="F61" s="70" t="s">
        <v>87</v>
      </c>
      <c r="G61" s="71">
        <f t="shared" ref="G61" si="57">+E59*0.4</f>
        <v>0.2404</v>
      </c>
      <c r="H61" s="72"/>
      <c r="I61" s="73"/>
      <c r="J61" s="74">
        <v>0.371</v>
      </c>
      <c r="K61" s="191"/>
      <c r="L61" s="191"/>
      <c r="M61" s="191"/>
      <c r="N61" s="191"/>
      <c r="O61" s="191"/>
      <c r="P61" s="196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s="64" customFormat="1" ht="13.5" customHeight="1" x14ac:dyDescent="0.25">
      <c r="A62" s="54"/>
      <c r="B62" s="211"/>
      <c r="C62" s="191"/>
      <c r="D62" s="191"/>
      <c r="E62" s="191"/>
      <c r="F62" s="70" t="s">
        <v>88</v>
      </c>
      <c r="G62" s="71">
        <f t="shared" ref="G62" si="58">IF(E59&lt;0.125,"NA",IF(0.125&lt;=E59,(0.8*E59)))</f>
        <v>0.48080000000000001</v>
      </c>
      <c r="H62" s="72"/>
      <c r="I62" s="73"/>
      <c r="J62" s="74">
        <v>0.38</v>
      </c>
      <c r="K62" s="191"/>
      <c r="L62" s="191"/>
      <c r="M62" s="191"/>
      <c r="N62" s="191"/>
      <c r="O62" s="191"/>
      <c r="P62" s="196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s="64" customFormat="1" ht="13.5" customHeight="1" thickBot="1" x14ac:dyDescent="0.3">
      <c r="A63" s="54"/>
      <c r="B63" s="212"/>
      <c r="C63" s="192"/>
      <c r="D63" s="192"/>
      <c r="E63" s="192"/>
      <c r="F63" s="75" t="s">
        <v>89</v>
      </c>
      <c r="G63" s="76">
        <f t="shared" ref="G63" si="59">+E59</f>
        <v>0.60099999999999998</v>
      </c>
      <c r="H63" s="77"/>
      <c r="I63" s="78"/>
      <c r="J63" s="79">
        <v>0.33100000000000002</v>
      </c>
      <c r="K63" s="192"/>
      <c r="L63" s="192"/>
      <c r="M63" s="192"/>
      <c r="N63" s="192"/>
      <c r="O63" s="192"/>
      <c r="P63" s="197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s="64" customFormat="1" ht="13.5" customHeight="1" x14ac:dyDescent="0.25">
      <c r="A64" s="54"/>
      <c r="B64" s="210">
        <v>10</v>
      </c>
      <c r="C64" s="213">
        <f>+C59+$N$12</f>
        <v>5.1000000000000005</v>
      </c>
      <c r="D64" s="190">
        <v>0.63700000000000001</v>
      </c>
      <c r="E64" s="190">
        <v>0.59499999999999997</v>
      </c>
      <c r="F64" s="65" t="s">
        <v>85</v>
      </c>
      <c r="G64" s="66">
        <v>0</v>
      </c>
      <c r="H64" s="67"/>
      <c r="I64" s="68"/>
      <c r="J64" s="69">
        <v>0.26400000000000001</v>
      </c>
      <c r="K64" s="190">
        <f t="shared" ref="K64" si="60">+IF(E64&lt;=0.12,(J66),(IF(E64&lt;0.16,((J65+2*J66+J67)/4),IF(E64&gt;=0.16,((J64+3*J65+2*J66+3*J67+J68)/10)))))</f>
        <v>0.32619999999999999</v>
      </c>
      <c r="L64" s="190">
        <f>ROUND(+(D59+D64)/2*(C64-C59),3)</f>
        <v>0.247</v>
      </c>
      <c r="M64" s="190">
        <f t="shared" ref="M64" si="61">ROUND(+K64*L64,4)</f>
        <v>8.0600000000000005E-2</v>
      </c>
      <c r="N64" s="193">
        <f t="shared" ref="N64" si="62">ROUND(+M64/$M$103*100,2)</f>
        <v>13.24</v>
      </c>
      <c r="O64" s="194"/>
      <c r="P64" s="195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s="64" customFormat="1" ht="13.5" customHeight="1" x14ac:dyDescent="0.25">
      <c r="A65" s="54"/>
      <c r="B65" s="211"/>
      <c r="C65" s="191"/>
      <c r="D65" s="191"/>
      <c r="E65" s="191"/>
      <c r="F65" s="70" t="s">
        <v>86</v>
      </c>
      <c r="G65" s="71">
        <f t="shared" ref="G65" si="63">IF(E64&lt;0.125,"NA",IF(0.125&lt;=E64,(0.2*E64)))</f>
        <v>0.11899999999999999</v>
      </c>
      <c r="H65" s="72"/>
      <c r="I65" s="73"/>
      <c r="J65" s="74">
        <v>0.32600000000000001</v>
      </c>
      <c r="K65" s="191"/>
      <c r="L65" s="191"/>
      <c r="M65" s="191"/>
      <c r="N65" s="191"/>
      <c r="O65" s="191"/>
      <c r="P65" s="196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s="64" customFormat="1" ht="13.5" customHeight="1" x14ac:dyDescent="0.25">
      <c r="A66" s="54"/>
      <c r="B66" s="211"/>
      <c r="C66" s="191"/>
      <c r="D66" s="191"/>
      <c r="E66" s="191"/>
      <c r="F66" s="70" t="s">
        <v>87</v>
      </c>
      <c r="G66" s="71">
        <f t="shared" ref="G66" si="64">+E64*0.4</f>
        <v>0.23799999999999999</v>
      </c>
      <c r="H66" s="72"/>
      <c r="I66" s="73"/>
      <c r="J66" s="74">
        <v>0.35199999999999998</v>
      </c>
      <c r="K66" s="191"/>
      <c r="L66" s="191"/>
      <c r="M66" s="191"/>
      <c r="N66" s="191"/>
      <c r="O66" s="191"/>
      <c r="P66" s="196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s="64" customFormat="1" ht="13.5" customHeight="1" x14ac:dyDescent="0.25">
      <c r="A67" s="54"/>
      <c r="B67" s="211"/>
      <c r="C67" s="191"/>
      <c r="D67" s="191"/>
      <c r="E67" s="191"/>
      <c r="F67" s="70" t="s">
        <v>88</v>
      </c>
      <c r="G67" s="71">
        <f t="shared" ref="G67" si="65">IF(E64&lt;0.125,"NA",IF(0.125&lt;=E64,(0.8*E64)))</f>
        <v>0.47599999999999998</v>
      </c>
      <c r="H67" s="72"/>
      <c r="I67" s="73"/>
      <c r="J67" s="74">
        <v>0.34300000000000003</v>
      </c>
      <c r="K67" s="191"/>
      <c r="L67" s="191"/>
      <c r="M67" s="191"/>
      <c r="N67" s="191"/>
      <c r="O67" s="191"/>
      <c r="P67" s="196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s="64" customFormat="1" ht="13.5" customHeight="1" thickBot="1" x14ac:dyDescent="0.3">
      <c r="A68" s="54"/>
      <c r="B68" s="212"/>
      <c r="C68" s="192"/>
      <c r="D68" s="192"/>
      <c r="E68" s="192"/>
      <c r="F68" s="75" t="s">
        <v>89</v>
      </c>
      <c r="G68" s="76">
        <f t="shared" ref="G68" si="66">+E64</f>
        <v>0.59499999999999997</v>
      </c>
      <c r="H68" s="77"/>
      <c r="I68" s="78"/>
      <c r="J68" s="79">
        <v>0.28699999999999998</v>
      </c>
      <c r="K68" s="192"/>
      <c r="L68" s="192"/>
      <c r="M68" s="192"/>
      <c r="N68" s="192"/>
      <c r="O68" s="192"/>
      <c r="P68" s="197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s="64" customFormat="1" ht="13.5" customHeight="1" x14ac:dyDescent="0.25">
      <c r="A69" s="54"/>
      <c r="B69" s="210">
        <v>11</v>
      </c>
      <c r="C69" s="213">
        <f t="shared" ref="C69" si="67">+C64+$N$12</f>
        <v>5.5000000000000009</v>
      </c>
      <c r="D69" s="190">
        <v>0.63500000000000001</v>
      </c>
      <c r="E69" s="190">
        <v>0.66500000000000004</v>
      </c>
      <c r="F69" s="65" t="s">
        <v>85</v>
      </c>
      <c r="G69" s="66">
        <v>0</v>
      </c>
      <c r="H69" s="67"/>
      <c r="I69" s="68"/>
      <c r="J69" s="69"/>
      <c r="K69" s="190"/>
      <c r="L69" s="190"/>
      <c r="M69" s="190"/>
      <c r="N69" s="193"/>
      <c r="O69" s="194"/>
      <c r="P69" s="195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s="64" customFormat="1" ht="13.5" customHeight="1" x14ac:dyDescent="0.25">
      <c r="A70" s="54"/>
      <c r="B70" s="211"/>
      <c r="C70" s="191"/>
      <c r="D70" s="191"/>
      <c r="E70" s="191"/>
      <c r="F70" s="70" t="s">
        <v>86</v>
      </c>
      <c r="G70" s="71">
        <f t="shared" ref="G70" si="68">IF(E69&lt;0.125,"NA",IF(0.125&lt;=E69,(0.2*E69)))</f>
        <v>0.13300000000000001</v>
      </c>
      <c r="H70" s="72"/>
      <c r="I70" s="73"/>
      <c r="J70" s="74"/>
      <c r="K70" s="191"/>
      <c r="L70" s="191"/>
      <c r="M70" s="191"/>
      <c r="N70" s="191"/>
      <c r="O70" s="191"/>
      <c r="P70" s="196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s="64" customFormat="1" ht="13.5" customHeight="1" x14ac:dyDescent="0.25">
      <c r="A71" s="54"/>
      <c r="B71" s="211"/>
      <c r="C71" s="191"/>
      <c r="D71" s="191"/>
      <c r="E71" s="191"/>
      <c r="F71" s="70" t="s">
        <v>87</v>
      </c>
      <c r="G71" s="71">
        <f t="shared" ref="G71" si="69">+E69*0.4</f>
        <v>0.26600000000000001</v>
      </c>
      <c r="H71" s="72"/>
      <c r="I71" s="73"/>
      <c r="J71" s="74"/>
      <c r="K71" s="191"/>
      <c r="L71" s="191"/>
      <c r="M71" s="191"/>
      <c r="N71" s="191"/>
      <c r="O71" s="191"/>
      <c r="P71" s="196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s="64" customFormat="1" ht="13.5" customHeight="1" x14ac:dyDescent="0.25">
      <c r="A72" s="54"/>
      <c r="B72" s="211"/>
      <c r="C72" s="191"/>
      <c r="D72" s="191"/>
      <c r="E72" s="191"/>
      <c r="F72" s="70" t="s">
        <v>88</v>
      </c>
      <c r="G72" s="71">
        <f t="shared" ref="G72" si="70">IF(E69&lt;0.125,"NA",IF(0.125&lt;=E69,(0.8*E69)))</f>
        <v>0.53200000000000003</v>
      </c>
      <c r="H72" s="72"/>
      <c r="I72" s="73"/>
      <c r="J72" s="74"/>
      <c r="K72" s="191"/>
      <c r="L72" s="191"/>
      <c r="M72" s="191"/>
      <c r="N72" s="191"/>
      <c r="O72" s="191"/>
      <c r="P72" s="196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s="64" customFormat="1" ht="13.5" customHeight="1" thickBot="1" x14ac:dyDescent="0.3">
      <c r="A73" s="54"/>
      <c r="B73" s="212"/>
      <c r="C73" s="192"/>
      <c r="D73" s="192"/>
      <c r="E73" s="192"/>
      <c r="F73" s="75" t="s">
        <v>89</v>
      </c>
      <c r="G73" s="76">
        <f t="shared" ref="G73" si="71">+E69</f>
        <v>0.66500000000000004</v>
      </c>
      <c r="H73" s="77"/>
      <c r="I73" s="78"/>
      <c r="J73" s="79"/>
      <c r="K73" s="192"/>
      <c r="L73" s="192"/>
      <c r="M73" s="192"/>
      <c r="N73" s="192"/>
      <c r="O73" s="192"/>
      <c r="P73" s="197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s="64" customFormat="1" ht="13.5" customHeight="1" x14ac:dyDescent="0.25">
      <c r="A74" s="54"/>
      <c r="B74" s="210">
        <v>12</v>
      </c>
      <c r="C74" s="213">
        <f>+C69+$N$12</f>
        <v>5.9000000000000012</v>
      </c>
      <c r="D74" s="190">
        <v>0.55400000000000005</v>
      </c>
      <c r="E74" s="190">
        <v>0.60099999999999998</v>
      </c>
      <c r="F74" s="65" t="s">
        <v>85</v>
      </c>
      <c r="G74" s="66">
        <v>0</v>
      </c>
      <c r="H74" s="67"/>
      <c r="I74" s="68"/>
      <c r="J74" s="69">
        <v>0.115</v>
      </c>
      <c r="K74" s="190">
        <f>+IF(E74&lt;=0.12,(J76),(IF(E74&lt;0.16,((J75+2*J76+J77)/4),IF(E74&gt;=0.16,((J74+3*J75+2*J76+3*J77+J78)/10)))))</f>
        <v>0.2319</v>
      </c>
      <c r="L74" s="190">
        <f>ROUND(+(D69+D74)/2*(C74-C69),3)</f>
        <v>0.23799999999999999</v>
      </c>
      <c r="M74" s="190">
        <f>ROUND(+K74*L74,4)</f>
        <v>5.5199999999999999E-2</v>
      </c>
      <c r="N74" s="193">
        <f>ROUND(+M74/$M$103*100,2)</f>
        <v>9.07</v>
      </c>
      <c r="O74" s="194"/>
      <c r="P74" s="195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s="64" customFormat="1" ht="13.5" customHeight="1" x14ac:dyDescent="0.25">
      <c r="A75" s="54"/>
      <c r="B75" s="211"/>
      <c r="C75" s="191"/>
      <c r="D75" s="191"/>
      <c r="E75" s="191"/>
      <c r="F75" s="70" t="s">
        <v>86</v>
      </c>
      <c r="G75" s="71">
        <f t="shared" ref="G75" si="72">IF(E74&lt;0.125,"NA",IF(0.125&lt;=E74,(0.2*E74)))</f>
        <v>0.1202</v>
      </c>
      <c r="H75" s="72"/>
      <c r="I75" s="73"/>
      <c r="J75" s="74">
        <v>0.20499999999999999</v>
      </c>
      <c r="K75" s="191"/>
      <c r="L75" s="191"/>
      <c r="M75" s="191"/>
      <c r="N75" s="191"/>
      <c r="O75" s="191"/>
      <c r="P75" s="196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s="64" customFormat="1" ht="13.5" customHeight="1" x14ac:dyDescent="0.25">
      <c r="A76" s="54"/>
      <c r="B76" s="211"/>
      <c r="C76" s="191"/>
      <c r="D76" s="191"/>
      <c r="E76" s="191"/>
      <c r="F76" s="70" t="s">
        <v>87</v>
      </c>
      <c r="G76" s="71">
        <f t="shared" ref="G76" si="73">+E74*0.4</f>
        <v>0.2404</v>
      </c>
      <c r="H76" s="72"/>
      <c r="I76" s="73"/>
      <c r="J76" s="74">
        <v>0.219</v>
      </c>
      <c r="K76" s="191"/>
      <c r="L76" s="191"/>
      <c r="M76" s="191"/>
      <c r="N76" s="191"/>
      <c r="O76" s="191"/>
      <c r="P76" s="196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s="64" customFormat="1" ht="13.5" customHeight="1" x14ac:dyDescent="0.25">
      <c r="A77" s="54"/>
      <c r="B77" s="211"/>
      <c r="C77" s="191"/>
      <c r="D77" s="191"/>
      <c r="E77" s="191"/>
      <c r="F77" s="70" t="s">
        <v>88</v>
      </c>
      <c r="G77" s="71">
        <f t="shared" ref="G77" si="74">IF(E74&lt;0.125,"NA",IF(0.125&lt;=E74,(0.8*E74)))</f>
        <v>0.48080000000000001</v>
      </c>
      <c r="H77" s="72"/>
      <c r="I77" s="73"/>
      <c r="J77" s="74">
        <v>0.28599999999999998</v>
      </c>
      <c r="K77" s="191"/>
      <c r="L77" s="191"/>
      <c r="M77" s="191"/>
      <c r="N77" s="191"/>
      <c r="O77" s="191"/>
      <c r="P77" s="196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s="64" customFormat="1" ht="13.5" customHeight="1" thickBot="1" x14ac:dyDescent="0.3">
      <c r="A78" s="54"/>
      <c r="B78" s="212"/>
      <c r="C78" s="192"/>
      <c r="D78" s="192"/>
      <c r="E78" s="192"/>
      <c r="F78" s="75" t="s">
        <v>89</v>
      </c>
      <c r="G78" s="76">
        <f t="shared" ref="G78" si="75">+E74</f>
        <v>0.60099999999999998</v>
      </c>
      <c r="H78" s="77"/>
      <c r="I78" s="78"/>
      <c r="J78" s="79">
        <v>0.29299999999999998</v>
      </c>
      <c r="K78" s="192"/>
      <c r="L78" s="192"/>
      <c r="M78" s="192"/>
      <c r="N78" s="192"/>
      <c r="O78" s="192"/>
      <c r="P78" s="197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s="64" customFormat="1" ht="13.5" customHeight="1" x14ac:dyDescent="0.25">
      <c r="A79" s="54"/>
      <c r="B79" s="210">
        <v>13</v>
      </c>
      <c r="C79" s="213">
        <f>+C74+0.6</f>
        <v>6.5000000000000009</v>
      </c>
      <c r="D79" s="190">
        <v>0.48799999999999999</v>
      </c>
      <c r="E79" s="190">
        <v>0.497</v>
      </c>
      <c r="F79" s="65" t="s">
        <v>85</v>
      </c>
      <c r="G79" s="66">
        <v>0</v>
      </c>
      <c r="H79" s="67"/>
      <c r="I79" s="68"/>
      <c r="J79" s="69">
        <v>0.114</v>
      </c>
      <c r="K79" s="190">
        <f>+IF(E79&lt;=0.12,(J81),(IF(E79&lt;0.16,((J80+2*J81+J82)/4),IF(E79&gt;=0.16,((J79+3*J80+2*J81+3*J82+J83)/10)))))</f>
        <v>0.16240000000000002</v>
      </c>
      <c r="L79" s="190">
        <f>ROUND(+(D74+D79)/2*(C79-C74),3)</f>
        <v>0.313</v>
      </c>
      <c r="M79" s="190">
        <f>ROUND(+K79*L79,4)</f>
        <v>5.0799999999999998E-2</v>
      </c>
      <c r="N79" s="193">
        <f>ROUND(+M79/$M$103*100,2)</f>
        <v>8.34</v>
      </c>
      <c r="O79" s="194"/>
      <c r="P79" s="195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s="64" customFormat="1" ht="13.5" customHeight="1" x14ac:dyDescent="0.25">
      <c r="A80" s="54"/>
      <c r="B80" s="211"/>
      <c r="C80" s="191"/>
      <c r="D80" s="191"/>
      <c r="E80" s="191"/>
      <c r="F80" s="70" t="s">
        <v>86</v>
      </c>
      <c r="G80" s="71">
        <f t="shared" ref="G80" si="76">IF(E79&lt;0.125,"NA",IF(0.125&lt;=E79,(0.2*E79)))</f>
        <v>9.9400000000000002E-2</v>
      </c>
      <c r="H80" s="72"/>
      <c r="I80" s="73"/>
      <c r="J80" s="74">
        <v>0.14599999999999999</v>
      </c>
      <c r="K80" s="191"/>
      <c r="L80" s="191"/>
      <c r="M80" s="191"/>
      <c r="N80" s="191"/>
      <c r="O80" s="191"/>
      <c r="P80" s="196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s="64" customFormat="1" ht="13.5" customHeight="1" x14ac:dyDescent="0.25">
      <c r="A81" s="54"/>
      <c r="B81" s="211"/>
      <c r="C81" s="191"/>
      <c r="D81" s="191"/>
      <c r="E81" s="191"/>
      <c r="F81" s="70" t="s">
        <v>87</v>
      </c>
      <c r="G81" s="71">
        <f t="shared" ref="G81" si="77">+E79*0.4</f>
        <v>0.1988</v>
      </c>
      <c r="H81" s="72"/>
      <c r="I81" s="73"/>
      <c r="J81" s="74">
        <v>0.13800000000000001</v>
      </c>
      <c r="K81" s="191"/>
      <c r="L81" s="191"/>
      <c r="M81" s="191"/>
      <c r="N81" s="191"/>
      <c r="O81" s="191"/>
      <c r="P81" s="196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s="64" customFormat="1" ht="13.5" customHeight="1" x14ac:dyDescent="0.25">
      <c r="A82" s="54"/>
      <c r="B82" s="211"/>
      <c r="C82" s="191"/>
      <c r="D82" s="191"/>
      <c r="E82" s="191"/>
      <c r="F82" s="70" t="s">
        <v>88</v>
      </c>
      <c r="G82" s="71">
        <f t="shared" ref="G82" si="78">IF(E79&lt;0.125,"NA",IF(0.125&lt;=E79,(0.8*E79)))</f>
        <v>0.39760000000000001</v>
      </c>
      <c r="H82" s="72"/>
      <c r="I82" s="73"/>
      <c r="J82" s="74">
        <v>0.193</v>
      </c>
      <c r="K82" s="191"/>
      <c r="L82" s="191"/>
      <c r="M82" s="191"/>
      <c r="N82" s="191"/>
      <c r="O82" s="191"/>
      <c r="P82" s="196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s="64" customFormat="1" ht="13.5" customHeight="1" thickBot="1" x14ac:dyDescent="0.3">
      <c r="A83" s="54"/>
      <c r="B83" s="212"/>
      <c r="C83" s="192"/>
      <c r="D83" s="192"/>
      <c r="E83" s="192"/>
      <c r="F83" s="75" t="s">
        <v>89</v>
      </c>
      <c r="G83" s="76">
        <f t="shared" ref="G83" si="79">+E79</f>
        <v>0.497</v>
      </c>
      <c r="H83" s="77"/>
      <c r="I83" s="78"/>
      <c r="J83" s="79">
        <v>0.217</v>
      </c>
      <c r="K83" s="192"/>
      <c r="L83" s="192"/>
      <c r="M83" s="192"/>
      <c r="N83" s="192"/>
      <c r="O83" s="192"/>
      <c r="P83" s="197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s="3" customFormat="1" ht="14.1" customHeight="1" x14ac:dyDescent="0.2">
      <c r="B84" s="198" t="s">
        <v>28</v>
      </c>
      <c r="C84" s="201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3"/>
    </row>
    <row r="85" spans="1:26" s="3" customFormat="1" ht="14.1" customHeight="1" x14ac:dyDescent="0.2">
      <c r="B85" s="199"/>
      <c r="C85" s="204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6"/>
    </row>
    <row r="86" spans="1:26" s="3" customFormat="1" ht="14.1" customHeight="1" x14ac:dyDescent="0.2">
      <c r="B86" s="199"/>
      <c r="C86" s="204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6"/>
    </row>
    <row r="87" spans="1:26" s="3" customFormat="1" ht="14.1" customHeight="1" x14ac:dyDescent="0.2">
      <c r="B87" s="199"/>
      <c r="C87" s="204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6"/>
    </row>
    <row r="88" spans="1:26" s="3" customFormat="1" ht="14.1" customHeight="1" x14ac:dyDescent="0.2">
      <c r="B88" s="199"/>
      <c r="C88" s="204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6"/>
    </row>
    <row r="89" spans="1:26" s="3" customFormat="1" ht="14.1" customHeight="1" thickBot="1" x14ac:dyDescent="0.25">
      <c r="B89" s="200"/>
      <c r="C89" s="207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9"/>
    </row>
    <row r="90" spans="1:26" s="3" customFormat="1" ht="28.5" customHeight="1" thickBot="1" x14ac:dyDescent="0.25">
      <c r="A90" s="80"/>
      <c r="B90" s="81" t="s">
        <v>90</v>
      </c>
      <c r="C90" s="177" t="s">
        <v>91</v>
      </c>
      <c r="D90" s="177"/>
      <c r="E90" s="177"/>
      <c r="F90" s="177"/>
      <c r="G90" s="177"/>
      <c r="H90" s="178"/>
      <c r="I90" s="179"/>
      <c r="J90" s="81" t="s">
        <v>92</v>
      </c>
      <c r="K90" s="177" t="s">
        <v>93</v>
      </c>
      <c r="L90" s="177"/>
      <c r="M90" s="177"/>
      <c r="N90" s="177"/>
      <c r="O90" s="177"/>
      <c r="P90" s="178"/>
    </row>
    <row r="91" spans="1:26" s="3" customFormat="1" ht="28.5" customHeight="1" thickBot="1" x14ac:dyDescent="0.25">
      <c r="B91" s="82" t="s">
        <v>94</v>
      </c>
      <c r="C91" s="181" t="s">
        <v>95</v>
      </c>
      <c r="D91" s="181"/>
      <c r="E91" s="181"/>
      <c r="F91" s="181"/>
      <c r="G91" s="181"/>
      <c r="H91" s="182"/>
      <c r="I91" s="180"/>
      <c r="J91" s="82" t="s">
        <v>96</v>
      </c>
      <c r="K91" s="181" t="s">
        <v>97</v>
      </c>
      <c r="L91" s="181"/>
      <c r="M91" s="181"/>
      <c r="N91" s="181"/>
      <c r="O91" s="181"/>
      <c r="P91" s="182"/>
    </row>
    <row r="92" spans="1:26" s="19" customFormat="1" ht="13.5" customHeight="1" x14ac:dyDescent="0.25">
      <c r="A92" s="83"/>
      <c r="B92" s="183">
        <f>+B69</f>
        <v>11</v>
      </c>
      <c r="C92" s="186">
        <f>+C64</f>
        <v>5.1000000000000005</v>
      </c>
      <c r="D92" s="188">
        <f>+D64</f>
        <v>0.63700000000000001</v>
      </c>
      <c r="E92" s="188">
        <f>+E69</f>
        <v>0.66500000000000004</v>
      </c>
      <c r="F92" s="84" t="s">
        <v>85</v>
      </c>
      <c r="G92" s="84">
        <v>0.01</v>
      </c>
      <c r="H92" s="85"/>
      <c r="I92" s="86"/>
      <c r="J92" s="87">
        <v>9.1999999999999998E-2</v>
      </c>
      <c r="K92" s="189">
        <f>+AVERAGE(J92:J102)</f>
        <v>0.2468181818181818</v>
      </c>
      <c r="L92" s="168">
        <f>ROUND(+(D92+D97)/2*(C97-C92),3)</f>
        <v>0.254</v>
      </c>
      <c r="M92" s="171">
        <f>ROUND(+K92*L92,4)</f>
        <v>6.2700000000000006E-2</v>
      </c>
      <c r="N92" s="168">
        <f>ROUND(+M92/$M$103*100,2)</f>
        <v>10.3</v>
      </c>
      <c r="O92" s="168"/>
      <c r="P92" s="172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s="19" customFormat="1" ht="13.5" customHeight="1" x14ac:dyDescent="0.25">
      <c r="A93" s="83"/>
      <c r="B93" s="184"/>
      <c r="C93" s="169"/>
      <c r="D93" s="169"/>
      <c r="E93" s="169"/>
      <c r="F93" s="89" t="s">
        <v>98</v>
      </c>
      <c r="G93" s="90">
        <f>+E92*0.1</f>
        <v>6.6500000000000004E-2</v>
      </c>
      <c r="H93" s="91"/>
      <c r="I93" s="92"/>
      <c r="J93" s="93">
        <v>0.129</v>
      </c>
      <c r="K93" s="169"/>
      <c r="L93" s="169"/>
      <c r="M93" s="169"/>
      <c r="N93" s="169"/>
      <c r="O93" s="169"/>
      <c r="P93" s="173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s="19" customFormat="1" ht="13.5" customHeight="1" x14ac:dyDescent="0.25">
      <c r="A94" s="83"/>
      <c r="B94" s="184"/>
      <c r="C94" s="169"/>
      <c r="D94" s="169"/>
      <c r="E94" s="169"/>
      <c r="F94" s="89" t="s">
        <v>99</v>
      </c>
      <c r="G94" s="90">
        <f>+E92*0.2</f>
        <v>0.13300000000000001</v>
      </c>
      <c r="H94" s="91"/>
      <c r="I94" s="92"/>
      <c r="J94" s="93">
        <v>0.19700000000000001</v>
      </c>
      <c r="K94" s="169"/>
      <c r="L94" s="169"/>
      <c r="M94" s="169"/>
      <c r="N94" s="169"/>
      <c r="O94" s="169"/>
      <c r="P94" s="173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s="19" customFormat="1" ht="13.5" customHeight="1" x14ac:dyDescent="0.25">
      <c r="A95" s="83"/>
      <c r="B95" s="184"/>
      <c r="C95" s="169"/>
      <c r="D95" s="169"/>
      <c r="E95" s="169"/>
      <c r="F95" s="89" t="s">
        <v>100</v>
      </c>
      <c r="G95" s="90">
        <f>+E92*0.3</f>
        <v>0.19950000000000001</v>
      </c>
      <c r="H95" s="91"/>
      <c r="I95" s="92"/>
      <c r="J95" s="93">
        <v>0.29099999999999998</v>
      </c>
      <c r="K95" s="169"/>
      <c r="L95" s="169"/>
      <c r="M95" s="169"/>
      <c r="N95" s="169"/>
      <c r="O95" s="169"/>
      <c r="P95" s="173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s="19" customFormat="1" ht="13.5" customHeight="1" x14ac:dyDescent="0.25">
      <c r="A96" s="83"/>
      <c r="B96" s="184"/>
      <c r="C96" s="187"/>
      <c r="D96" s="187"/>
      <c r="E96" s="169"/>
      <c r="F96" s="89" t="s">
        <v>101</v>
      </c>
      <c r="G96" s="90">
        <f>+E92*0.4</f>
        <v>0.26600000000000001</v>
      </c>
      <c r="H96" s="91"/>
      <c r="I96" s="92"/>
      <c r="J96" s="93">
        <v>0.28599999999999998</v>
      </c>
      <c r="K96" s="169"/>
      <c r="L96" s="169"/>
      <c r="M96" s="169"/>
      <c r="N96" s="169"/>
      <c r="O96" s="169"/>
      <c r="P96" s="173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s="19" customFormat="1" ht="13.5" customHeight="1" x14ac:dyDescent="0.25">
      <c r="A97" s="83"/>
      <c r="B97" s="184"/>
      <c r="C97" s="175">
        <f>+C69</f>
        <v>5.5000000000000009</v>
      </c>
      <c r="D97" s="176">
        <f>+D69</f>
        <v>0.63500000000000001</v>
      </c>
      <c r="E97" s="169"/>
      <c r="F97" s="89" t="s">
        <v>29</v>
      </c>
      <c r="G97" s="90">
        <f>+E92*0.5</f>
        <v>0.33250000000000002</v>
      </c>
      <c r="H97" s="91"/>
      <c r="I97" s="92"/>
      <c r="J97" s="93">
        <v>0.311</v>
      </c>
      <c r="K97" s="169"/>
      <c r="L97" s="169"/>
      <c r="M97" s="169"/>
      <c r="N97" s="169"/>
      <c r="O97" s="169"/>
      <c r="P97" s="173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s="19" customFormat="1" ht="13.5" customHeight="1" x14ac:dyDescent="0.25">
      <c r="A98" s="83"/>
      <c r="B98" s="184"/>
      <c r="C98" s="169"/>
      <c r="D98" s="169"/>
      <c r="E98" s="169"/>
      <c r="F98" s="89" t="s">
        <v>102</v>
      </c>
      <c r="G98" s="90">
        <f>+E92*0.6</f>
        <v>0.39900000000000002</v>
      </c>
      <c r="H98" s="91"/>
      <c r="I98" s="92"/>
      <c r="J98" s="93">
        <v>0.28999999999999998</v>
      </c>
      <c r="K98" s="169"/>
      <c r="L98" s="169"/>
      <c r="M98" s="169"/>
      <c r="N98" s="169"/>
      <c r="O98" s="169"/>
      <c r="P98" s="173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s="19" customFormat="1" ht="13.5" customHeight="1" x14ac:dyDescent="0.25">
      <c r="A99" s="83"/>
      <c r="B99" s="184"/>
      <c r="C99" s="169"/>
      <c r="D99" s="169"/>
      <c r="E99" s="169"/>
      <c r="F99" s="89" t="s">
        <v>103</v>
      </c>
      <c r="G99" s="90">
        <f>+E92*0.7</f>
        <v>0.46549999999999997</v>
      </c>
      <c r="H99" s="91"/>
      <c r="I99" s="92"/>
      <c r="J99" s="93">
        <v>0.29299999999999998</v>
      </c>
      <c r="K99" s="169"/>
      <c r="L99" s="169"/>
      <c r="M99" s="169"/>
      <c r="N99" s="169"/>
      <c r="O99" s="169"/>
      <c r="P99" s="173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s="19" customFormat="1" ht="13.5" customHeight="1" x14ac:dyDescent="0.25">
      <c r="A100" s="83"/>
      <c r="B100" s="184"/>
      <c r="C100" s="169"/>
      <c r="D100" s="169"/>
      <c r="E100" s="169"/>
      <c r="F100" s="89" t="s">
        <v>104</v>
      </c>
      <c r="G100" s="90">
        <f>+E92*0.8</f>
        <v>0.53200000000000003</v>
      </c>
      <c r="H100" s="91"/>
      <c r="I100" s="92"/>
      <c r="J100" s="93">
        <v>0.28000000000000003</v>
      </c>
      <c r="K100" s="169"/>
      <c r="L100" s="169"/>
      <c r="M100" s="169"/>
      <c r="N100" s="169"/>
      <c r="O100" s="169"/>
      <c r="P100" s="173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s="19" customFormat="1" ht="13.5" customHeight="1" x14ac:dyDescent="0.25">
      <c r="A101" s="83"/>
      <c r="B101" s="184"/>
      <c r="C101" s="169"/>
      <c r="D101" s="169"/>
      <c r="E101" s="169"/>
      <c r="F101" s="89" t="s">
        <v>105</v>
      </c>
      <c r="G101" s="90">
        <f>+E92*0.9</f>
        <v>0.59850000000000003</v>
      </c>
      <c r="H101" s="91"/>
      <c r="I101" s="92"/>
      <c r="J101" s="93">
        <v>0.27500000000000002</v>
      </c>
      <c r="K101" s="169"/>
      <c r="L101" s="169"/>
      <c r="M101" s="169"/>
      <c r="N101" s="169"/>
      <c r="O101" s="169"/>
      <c r="P101" s="173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s="19" customFormat="1" ht="15.75" thickBot="1" x14ac:dyDescent="0.3">
      <c r="A102" s="83"/>
      <c r="B102" s="185"/>
      <c r="C102" s="170"/>
      <c r="D102" s="170"/>
      <c r="E102" s="170"/>
      <c r="F102" s="94" t="s">
        <v>30</v>
      </c>
      <c r="G102" s="94">
        <f>+E92</f>
        <v>0.66500000000000004</v>
      </c>
      <c r="H102" s="95"/>
      <c r="I102" s="96"/>
      <c r="J102" s="97">
        <v>0.27100000000000002</v>
      </c>
      <c r="K102" s="170"/>
      <c r="L102" s="170"/>
      <c r="M102" s="170"/>
      <c r="N102" s="170"/>
      <c r="O102" s="170"/>
      <c r="P102" s="174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s="3" customFormat="1" ht="12.75" x14ac:dyDescent="0.2">
      <c r="A103" s="11"/>
      <c r="B103" s="156" t="s">
        <v>31</v>
      </c>
      <c r="C103" s="156"/>
      <c r="D103" s="156"/>
      <c r="E103" s="156"/>
      <c r="F103" s="156"/>
      <c r="G103" s="156"/>
      <c r="H103" s="156"/>
      <c r="I103" s="156"/>
      <c r="J103" s="156"/>
      <c r="K103" s="16">
        <f>ROUND(+M103/L103,3)</f>
        <v>0.23799999999999999</v>
      </c>
      <c r="L103" s="15">
        <f>SUM(L19:L102)</f>
        <v>2.5540000000000003</v>
      </c>
      <c r="M103" s="14">
        <f>SUM(M19:M102)</f>
        <v>0.60889999999999989</v>
      </c>
      <c r="N103" s="12">
        <f>ROUND(SUM(N19:N102),0)</f>
        <v>100</v>
      </c>
      <c r="O103" s="158" t="s">
        <v>32</v>
      </c>
      <c r="P103" s="160"/>
    </row>
    <row r="104" spans="1:26" s="3" customFormat="1" ht="15" customHeight="1" thickBot="1" x14ac:dyDescent="0.25">
      <c r="A104" s="11"/>
      <c r="B104" s="157"/>
      <c r="C104" s="157"/>
      <c r="D104" s="157"/>
      <c r="E104" s="157"/>
      <c r="F104" s="157"/>
      <c r="G104" s="157"/>
      <c r="H104" s="157"/>
      <c r="I104" s="157"/>
      <c r="J104" s="157"/>
      <c r="K104" s="13" t="s">
        <v>33</v>
      </c>
      <c r="L104" s="13" t="s">
        <v>49</v>
      </c>
      <c r="M104" s="13" t="s">
        <v>50</v>
      </c>
      <c r="N104" s="13" t="s">
        <v>34</v>
      </c>
      <c r="O104" s="159"/>
      <c r="P104" s="161"/>
    </row>
    <row r="105" spans="1:26" ht="15" customHeight="1" thickBot="1" x14ac:dyDescent="0.3">
      <c r="A105" s="5"/>
      <c r="B105" s="162" t="s">
        <v>106</v>
      </c>
      <c r="C105" s="163"/>
      <c r="D105" s="163"/>
      <c r="E105" s="163"/>
      <c r="F105" s="164"/>
      <c r="G105" s="162" t="s">
        <v>107</v>
      </c>
      <c r="H105" s="163"/>
      <c r="I105" s="163"/>
      <c r="J105" s="163"/>
      <c r="K105" s="164"/>
      <c r="L105" s="165" t="s">
        <v>52</v>
      </c>
      <c r="M105" s="166"/>
      <c r="N105" s="166"/>
      <c r="O105" s="166"/>
      <c r="P105" s="167"/>
    </row>
    <row r="106" spans="1:26" ht="15" customHeight="1" x14ac:dyDescent="0.25">
      <c r="A106" s="5"/>
      <c r="B106" s="126"/>
      <c r="C106" s="127"/>
      <c r="D106" s="127"/>
      <c r="E106" s="127"/>
      <c r="F106" s="128"/>
      <c r="G106" s="126"/>
      <c r="H106" s="127"/>
      <c r="I106" s="127"/>
      <c r="J106" s="127"/>
      <c r="K106" s="128"/>
      <c r="L106" s="135" t="s">
        <v>108</v>
      </c>
      <c r="M106" s="136"/>
      <c r="N106" s="136"/>
      <c r="O106" s="137">
        <f>+AVERAGE(E18:E83)</f>
        <v>0.48153846153846153</v>
      </c>
      <c r="P106" s="138"/>
    </row>
    <row r="107" spans="1:26" ht="15" customHeight="1" thickBot="1" x14ac:dyDescent="0.3">
      <c r="A107" s="5"/>
      <c r="B107" s="129"/>
      <c r="C107" s="130"/>
      <c r="D107" s="130"/>
      <c r="E107" s="130"/>
      <c r="F107" s="131"/>
      <c r="G107" s="129"/>
      <c r="H107" s="130"/>
      <c r="I107" s="130"/>
      <c r="J107" s="130"/>
      <c r="K107" s="131"/>
      <c r="L107" s="139" t="s">
        <v>109</v>
      </c>
      <c r="M107" s="140"/>
      <c r="N107" s="140"/>
      <c r="O107" s="141">
        <f>+MAX(E18:E83)</f>
        <v>0.66500000000000004</v>
      </c>
      <c r="P107" s="142"/>
    </row>
    <row r="108" spans="1:26" ht="18.600000000000001" customHeight="1" x14ac:dyDescent="0.25">
      <c r="A108" s="6"/>
      <c r="B108" s="129"/>
      <c r="C108" s="130"/>
      <c r="D108" s="130"/>
      <c r="E108" s="130"/>
      <c r="F108" s="131"/>
      <c r="G108" s="129"/>
      <c r="H108" s="130"/>
      <c r="I108" s="130"/>
      <c r="J108" s="130"/>
      <c r="K108" s="131"/>
      <c r="L108" s="143"/>
      <c r="M108" s="144"/>
      <c r="N108" s="144"/>
      <c r="O108" s="144"/>
      <c r="P108" s="145"/>
    </row>
    <row r="109" spans="1:26" ht="61.5" customHeight="1" x14ac:dyDescent="0.25">
      <c r="A109" s="10"/>
      <c r="B109" s="129"/>
      <c r="C109" s="130"/>
      <c r="D109" s="130"/>
      <c r="E109" s="130"/>
      <c r="F109" s="131"/>
      <c r="G109" s="129"/>
      <c r="H109" s="130"/>
      <c r="I109" s="130"/>
      <c r="J109" s="130"/>
      <c r="K109" s="131"/>
      <c r="L109" s="146"/>
      <c r="M109" s="147"/>
      <c r="N109" s="147"/>
      <c r="O109" s="147"/>
      <c r="P109" s="148"/>
    </row>
    <row r="110" spans="1:26" ht="15" customHeight="1" thickBot="1" x14ac:dyDescent="0.3">
      <c r="A110" s="5"/>
      <c r="B110" s="129"/>
      <c r="C110" s="130"/>
      <c r="D110" s="130"/>
      <c r="E110" s="130"/>
      <c r="F110" s="131"/>
      <c r="G110" s="129"/>
      <c r="H110" s="130"/>
      <c r="I110" s="130"/>
      <c r="J110" s="130"/>
      <c r="K110" s="131"/>
      <c r="L110" s="149"/>
      <c r="M110" s="150"/>
      <c r="N110" s="150"/>
      <c r="O110" s="150"/>
      <c r="P110" s="151"/>
    </row>
    <row r="111" spans="1:26" ht="22.5" customHeight="1" thickBot="1" x14ac:dyDescent="0.3">
      <c r="A111" s="5"/>
      <c r="B111" s="129"/>
      <c r="C111" s="130"/>
      <c r="D111" s="130"/>
      <c r="E111" s="130"/>
      <c r="F111" s="131"/>
      <c r="G111" s="129"/>
      <c r="H111" s="130"/>
      <c r="I111" s="130"/>
      <c r="J111" s="130"/>
      <c r="K111" s="131"/>
      <c r="L111" s="152" t="s">
        <v>35</v>
      </c>
      <c r="M111" s="153"/>
      <c r="N111" s="153"/>
      <c r="O111" s="153"/>
      <c r="P111" s="98">
        <v>3.09</v>
      </c>
    </row>
    <row r="112" spans="1:26" ht="32.25" customHeight="1" thickBot="1" x14ac:dyDescent="0.3">
      <c r="A112" s="5"/>
      <c r="B112" s="132"/>
      <c r="C112" s="133"/>
      <c r="D112" s="133"/>
      <c r="E112" s="133"/>
      <c r="F112" s="134"/>
      <c r="G112" s="132"/>
      <c r="H112" s="133"/>
      <c r="I112" s="133"/>
      <c r="J112" s="133"/>
      <c r="K112" s="134"/>
      <c r="L112" s="154" t="s">
        <v>110</v>
      </c>
      <c r="M112" s="155"/>
      <c r="N112" s="155"/>
      <c r="O112" s="155"/>
      <c r="P112" s="98">
        <v>0.58809999999999996</v>
      </c>
    </row>
    <row r="113" spans="1:16" ht="23.45" customHeight="1" thickBot="1" x14ac:dyDescent="0.3">
      <c r="A113" s="7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</row>
    <row r="114" spans="1:16" ht="15.75" thickBot="1" x14ac:dyDescent="0.3">
      <c r="A114" s="115" t="s">
        <v>36</v>
      </c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7"/>
    </row>
    <row r="115" spans="1:16" ht="159" customHeight="1" thickBot="1" x14ac:dyDescent="0.3">
      <c r="A115" s="4"/>
      <c r="B115" s="118"/>
      <c r="C115" s="119"/>
      <c r="D115" s="119"/>
      <c r="E115" s="119"/>
      <c r="F115" s="120"/>
      <c r="G115" s="118"/>
      <c r="H115" s="119"/>
      <c r="I115" s="119"/>
      <c r="J115" s="119"/>
      <c r="K115" s="120"/>
      <c r="L115" s="118"/>
      <c r="M115" s="119"/>
      <c r="N115" s="119"/>
      <c r="O115" s="119"/>
      <c r="P115" s="121"/>
    </row>
    <row r="116" spans="1:16" ht="21.75" customHeight="1" thickBot="1" x14ac:dyDescent="0.3">
      <c r="A116" s="4"/>
      <c r="B116" s="122" t="s">
        <v>53</v>
      </c>
      <c r="C116" s="123"/>
      <c r="D116" s="123"/>
      <c r="E116" s="123"/>
      <c r="F116" s="124"/>
      <c r="G116" s="122" t="s">
        <v>111</v>
      </c>
      <c r="H116" s="123"/>
      <c r="I116" s="123"/>
      <c r="J116" s="123"/>
      <c r="K116" s="124"/>
      <c r="L116" s="122" t="s">
        <v>112</v>
      </c>
      <c r="M116" s="123"/>
      <c r="N116" s="123"/>
      <c r="O116" s="123"/>
      <c r="P116" s="125"/>
    </row>
    <row r="117" spans="1:16" s="9" customFormat="1" ht="16.899999999999999" customHeight="1" thickBot="1" x14ac:dyDescent="0.3">
      <c r="A117" s="8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10"/>
    </row>
    <row r="118" spans="1:16" s="3" customFormat="1" ht="15.75" customHeight="1" thickBot="1" x14ac:dyDescent="0.25">
      <c r="A118" s="111" t="s">
        <v>37</v>
      </c>
      <c r="B118" s="112"/>
      <c r="C118" s="112"/>
      <c r="D118" s="112"/>
      <c r="E118" s="112"/>
      <c r="F118" s="112"/>
      <c r="G118" s="112"/>
      <c r="H118" s="112"/>
      <c r="I118" s="112"/>
      <c r="J118" s="112" t="s">
        <v>38</v>
      </c>
      <c r="K118" s="112"/>
      <c r="L118" s="112"/>
      <c r="M118" s="112"/>
      <c r="N118" s="112"/>
      <c r="O118" s="112"/>
      <c r="P118" s="113"/>
    </row>
  </sheetData>
  <mergeCells count="23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17:P117"/>
    <mergeCell ref="A118:C118"/>
    <mergeCell ref="D118:I118"/>
    <mergeCell ref="J118:K118"/>
    <mergeCell ref="L118:P118"/>
    <mergeCell ref="B113:P113"/>
    <mergeCell ref="A114:P114"/>
    <mergeCell ref="B115:F115"/>
    <mergeCell ref="G115:K115"/>
    <mergeCell ref="L115:P115"/>
    <mergeCell ref="B116:F116"/>
    <mergeCell ref="G116:K116"/>
    <mergeCell ref="L116:P11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3"/>
  <sheetViews>
    <sheetView view="pageBreakPreview" zoomScale="70" zoomScaleSheetLayoutView="7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6"/>
      <c r="B2" s="327"/>
      <c r="C2" s="328"/>
      <c r="D2" s="329"/>
      <c r="E2" s="330" t="s">
        <v>123</v>
      </c>
      <c r="F2" s="331"/>
      <c r="G2" s="331"/>
      <c r="H2" s="331"/>
      <c r="I2" s="331"/>
      <c r="J2" s="331"/>
      <c r="K2" s="331"/>
      <c r="L2" s="331"/>
      <c r="M2" s="331"/>
      <c r="N2" s="331"/>
      <c r="O2" s="332"/>
      <c r="P2" s="333"/>
    </row>
    <row r="3" spans="1:26" s="2" customFormat="1" ht="24.75" customHeight="1" thickBot="1" x14ac:dyDescent="0.3">
      <c r="A3" s="326"/>
      <c r="B3" s="334"/>
      <c r="C3" s="335"/>
      <c r="D3" s="336"/>
      <c r="E3" s="337"/>
      <c r="F3" s="338"/>
      <c r="G3" s="338"/>
      <c r="H3" s="338"/>
      <c r="I3" s="338"/>
      <c r="J3" s="338"/>
      <c r="K3" s="338"/>
      <c r="L3" s="338"/>
      <c r="M3" s="338"/>
      <c r="N3" s="338"/>
      <c r="O3" s="339"/>
      <c r="P3" s="340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43061</v>
      </c>
      <c r="D5" s="298"/>
      <c r="E5" s="22" t="s">
        <v>55</v>
      </c>
      <c r="F5" s="23">
        <v>2</v>
      </c>
      <c r="G5" s="24" t="s">
        <v>1</v>
      </c>
      <c r="H5" s="299" t="s">
        <v>124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2</v>
      </c>
      <c r="C6" s="281"/>
      <c r="D6" s="282" t="s">
        <v>56</v>
      </c>
      <c r="E6" s="283"/>
      <c r="F6" s="283"/>
      <c r="G6" s="283"/>
      <c r="H6" s="283"/>
      <c r="I6" s="284"/>
      <c r="J6" s="28" t="s">
        <v>3</v>
      </c>
      <c r="K6" s="285" t="s">
        <v>113</v>
      </c>
      <c r="L6" s="284"/>
      <c r="M6" s="285" t="s">
        <v>114</v>
      </c>
      <c r="N6" s="286"/>
      <c r="O6" s="29" t="s">
        <v>59</v>
      </c>
      <c r="P6" s="30">
        <v>2101</v>
      </c>
    </row>
    <row r="7" spans="1:26" s="26" customFormat="1" ht="21.75" customHeight="1" x14ac:dyDescent="0.25">
      <c r="B7" s="287" t="s">
        <v>60</v>
      </c>
      <c r="C7" s="288" t="s">
        <v>61</v>
      </c>
      <c r="D7" s="258"/>
      <c r="E7" s="32"/>
      <c r="F7" s="289" t="s">
        <v>62</v>
      </c>
      <c r="G7" s="290"/>
      <c r="H7" s="290"/>
      <c r="I7" s="290"/>
      <c r="J7" s="291" t="s">
        <v>63</v>
      </c>
      <c r="K7" s="292"/>
      <c r="L7" s="292"/>
      <c r="M7" s="293"/>
      <c r="N7" s="294" t="s">
        <v>64</v>
      </c>
      <c r="O7" s="295"/>
      <c r="P7" s="33" t="s">
        <v>65</v>
      </c>
    </row>
    <row r="8" spans="1:26" s="26" customFormat="1" ht="21.75" customHeight="1" thickBot="1" x14ac:dyDescent="0.3">
      <c r="B8" s="232"/>
      <c r="C8" s="249" t="s">
        <v>66</v>
      </c>
      <c r="D8" s="248"/>
      <c r="E8" s="34" t="s">
        <v>4</v>
      </c>
      <c r="F8" s="259" t="s">
        <v>5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6</v>
      </c>
      <c r="C9" s="269" t="s">
        <v>67</v>
      </c>
      <c r="D9" s="270" t="s">
        <v>68</v>
      </c>
      <c r="E9" s="255"/>
      <c r="F9" s="36"/>
      <c r="G9" s="271" t="s">
        <v>7</v>
      </c>
      <c r="H9" s="272" t="s">
        <v>8</v>
      </c>
      <c r="I9" s="258"/>
      <c r="J9" s="37"/>
      <c r="K9" s="269" t="s">
        <v>69</v>
      </c>
      <c r="L9" s="273" t="s">
        <v>70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71</v>
      </c>
      <c r="E10" s="248"/>
      <c r="F10" s="38" t="s">
        <v>4</v>
      </c>
      <c r="G10" s="212"/>
      <c r="H10" s="253" t="s">
        <v>9</v>
      </c>
      <c r="I10" s="248"/>
      <c r="J10" s="39" t="s">
        <v>4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10</v>
      </c>
      <c r="D11" s="255"/>
      <c r="E11" s="40">
        <v>0.4604166666666667</v>
      </c>
      <c r="F11" s="256" t="s">
        <v>11</v>
      </c>
      <c r="G11" s="255"/>
      <c r="H11" s="41">
        <v>0.91</v>
      </c>
      <c r="I11" s="257" t="s">
        <v>12</v>
      </c>
      <c r="J11" s="258"/>
      <c r="K11" s="42">
        <v>17</v>
      </c>
      <c r="L11" s="254" t="s">
        <v>13</v>
      </c>
      <c r="M11" s="255"/>
      <c r="N11" s="43">
        <v>5</v>
      </c>
      <c r="O11" s="245" t="s">
        <v>72</v>
      </c>
      <c r="P11" s="246"/>
    </row>
    <row r="12" spans="1:26" s="26" customFormat="1" ht="21.75" customHeight="1" thickBot="1" x14ac:dyDescent="0.3">
      <c r="A12" s="20"/>
      <c r="B12" s="268"/>
      <c r="C12" s="247" t="s">
        <v>14</v>
      </c>
      <c r="D12" s="248"/>
      <c r="E12" s="40">
        <v>0.52083333333333337</v>
      </c>
      <c r="F12" s="249" t="s">
        <v>15</v>
      </c>
      <c r="G12" s="248"/>
      <c r="H12" s="41">
        <v>0.92</v>
      </c>
      <c r="I12" s="250" t="s">
        <v>16</v>
      </c>
      <c r="J12" s="248"/>
      <c r="K12" s="40">
        <v>0.46111111111111108</v>
      </c>
      <c r="L12" s="247" t="s">
        <v>17</v>
      </c>
      <c r="M12" s="248"/>
      <c r="N12" s="44">
        <v>0.5</v>
      </c>
      <c r="O12" s="251">
        <v>1.5</v>
      </c>
      <c r="P12" s="252"/>
    </row>
    <row r="13" spans="1:26" s="26" customFormat="1" ht="21.75" customHeight="1" x14ac:dyDescent="0.25">
      <c r="A13" s="20"/>
      <c r="B13" s="230" t="s">
        <v>18</v>
      </c>
      <c r="C13" s="233" t="s">
        <v>73</v>
      </c>
      <c r="D13" s="234"/>
      <c r="E13" s="234"/>
      <c r="F13" s="235" t="s">
        <v>74</v>
      </c>
      <c r="G13" s="234"/>
      <c r="H13" s="234"/>
      <c r="I13" s="234"/>
      <c r="J13" s="235" t="s">
        <v>75</v>
      </c>
      <c r="K13" s="234"/>
      <c r="L13" s="234"/>
      <c r="M13" s="234"/>
      <c r="N13" s="236" t="s">
        <v>76</v>
      </c>
      <c r="O13" s="234"/>
      <c r="P13" s="237"/>
      <c r="Q13" s="45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77</v>
      </c>
      <c r="D14" s="239"/>
      <c r="E14" s="239"/>
      <c r="F14" s="240" t="s">
        <v>78</v>
      </c>
      <c r="G14" s="239"/>
      <c r="H14" s="239"/>
      <c r="I14" s="239"/>
      <c r="J14" s="241" t="s">
        <v>79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80</v>
      </c>
      <c r="D15" s="214"/>
      <c r="E15" s="214"/>
      <c r="F15" s="214" t="s">
        <v>81</v>
      </c>
      <c r="G15" s="215"/>
      <c r="H15" s="215"/>
      <c r="I15" s="215"/>
      <c r="J15" s="214" t="s">
        <v>82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19</v>
      </c>
      <c r="C16" s="221" t="s">
        <v>20</v>
      </c>
      <c r="D16" s="221" t="s">
        <v>41</v>
      </c>
      <c r="E16" s="223" t="s">
        <v>21</v>
      </c>
      <c r="F16" s="224" t="s">
        <v>42</v>
      </c>
      <c r="G16" s="225"/>
      <c r="H16" s="221" t="s">
        <v>83</v>
      </c>
      <c r="I16" s="228" t="s">
        <v>84</v>
      </c>
      <c r="J16" s="46" t="s">
        <v>43</v>
      </c>
      <c r="K16" s="47"/>
      <c r="L16" s="48" t="s">
        <v>44</v>
      </c>
      <c r="M16" s="48" t="s">
        <v>45</v>
      </c>
      <c r="N16" s="48" t="s">
        <v>45</v>
      </c>
      <c r="O16" s="48" t="s">
        <v>46</v>
      </c>
      <c r="P16" s="49" t="s">
        <v>22</v>
      </c>
    </row>
    <row r="17" spans="1:26" s="26" customFormat="1" ht="21.75" customHeight="1" thickBot="1" x14ac:dyDescent="0.3">
      <c r="A17" s="50"/>
      <c r="B17" s="220"/>
      <c r="C17" s="222"/>
      <c r="D17" s="222"/>
      <c r="E17" s="222"/>
      <c r="F17" s="226"/>
      <c r="G17" s="227"/>
      <c r="H17" s="222"/>
      <c r="I17" s="229"/>
      <c r="J17" s="51" t="s">
        <v>23</v>
      </c>
      <c r="K17" s="52" t="s">
        <v>24</v>
      </c>
      <c r="L17" s="52" t="s">
        <v>47</v>
      </c>
      <c r="M17" s="52" t="s">
        <v>48</v>
      </c>
      <c r="N17" s="52" t="s">
        <v>25</v>
      </c>
      <c r="O17" s="52" t="s">
        <v>26</v>
      </c>
      <c r="P17" s="53" t="s">
        <v>27</v>
      </c>
    </row>
    <row r="18" spans="1:26" s="64" customFormat="1" ht="21.75" customHeight="1" thickBot="1" x14ac:dyDescent="0.3">
      <c r="A18" s="54"/>
      <c r="B18" s="55"/>
      <c r="C18" s="56">
        <f>+O12</f>
        <v>1.5</v>
      </c>
      <c r="D18" s="56">
        <v>6.5000000000000002E-2</v>
      </c>
      <c r="E18" s="57"/>
      <c r="F18" s="58"/>
      <c r="G18" s="59"/>
      <c r="H18" s="60"/>
      <c r="I18" s="61"/>
      <c r="J18" s="62"/>
      <c r="K18" s="57"/>
      <c r="L18" s="57"/>
      <c r="M18" s="57"/>
      <c r="N18" s="57"/>
      <c r="O18" s="57"/>
      <c r="P18" s="63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s="64" customFormat="1" ht="13.5" customHeight="1" x14ac:dyDescent="0.25">
      <c r="A19" s="54"/>
      <c r="B19" s="210">
        <v>1</v>
      </c>
      <c r="C19" s="213">
        <f>+C18+$N$12</f>
        <v>2</v>
      </c>
      <c r="D19" s="190">
        <v>0.39800000000000002</v>
      </c>
      <c r="E19" s="190">
        <v>0.32800000000000001</v>
      </c>
      <c r="F19" s="65" t="s">
        <v>85</v>
      </c>
      <c r="G19" s="66">
        <v>0</v>
      </c>
      <c r="H19" s="67"/>
      <c r="I19" s="68"/>
      <c r="J19" s="69">
        <v>3.1E-2</v>
      </c>
      <c r="K19" s="190">
        <f>+IF(E19&lt;=0.12,(J21),(IF(E19&lt;0.16,((J20+2*J21+J22)/4),IF(E19&gt;=0.16,((J19+3*J20+2*J21+3*J22+J23)/10)))))</f>
        <v>5.8299999999999998E-2</v>
      </c>
      <c r="L19" s="190">
        <f>ROUND(+(D18+D19)/2*(C19-C18),3)</f>
        <v>0.11600000000000001</v>
      </c>
      <c r="M19" s="190">
        <f>ROUND(+K19*L19,4)</f>
        <v>6.7999999999999996E-3</v>
      </c>
      <c r="N19" s="193">
        <f>ROUND(+M19/$M$88*100,2)</f>
        <v>0.53</v>
      </c>
      <c r="O19" s="194"/>
      <c r="P19" s="195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s="64" customFormat="1" ht="13.5" customHeight="1" x14ac:dyDescent="0.25">
      <c r="A20" s="54"/>
      <c r="B20" s="211"/>
      <c r="C20" s="191"/>
      <c r="D20" s="191"/>
      <c r="E20" s="191"/>
      <c r="F20" s="70" t="s">
        <v>86</v>
      </c>
      <c r="G20" s="71">
        <f>IF(E19&lt;0.125,"NA",IF(0.125&lt;=E19,(0.2*E19)))</f>
        <v>6.5600000000000006E-2</v>
      </c>
      <c r="H20" s="72"/>
      <c r="I20" s="73"/>
      <c r="J20" s="74">
        <v>0.05</v>
      </c>
      <c r="K20" s="191"/>
      <c r="L20" s="191"/>
      <c r="M20" s="191"/>
      <c r="N20" s="191"/>
      <c r="O20" s="191"/>
      <c r="P20" s="196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s="64" customFormat="1" ht="13.5" customHeight="1" x14ac:dyDescent="0.25">
      <c r="A21" s="54"/>
      <c r="B21" s="211"/>
      <c r="C21" s="191"/>
      <c r="D21" s="191"/>
      <c r="E21" s="191"/>
      <c r="F21" s="70" t="s">
        <v>87</v>
      </c>
      <c r="G21" s="71">
        <f>+E19*0.4</f>
        <v>0.13120000000000001</v>
      </c>
      <c r="H21" s="72"/>
      <c r="I21" s="73"/>
      <c r="J21" s="74">
        <v>7.4999999999999997E-2</v>
      </c>
      <c r="K21" s="191"/>
      <c r="L21" s="191"/>
      <c r="M21" s="191"/>
      <c r="N21" s="191"/>
      <c r="O21" s="191"/>
      <c r="P21" s="196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s="64" customFormat="1" ht="13.5" customHeight="1" x14ac:dyDescent="0.25">
      <c r="A22" s="54"/>
      <c r="B22" s="211"/>
      <c r="C22" s="191"/>
      <c r="D22" s="191"/>
      <c r="E22" s="191"/>
      <c r="F22" s="70" t="s">
        <v>88</v>
      </c>
      <c r="G22" s="71">
        <f>IF(E19&lt;0.125,"NA",IF(0.125&lt;=E19,(0.8*E19)))</f>
        <v>0.26240000000000002</v>
      </c>
      <c r="H22" s="72"/>
      <c r="I22" s="73"/>
      <c r="J22" s="74">
        <v>6.4000000000000001E-2</v>
      </c>
      <c r="K22" s="191"/>
      <c r="L22" s="191"/>
      <c r="M22" s="191"/>
      <c r="N22" s="191"/>
      <c r="O22" s="191"/>
      <c r="P22" s="196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s="64" customFormat="1" ht="13.5" customHeight="1" thickBot="1" x14ac:dyDescent="0.3">
      <c r="A23" s="54"/>
      <c r="B23" s="212"/>
      <c r="C23" s="192"/>
      <c r="D23" s="192"/>
      <c r="E23" s="192"/>
      <c r="F23" s="75" t="s">
        <v>89</v>
      </c>
      <c r="G23" s="76">
        <f>+E19</f>
        <v>0.32800000000000001</v>
      </c>
      <c r="H23" s="77"/>
      <c r="I23" s="78"/>
      <c r="J23" s="79">
        <v>0.06</v>
      </c>
      <c r="K23" s="192"/>
      <c r="L23" s="192"/>
      <c r="M23" s="192"/>
      <c r="N23" s="192"/>
      <c r="O23" s="192"/>
      <c r="P23" s="197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s="64" customFormat="1" ht="13.5" customHeight="1" x14ac:dyDescent="0.25">
      <c r="A24" s="54"/>
      <c r="B24" s="210">
        <v>2</v>
      </c>
      <c r="C24" s="213">
        <f>+C19+$N$12</f>
        <v>2.5</v>
      </c>
      <c r="D24" s="190">
        <v>0.46899999999999997</v>
      </c>
      <c r="E24" s="190">
        <v>0.47099999999999997</v>
      </c>
      <c r="F24" s="65" t="s">
        <v>85</v>
      </c>
      <c r="G24" s="66">
        <v>0</v>
      </c>
      <c r="H24" s="67"/>
      <c r="I24" s="68"/>
      <c r="J24" s="69"/>
      <c r="K24" s="190"/>
      <c r="L24" s="190"/>
      <c r="M24" s="190"/>
      <c r="N24" s="193"/>
      <c r="O24" s="194"/>
      <c r="P24" s="195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s="64" customFormat="1" ht="13.5" customHeight="1" x14ac:dyDescent="0.25">
      <c r="A25" s="54"/>
      <c r="B25" s="211"/>
      <c r="C25" s="191"/>
      <c r="D25" s="191"/>
      <c r="E25" s="191"/>
      <c r="F25" s="70" t="s">
        <v>86</v>
      </c>
      <c r="G25" s="71">
        <f t="shared" ref="G25" si="0">IF(E24&lt;0.125,"NA",IF(0.125&lt;=E24,(0.2*E24)))</f>
        <v>9.4200000000000006E-2</v>
      </c>
      <c r="H25" s="72"/>
      <c r="I25" s="73"/>
      <c r="J25" s="74"/>
      <c r="K25" s="191"/>
      <c r="L25" s="191"/>
      <c r="M25" s="191"/>
      <c r="N25" s="191"/>
      <c r="O25" s="191"/>
      <c r="P25" s="196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s="64" customFormat="1" ht="13.5" customHeight="1" x14ac:dyDescent="0.25">
      <c r="A26" s="54"/>
      <c r="B26" s="211"/>
      <c r="C26" s="191"/>
      <c r="D26" s="191"/>
      <c r="E26" s="191"/>
      <c r="F26" s="70" t="s">
        <v>87</v>
      </c>
      <c r="G26" s="71">
        <f t="shared" ref="G26" si="1">+E24*0.4</f>
        <v>0.18840000000000001</v>
      </c>
      <c r="H26" s="72"/>
      <c r="I26" s="73"/>
      <c r="J26" s="74"/>
      <c r="K26" s="191"/>
      <c r="L26" s="191"/>
      <c r="M26" s="191"/>
      <c r="N26" s="191"/>
      <c r="O26" s="191"/>
      <c r="P26" s="196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s="64" customFormat="1" ht="13.5" customHeight="1" x14ac:dyDescent="0.25">
      <c r="A27" s="54"/>
      <c r="B27" s="211"/>
      <c r="C27" s="191"/>
      <c r="D27" s="191"/>
      <c r="E27" s="191"/>
      <c r="F27" s="70" t="s">
        <v>88</v>
      </c>
      <c r="G27" s="71">
        <f t="shared" ref="G27" si="2">IF(E24&lt;0.125,"NA",IF(0.125&lt;=E24,(0.8*E24)))</f>
        <v>0.37680000000000002</v>
      </c>
      <c r="H27" s="72"/>
      <c r="I27" s="73"/>
      <c r="J27" s="74"/>
      <c r="K27" s="191"/>
      <c r="L27" s="191"/>
      <c r="M27" s="191"/>
      <c r="N27" s="191"/>
      <c r="O27" s="191"/>
      <c r="P27" s="196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s="64" customFormat="1" ht="13.5" customHeight="1" thickBot="1" x14ac:dyDescent="0.3">
      <c r="A28" s="54"/>
      <c r="B28" s="212"/>
      <c r="C28" s="192"/>
      <c r="D28" s="192"/>
      <c r="E28" s="192"/>
      <c r="F28" s="75" t="s">
        <v>89</v>
      </c>
      <c r="G28" s="76">
        <f t="shared" ref="G28" si="3">+E24</f>
        <v>0.47099999999999997</v>
      </c>
      <c r="H28" s="77"/>
      <c r="I28" s="78"/>
      <c r="J28" s="79"/>
      <c r="K28" s="192"/>
      <c r="L28" s="192"/>
      <c r="M28" s="192"/>
      <c r="N28" s="192"/>
      <c r="O28" s="192"/>
      <c r="P28" s="197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s="64" customFormat="1" ht="13.5" customHeight="1" x14ac:dyDescent="0.25">
      <c r="A29" s="54"/>
      <c r="B29" s="210">
        <v>3</v>
      </c>
      <c r="C29" s="213">
        <f>+C24+$N$12</f>
        <v>3</v>
      </c>
      <c r="D29" s="190">
        <v>0.372</v>
      </c>
      <c r="E29" s="190">
        <v>0.43</v>
      </c>
      <c r="F29" s="65" t="s">
        <v>85</v>
      </c>
      <c r="G29" s="66">
        <v>0</v>
      </c>
      <c r="H29" s="67"/>
      <c r="I29" s="68"/>
      <c r="J29" s="69">
        <v>0.1</v>
      </c>
      <c r="K29" s="190">
        <f>+IF(E29&lt;=0.12,(J31),(IF(E29&lt;0.16,((J30+2*J31+J32)/4),IF(E29&gt;=0.16,((J29+3*J30+2*J31+3*J32+J33)/10)))))</f>
        <v>0.49219999999999997</v>
      </c>
      <c r="L29" s="190">
        <f>ROUND(+(D24+D29)/2*(C29-C24),3)</f>
        <v>0.21</v>
      </c>
      <c r="M29" s="190">
        <f>ROUND(+K29*L29,4)</f>
        <v>0.10340000000000001</v>
      </c>
      <c r="N29" s="193">
        <f t="shared" ref="N29" si="4">ROUND(+M29/$M$88*100,2)</f>
        <v>8.0299999999999994</v>
      </c>
      <c r="O29" s="194"/>
      <c r="P29" s="195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s="64" customFormat="1" ht="13.5" customHeight="1" x14ac:dyDescent="0.25">
      <c r="A30" s="54"/>
      <c r="B30" s="211"/>
      <c r="C30" s="191"/>
      <c r="D30" s="191"/>
      <c r="E30" s="191"/>
      <c r="F30" s="70" t="s">
        <v>86</v>
      </c>
      <c r="G30" s="71">
        <f t="shared" ref="G30" si="5">IF(E29&lt;0.125,"NA",IF(0.125&lt;=E29,(0.2*E29)))</f>
        <v>8.6000000000000007E-2</v>
      </c>
      <c r="H30" s="72"/>
      <c r="I30" s="73"/>
      <c r="J30" s="74">
        <v>0.23699999999999999</v>
      </c>
      <c r="K30" s="191"/>
      <c r="L30" s="191"/>
      <c r="M30" s="191"/>
      <c r="N30" s="191"/>
      <c r="O30" s="191"/>
      <c r="P30" s="196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s="64" customFormat="1" ht="13.5" customHeight="1" x14ac:dyDescent="0.25">
      <c r="A31" s="54"/>
      <c r="B31" s="211"/>
      <c r="C31" s="191"/>
      <c r="D31" s="191"/>
      <c r="E31" s="191"/>
      <c r="F31" s="70" t="s">
        <v>87</v>
      </c>
      <c r="G31" s="71">
        <f t="shared" ref="G31" si="6">+E29*0.4</f>
        <v>0.17200000000000001</v>
      </c>
      <c r="H31" s="72"/>
      <c r="I31" s="73"/>
      <c r="J31" s="74">
        <v>0.53200000000000003</v>
      </c>
      <c r="K31" s="191"/>
      <c r="L31" s="191"/>
      <c r="M31" s="191"/>
      <c r="N31" s="191"/>
      <c r="O31" s="191"/>
      <c r="P31" s="196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s="64" customFormat="1" ht="13.5" customHeight="1" x14ac:dyDescent="0.25">
      <c r="A32" s="54"/>
      <c r="B32" s="211"/>
      <c r="C32" s="191"/>
      <c r="D32" s="191"/>
      <c r="E32" s="191"/>
      <c r="F32" s="70" t="s">
        <v>88</v>
      </c>
      <c r="G32" s="71">
        <f t="shared" ref="G32" si="7">IF(E29&lt;0.125,"NA",IF(0.125&lt;=E29,(0.8*E29)))</f>
        <v>0.34400000000000003</v>
      </c>
      <c r="H32" s="72"/>
      <c r="I32" s="73"/>
      <c r="J32" s="74">
        <v>0.745</v>
      </c>
      <c r="K32" s="191"/>
      <c r="L32" s="191"/>
      <c r="M32" s="191"/>
      <c r="N32" s="191"/>
      <c r="O32" s="191"/>
      <c r="P32" s="196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s="64" customFormat="1" ht="13.5" customHeight="1" thickBot="1" x14ac:dyDescent="0.3">
      <c r="A33" s="54"/>
      <c r="B33" s="212"/>
      <c r="C33" s="192"/>
      <c r="D33" s="192"/>
      <c r="E33" s="192"/>
      <c r="F33" s="75" t="s">
        <v>89</v>
      </c>
      <c r="G33" s="76">
        <f t="shared" ref="G33" si="8">+E29</f>
        <v>0.43</v>
      </c>
      <c r="H33" s="77"/>
      <c r="I33" s="78"/>
      <c r="J33" s="79">
        <v>0.81200000000000006</v>
      </c>
      <c r="K33" s="192"/>
      <c r="L33" s="192"/>
      <c r="M33" s="192"/>
      <c r="N33" s="192"/>
      <c r="O33" s="192"/>
      <c r="P33" s="197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s="64" customFormat="1" ht="13.5" customHeight="1" x14ac:dyDescent="0.25">
      <c r="A34" s="54"/>
      <c r="B34" s="210">
        <v>4</v>
      </c>
      <c r="C34" s="213">
        <f>+C29+$N$12</f>
        <v>3.5</v>
      </c>
      <c r="D34" s="190">
        <v>0.38100000000000001</v>
      </c>
      <c r="E34" s="190">
        <v>0.36199999999999999</v>
      </c>
      <c r="F34" s="65" t="s">
        <v>85</v>
      </c>
      <c r="G34" s="66">
        <v>0</v>
      </c>
      <c r="H34" s="67"/>
      <c r="I34" s="68"/>
      <c r="J34" s="69">
        <v>0.499</v>
      </c>
      <c r="K34" s="190">
        <f t="shared" ref="K34" si="9">+IF(E34&lt;=0.12,(J36),(IF(E34&lt;0.16,((J35+2*J36+J37)/4),IF(E34&gt;=0.16,((J34+3*J35+2*J36+3*J37+J38)/10)))))</f>
        <v>0.72499999999999998</v>
      </c>
      <c r="L34" s="190">
        <f>ROUND(+(D29+D34)/2*(C34-C29),3)</f>
        <v>0.188</v>
      </c>
      <c r="M34" s="190">
        <f t="shared" ref="M34" si="10">ROUND(+K34*L34,4)</f>
        <v>0.1363</v>
      </c>
      <c r="N34" s="193">
        <f t="shared" ref="N34" si="11">ROUND(+M34/$M$88*100,2)</f>
        <v>10.58</v>
      </c>
      <c r="O34" s="194"/>
      <c r="P34" s="195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s="64" customFormat="1" ht="13.5" customHeight="1" x14ac:dyDescent="0.25">
      <c r="A35" s="54"/>
      <c r="B35" s="211"/>
      <c r="C35" s="191"/>
      <c r="D35" s="191"/>
      <c r="E35" s="191"/>
      <c r="F35" s="70" t="s">
        <v>86</v>
      </c>
      <c r="G35" s="71">
        <f t="shared" ref="G35" si="12">IF(E34&lt;0.125,"NA",IF(0.125&lt;=E34,(0.2*E34)))</f>
        <v>7.2400000000000006E-2</v>
      </c>
      <c r="H35" s="72"/>
      <c r="I35" s="73"/>
      <c r="J35" s="74">
        <v>0.57299999999999995</v>
      </c>
      <c r="K35" s="191"/>
      <c r="L35" s="191"/>
      <c r="M35" s="191"/>
      <c r="N35" s="191"/>
      <c r="O35" s="191"/>
      <c r="P35" s="196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s="64" customFormat="1" ht="13.5" customHeight="1" x14ac:dyDescent="0.25">
      <c r="A36" s="54"/>
      <c r="B36" s="211"/>
      <c r="C36" s="191"/>
      <c r="D36" s="191"/>
      <c r="E36" s="191"/>
      <c r="F36" s="70" t="s">
        <v>87</v>
      </c>
      <c r="G36" s="71">
        <f t="shared" ref="G36" si="13">+E34*0.4</f>
        <v>0.14480000000000001</v>
      </c>
      <c r="H36" s="72"/>
      <c r="I36" s="73"/>
      <c r="J36" s="74">
        <v>0.76400000000000001</v>
      </c>
      <c r="K36" s="191"/>
      <c r="L36" s="191"/>
      <c r="M36" s="191"/>
      <c r="N36" s="191"/>
      <c r="O36" s="191"/>
      <c r="P36" s="196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s="64" customFormat="1" ht="13.5" customHeight="1" x14ac:dyDescent="0.25">
      <c r="A37" s="54"/>
      <c r="B37" s="211"/>
      <c r="C37" s="191"/>
      <c r="D37" s="191"/>
      <c r="E37" s="191"/>
      <c r="F37" s="70" t="s">
        <v>88</v>
      </c>
      <c r="G37" s="71">
        <f t="shared" ref="G37" si="14">IF(E34&lt;0.125,"NA",IF(0.125&lt;=E34,(0.8*E34)))</f>
        <v>0.28960000000000002</v>
      </c>
      <c r="H37" s="72"/>
      <c r="I37" s="73"/>
      <c r="J37" s="74">
        <v>0.878</v>
      </c>
      <c r="K37" s="191"/>
      <c r="L37" s="191"/>
      <c r="M37" s="191"/>
      <c r="N37" s="191"/>
      <c r="O37" s="191"/>
      <c r="P37" s="196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s="64" customFormat="1" ht="13.5" customHeight="1" thickBot="1" x14ac:dyDescent="0.3">
      <c r="A38" s="54"/>
      <c r="B38" s="212"/>
      <c r="C38" s="192"/>
      <c r="D38" s="192"/>
      <c r="E38" s="192"/>
      <c r="F38" s="75" t="s">
        <v>89</v>
      </c>
      <c r="G38" s="76">
        <f t="shared" ref="G38" si="15">+E34</f>
        <v>0.36199999999999999</v>
      </c>
      <c r="H38" s="77"/>
      <c r="I38" s="78"/>
      <c r="J38" s="79">
        <v>0.87</v>
      </c>
      <c r="K38" s="192"/>
      <c r="L38" s="192"/>
      <c r="M38" s="192"/>
      <c r="N38" s="192"/>
      <c r="O38" s="192"/>
      <c r="P38" s="197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s="64" customFormat="1" ht="13.5" customHeight="1" x14ac:dyDescent="0.25">
      <c r="A39" s="54"/>
      <c r="B39" s="210">
        <v>5</v>
      </c>
      <c r="C39" s="213">
        <f>+C34+$N$12</f>
        <v>4</v>
      </c>
      <c r="D39" s="190">
        <v>0.38600000000000001</v>
      </c>
      <c r="E39" s="190">
        <v>0.40699999999999997</v>
      </c>
      <c r="F39" s="65" t="s">
        <v>85</v>
      </c>
      <c r="G39" s="66">
        <v>0</v>
      </c>
      <c r="H39" s="67"/>
      <c r="I39" s="68"/>
      <c r="J39" s="69">
        <v>0.435</v>
      </c>
      <c r="K39" s="190">
        <f t="shared" ref="K39" si="16">+IF(E39&lt;=0.12,(J41),(IF(E39&lt;0.16,((J40+2*J41+J42)/4),IF(E39&gt;=0.16,((J39+3*J40+2*J41+3*J42+J43)/10)))))</f>
        <v>0.6552</v>
      </c>
      <c r="L39" s="190">
        <f>ROUND(+(D34+D39)/2*(C39-C34),3)</f>
        <v>0.192</v>
      </c>
      <c r="M39" s="190">
        <f t="shared" ref="M39" si="17">ROUND(+K39*L39,4)</f>
        <v>0.1258</v>
      </c>
      <c r="N39" s="193">
        <f t="shared" ref="N39" si="18">ROUND(+M39/$M$88*100,2)</f>
        <v>9.77</v>
      </c>
      <c r="O39" s="194"/>
      <c r="P39" s="195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s="64" customFormat="1" ht="13.5" customHeight="1" x14ac:dyDescent="0.25">
      <c r="A40" s="54"/>
      <c r="B40" s="211"/>
      <c r="C40" s="191"/>
      <c r="D40" s="191"/>
      <c r="E40" s="191"/>
      <c r="F40" s="70" t="s">
        <v>86</v>
      </c>
      <c r="G40" s="71">
        <f t="shared" ref="G40" si="19">IF(E39&lt;0.125,"NA",IF(0.125&lt;=E39,(0.2*E39)))</f>
        <v>8.14E-2</v>
      </c>
      <c r="H40" s="72"/>
      <c r="I40" s="73"/>
      <c r="J40" s="74">
        <v>0.6</v>
      </c>
      <c r="K40" s="191"/>
      <c r="L40" s="191"/>
      <c r="M40" s="191"/>
      <c r="N40" s="191"/>
      <c r="O40" s="191"/>
      <c r="P40" s="196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s="64" customFormat="1" ht="13.5" customHeight="1" x14ac:dyDescent="0.25">
      <c r="A41" s="54"/>
      <c r="B41" s="211"/>
      <c r="C41" s="191"/>
      <c r="D41" s="191"/>
      <c r="E41" s="191"/>
      <c r="F41" s="70" t="s">
        <v>87</v>
      </c>
      <c r="G41" s="71">
        <f t="shared" ref="G41" si="20">+E39*0.4</f>
        <v>0.1628</v>
      </c>
      <c r="H41" s="72"/>
      <c r="I41" s="73"/>
      <c r="J41" s="74">
        <v>0.60199999999999998</v>
      </c>
      <c r="K41" s="191"/>
      <c r="L41" s="191"/>
      <c r="M41" s="191"/>
      <c r="N41" s="191"/>
      <c r="O41" s="191"/>
      <c r="P41" s="196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s="64" customFormat="1" ht="13.5" customHeight="1" x14ac:dyDescent="0.25">
      <c r="A42" s="54"/>
      <c r="B42" s="211"/>
      <c r="C42" s="191"/>
      <c r="D42" s="191"/>
      <c r="E42" s="191"/>
      <c r="F42" s="70" t="s">
        <v>88</v>
      </c>
      <c r="G42" s="71">
        <f t="shared" ref="G42" si="21">IF(E39&lt;0.125,"NA",IF(0.125&lt;=E39,(0.8*E39)))</f>
        <v>0.3256</v>
      </c>
      <c r="H42" s="72"/>
      <c r="I42" s="73"/>
      <c r="J42" s="74">
        <v>0.69199999999999995</v>
      </c>
      <c r="K42" s="191"/>
      <c r="L42" s="191"/>
      <c r="M42" s="191"/>
      <c r="N42" s="191"/>
      <c r="O42" s="191"/>
      <c r="P42" s="196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s="64" customFormat="1" ht="13.5" customHeight="1" thickBot="1" x14ac:dyDescent="0.3">
      <c r="A43" s="54"/>
      <c r="B43" s="212"/>
      <c r="C43" s="192"/>
      <c r="D43" s="192"/>
      <c r="E43" s="192"/>
      <c r="F43" s="75" t="s">
        <v>89</v>
      </c>
      <c r="G43" s="76">
        <f t="shared" ref="G43" si="22">+E39</f>
        <v>0.40699999999999997</v>
      </c>
      <c r="H43" s="77"/>
      <c r="I43" s="78"/>
      <c r="J43" s="79">
        <v>1.0369999999999999</v>
      </c>
      <c r="K43" s="192"/>
      <c r="L43" s="192"/>
      <c r="M43" s="192"/>
      <c r="N43" s="192"/>
      <c r="O43" s="192"/>
      <c r="P43" s="197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s="64" customFormat="1" ht="13.5" customHeight="1" x14ac:dyDescent="0.25">
      <c r="A44" s="54"/>
      <c r="B44" s="210">
        <v>6</v>
      </c>
      <c r="C44" s="213">
        <f>+C39+$N$12</f>
        <v>4.5</v>
      </c>
      <c r="D44" s="190">
        <v>0.40699999999999997</v>
      </c>
      <c r="E44" s="190">
        <v>0.4</v>
      </c>
      <c r="F44" s="65" t="s">
        <v>85</v>
      </c>
      <c r="G44" s="66">
        <v>0</v>
      </c>
      <c r="H44" s="67"/>
      <c r="I44" s="68"/>
      <c r="J44" s="69">
        <v>0.42499999999999999</v>
      </c>
      <c r="K44" s="190">
        <f t="shared" ref="K44" si="23">+IF(E44&lt;=0.12,(J46),(IF(E44&lt;0.16,((J45+2*J46+J47)/4),IF(E44&gt;=0.16,((J44+3*J45+2*J46+3*J47+J48)/10)))))</f>
        <v>0.77469999999999994</v>
      </c>
      <c r="L44" s="190">
        <f>ROUND(+(D39+D44)/2*(C44-C39),3)</f>
        <v>0.19800000000000001</v>
      </c>
      <c r="M44" s="190">
        <f t="shared" ref="M44" si="24">ROUND(+K44*L44,4)</f>
        <v>0.15340000000000001</v>
      </c>
      <c r="N44" s="193">
        <f t="shared" ref="N44" si="25">ROUND(+M44/$M$88*100,2)</f>
        <v>11.91</v>
      </c>
      <c r="O44" s="194"/>
      <c r="P44" s="195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s="64" customFormat="1" ht="13.5" customHeight="1" x14ac:dyDescent="0.25">
      <c r="A45" s="54"/>
      <c r="B45" s="211"/>
      <c r="C45" s="191"/>
      <c r="D45" s="191"/>
      <c r="E45" s="191"/>
      <c r="F45" s="70" t="s">
        <v>86</v>
      </c>
      <c r="G45" s="71">
        <f t="shared" ref="G45" si="26">IF(E44&lt;0.125,"NA",IF(0.125&lt;=E44,(0.2*E44)))</f>
        <v>8.0000000000000016E-2</v>
      </c>
      <c r="H45" s="72"/>
      <c r="I45" s="73"/>
      <c r="J45" s="74">
        <v>0.627</v>
      </c>
      <c r="K45" s="191"/>
      <c r="L45" s="191"/>
      <c r="M45" s="191"/>
      <c r="N45" s="191"/>
      <c r="O45" s="191"/>
      <c r="P45" s="196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s="64" customFormat="1" ht="13.5" customHeight="1" x14ac:dyDescent="0.25">
      <c r="A46" s="54"/>
      <c r="B46" s="211"/>
      <c r="C46" s="191"/>
      <c r="D46" s="191"/>
      <c r="E46" s="191"/>
      <c r="F46" s="70" t="s">
        <v>87</v>
      </c>
      <c r="G46" s="71">
        <f t="shared" ref="G46" si="27">+E44*0.4</f>
        <v>0.16000000000000003</v>
      </c>
      <c r="H46" s="72"/>
      <c r="I46" s="73"/>
      <c r="J46" s="74">
        <v>0.71399999999999997</v>
      </c>
      <c r="K46" s="191"/>
      <c r="L46" s="191"/>
      <c r="M46" s="191"/>
      <c r="N46" s="191"/>
      <c r="O46" s="191"/>
      <c r="P46" s="196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s="64" customFormat="1" ht="13.5" customHeight="1" x14ac:dyDescent="0.25">
      <c r="A47" s="54"/>
      <c r="B47" s="211"/>
      <c r="C47" s="191"/>
      <c r="D47" s="191"/>
      <c r="E47" s="191"/>
      <c r="F47" s="70" t="s">
        <v>88</v>
      </c>
      <c r="G47" s="71">
        <f t="shared" ref="G47" si="28">IF(E44&lt;0.125,"NA",IF(0.125&lt;=E44,(0.8*E44)))</f>
        <v>0.32000000000000006</v>
      </c>
      <c r="H47" s="72"/>
      <c r="I47" s="73"/>
      <c r="J47" s="74">
        <v>0.995</v>
      </c>
      <c r="K47" s="191"/>
      <c r="L47" s="191"/>
      <c r="M47" s="191"/>
      <c r="N47" s="191"/>
      <c r="O47" s="191"/>
      <c r="P47" s="196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s="64" customFormat="1" ht="13.5" customHeight="1" thickBot="1" x14ac:dyDescent="0.3">
      <c r="A48" s="54"/>
      <c r="B48" s="212"/>
      <c r="C48" s="192"/>
      <c r="D48" s="192"/>
      <c r="E48" s="192"/>
      <c r="F48" s="75" t="s">
        <v>89</v>
      </c>
      <c r="G48" s="76">
        <f t="shared" ref="G48" si="29">+E44</f>
        <v>0.4</v>
      </c>
      <c r="H48" s="77"/>
      <c r="I48" s="78"/>
      <c r="J48" s="79">
        <v>1.028</v>
      </c>
      <c r="K48" s="192"/>
      <c r="L48" s="192"/>
      <c r="M48" s="192"/>
      <c r="N48" s="192"/>
      <c r="O48" s="192"/>
      <c r="P48" s="197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s="64" customFormat="1" ht="13.5" customHeight="1" x14ac:dyDescent="0.25">
      <c r="A49" s="54"/>
      <c r="B49" s="210">
        <v>7</v>
      </c>
      <c r="C49" s="213">
        <f>+C44+$N$12</f>
        <v>5</v>
      </c>
      <c r="D49" s="190">
        <v>0.377</v>
      </c>
      <c r="E49" s="190">
        <v>0.39900000000000002</v>
      </c>
      <c r="F49" s="65" t="s">
        <v>85</v>
      </c>
      <c r="G49" s="66">
        <v>0</v>
      </c>
      <c r="H49" s="67"/>
      <c r="I49" s="68"/>
      <c r="J49" s="69">
        <v>0.69499999999999995</v>
      </c>
      <c r="K49" s="190">
        <f t="shared" ref="K49" si="30">+IF(E49&lt;=0.12,(J51),(IF(E49&lt;0.16,((J50+2*J51+J52)/4),IF(E49&gt;=0.16,((J49+3*J50+2*J51+3*J52+J53)/10)))))</f>
        <v>0.93169999999999997</v>
      </c>
      <c r="L49" s="190">
        <f>ROUND(+(D44+D49)/2*(C49-C44),3)</f>
        <v>0.19600000000000001</v>
      </c>
      <c r="M49" s="190">
        <f t="shared" ref="M49" si="31">ROUND(+K49*L49,4)</f>
        <v>0.18260000000000001</v>
      </c>
      <c r="N49" s="193">
        <f t="shared" ref="N49" si="32">ROUND(+M49/$M$88*100,2)</f>
        <v>14.18</v>
      </c>
      <c r="O49" s="194"/>
      <c r="P49" s="195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s="64" customFormat="1" ht="13.5" customHeight="1" x14ac:dyDescent="0.25">
      <c r="A50" s="54"/>
      <c r="B50" s="211"/>
      <c r="C50" s="191"/>
      <c r="D50" s="191"/>
      <c r="E50" s="191"/>
      <c r="F50" s="70" t="s">
        <v>86</v>
      </c>
      <c r="G50" s="71">
        <f t="shared" ref="G50" si="33">IF(E49&lt;0.125,"NA",IF(0.125&lt;=E49,(0.2*E49)))</f>
        <v>7.980000000000001E-2</v>
      </c>
      <c r="H50" s="72"/>
      <c r="I50" s="73"/>
      <c r="J50" s="74">
        <v>0.76800000000000002</v>
      </c>
      <c r="K50" s="191"/>
      <c r="L50" s="191"/>
      <c r="M50" s="191"/>
      <c r="N50" s="191"/>
      <c r="O50" s="191"/>
      <c r="P50" s="196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s="64" customFormat="1" ht="13.5" customHeight="1" x14ac:dyDescent="0.25">
      <c r="A51" s="54"/>
      <c r="B51" s="211"/>
      <c r="C51" s="191"/>
      <c r="D51" s="191"/>
      <c r="E51" s="191"/>
      <c r="F51" s="70" t="s">
        <v>87</v>
      </c>
      <c r="G51" s="71">
        <f t="shared" ref="G51" si="34">+E49*0.4</f>
        <v>0.15960000000000002</v>
      </c>
      <c r="H51" s="72"/>
      <c r="I51" s="73"/>
      <c r="J51" s="74">
        <v>1.0549999999999999</v>
      </c>
      <c r="K51" s="191"/>
      <c r="L51" s="191"/>
      <c r="M51" s="191"/>
      <c r="N51" s="191"/>
      <c r="O51" s="191"/>
      <c r="P51" s="196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s="64" customFormat="1" ht="13.5" customHeight="1" x14ac:dyDescent="0.25">
      <c r="A52" s="54"/>
      <c r="B52" s="211"/>
      <c r="C52" s="191"/>
      <c r="D52" s="191"/>
      <c r="E52" s="191"/>
      <c r="F52" s="70" t="s">
        <v>88</v>
      </c>
      <c r="G52" s="71">
        <f t="shared" ref="G52" si="35">IF(E49&lt;0.125,"NA",IF(0.125&lt;=E49,(0.8*E49)))</f>
        <v>0.31920000000000004</v>
      </c>
      <c r="H52" s="72"/>
      <c r="I52" s="73"/>
      <c r="J52" s="74">
        <v>1.042</v>
      </c>
      <c r="K52" s="191"/>
      <c r="L52" s="191"/>
      <c r="M52" s="191"/>
      <c r="N52" s="191"/>
      <c r="O52" s="191"/>
      <c r="P52" s="196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s="64" customFormat="1" ht="13.5" customHeight="1" thickBot="1" x14ac:dyDescent="0.3">
      <c r="A53" s="54"/>
      <c r="B53" s="212"/>
      <c r="C53" s="192"/>
      <c r="D53" s="192"/>
      <c r="E53" s="192"/>
      <c r="F53" s="75" t="s">
        <v>89</v>
      </c>
      <c r="G53" s="76">
        <f t="shared" ref="G53" si="36">+E49</f>
        <v>0.39900000000000002</v>
      </c>
      <c r="H53" s="77"/>
      <c r="I53" s="78"/>
      <c r="J53" s="79">
        <v>1.0820000000000001</v>
      </c>
      <c r="K53" s="192"/>
      <c r="L53" s="192"/>
      <c r="M53" s="192"/>
      <c r="N53" s="192"/>
      <c r="O53" s="192"/>
      <c r="P53" s="197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s="64" customFormat="1" ht="13.5" customHeight="1" x14ac:dyDescent="0.25">
      <c r="A54" s="54"/>
      <c r="B54" s="210">
        <v>8</v>
      </c>
      <c r="C54" s="213">
        <f>+C49+$N$12</f>
        <v>5.5</v>
      </c>
      <c r="D54" s="190">
        <v>0.375</v>
      </c>
      <c r="E54" s="190">
        <v>0.35499999999999998</v>
      </c>
      <c r="F54" s="65" t="s">
        <v>85</v>
      </c>
      <c r="G54" s="66">
        <v>0</v>
      </c>
      <c r="H54" s="67"/>
      <c r="I54" s="68"/>
      <c r="J54" s="69">
        <v>0.8</v>
      </c>
      <c r="K54" s="190">
        <f t="shared" ref="K54" si="37">+IF(E54&lt;=0.12,(J56),(IF(E54&lt;0.16,((J55+2*J56+J57)/4),IF(E54&gt;=0.16,((J54+3*J55+2*J56+3*J57+J58)/10)))))</f>
        <v>0.9396000000000001</v>
      </c>
      <c r="L54" s="190">
        <f>ROUND(+(D49+D54)/2*(C54-C49),3)</f>
        <v>0.188</v>
      </c>
      <c r="M54" s="190">
        <f t="shared" ref="M54" si="38">ROUND(+K54*L54,4)</f>
        <v>0.17660000000000001</v>
      </c>
      <c r="N54" s="193">
        <f t="shared" ref="N54" si="39">ROUND(+M54/$M$88*100,2)</f>
        <v>13.71</v>
      </c>
      <c r="O54" s="194"/>
      <c r="P54" s="195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s="64" customFormat="1" ht="13.5" customHeight="1" x14ac:dyDescent="0.25">
      <c r="A55" s="54"/>
      <c r="B55" s="211"/>
      <c r="C55" s="191"/>
      <c r="D55" s="191"/>
      <c r="E55" s="191"/>
      <c r="F55" s="70" t="s">
        <v>86</v>
      </c>
      <c r="G55" s="71">
        <f t="shared" ref="G55" si="40">IF(E54&lt;0.125,"NA",IF(0.125&lt;=E54,(0.2*E54)))</f>
        <v>7.0999999999999994E-2</v>
      </c>
      <c r="H55" s="72"/>
      <c r="I55" s="73"/>
      <c r="J55" s="74">
        <v>0.83</v>
      </c>
      <c r="K55" s="191"/>
      <c r="L55" s="191"/>
      <c r="M55" s="191"/>
      <c r="N55" s="191"/>
      <c r="O55" s="191"/>
      <c r="P55" s="196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s="64" customFormat="1" ht="13.5" customHeight="1" x14ac:dyDescent="0.25">
      <c r="A56" s="54"/>
      <c r="B56" s="211"/>
      <c r="C56" s="191"/>
      <c r="D56" s="191"/>
      <c r="E56" s="191"/>
      <c r="F56" s="70" t="s">
        <v>87</v>
      </c>
      <c r="G56" s="71">
        <f t="shared" ref="G56" si="41">+E54*0.4</f>
        <v>0.14199999999999999</v>
      </c>
      <c r="H56" s="72"/>
      <c r="I56" s="73"/>
      <c r="J56" s="74">
        <v>0.91</v>
      </c>
      <c r="K56" s="191"/>
      <c r="L56" s="191"/>
      <c r="M56" s="191"/>
      <c r="N56" s="191"/>
      <c r="O56" s="191"/>
      <c r="P56" s="196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s="64" customFormat="1" ht="13.5" customHeight="1" x14ac:dyDescent="0.25">
      <c r="A57" s="54"/>
      <c r="B57" s="211"/>
      <c r="C57" s="191"/>
      <c r="D57" s="191"/>
      <c r="E57" s="191"/>
      <c r="F57" s="70" t="s">
        <v>88</v>
      </c>
      <c r="G57" s="71">
        <f t="shared" ref="G57" si="42">IF(E54&lt;0.125,"NA",IF(0.125&lt;=E54,(0.8*E54)))</f>
        <v>0.28399999999999997</v>
      </c>
      <c r="H57" s="72"/>
      <c r="I57" s="73"/>
      <c r="J57" s="74">
        <v>1.06</v>
      </c>
      <c r="K57" s="191"/>
      <c r="L57" s="191"/>
      <c r="M57" s="191"/>
      <c r="N57" s="191"/>
      <c r="O57" s="191"/>
      <c r="P57" s="196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s="64" customFormat="1" ht="13.5" customHeight="1" thickBot="1" x14ac:dyDescent="0.3">
      <c r="A58" s="54"/>
      <c r="B58" s="212"/>
      <c r="C58" s="192"/>
      <c r="D58" s="192"/>
      <c r="E58" s="192"/>
      <c r="F58" s="75" t="s">
        <v>89</v>
      </c>
      <c r="G58" s="76">
        <f t="shared" ref="G58" si="43">+E54</f>
        <v>0.35499999999999998</v>
      </c>
      <c r="H58" s="77"/>
      <c r="I58" s="78"/>
      <c r="J58" s="79">
        <v>1.1060000000000001</v>
      </c>
      <c r="K58" s="192"/>
      <c r="L58" s="192"/>
      <c r="M58" s="192"/>
      <c r="N58" s="192"/>
      <c r="O58" s="192"/>
      <c r="P58" s="197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s="64" customFormat="1" ht="13.5" customHeight="1" x14ac:dyDescent="0.25">
      <c r="A59" s="54"/>
      <c r="B59" s="210">
        <v>9</v>
      </c>
      <c r="C59" s="213">
        <f>+C54+$N$12</f>
        <v>6</v>
      </c>
      <c r="D59" s="190">
        <v>0.34200000000000003</v>
      </c>
      <c r="E59" s="190">
        <v>0.375</v>
      </c>
      <c r="F59" s="65" t="s">
        <v>85</v>
      </c>
      <c r="G59" s="66">
        <v>0</v>
      </c>
      <c r="H59" s="67"/>
      <c r="I59" s="68"/>
      <c r="J59" s="69">
        <v>0.47499999999999998</v>
      </c>
      <c r="K59" s="190">
        <f t="shared" ref="K59" si="44">+IF(E59&lt;=0.12,(J61),(IF(E59&lt;0.16,((J60+2*J61+J62)/4),IF(E59&gt;=0.16,((J59+3*J60+2*J61+3*J62+J63)/10)))))</f>
        <v>0.90980000000000005</v>
      </c>
      <c r="L59" s="190">
        <f>ROUND(+(D54+D59)/2*(C59-C54),3)</f>
        <v>0.17899999999999999</v>
      </c>
      <c r="M59" s="190">
        <f t="shared" ref="M59" si="45">ROUND(+K59*L59,4)</f>
        <v>0.16289999999999999</v>
      </c>
      <c r="N59" s="193">
        <f t="shared" ref="N59" si="46">ROUND(+M59/$M$88*100,2)</f>
        <v>12.65</v>
      </c>
      <c r="O59" s="194"/>
      <c r="P59" s="195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s="64" customFormat="1" ht="13.5" customHeight="1" x14ac:dyDescent="0.25">
      <c r="A60" s="54"/>
      <c r="B60" s="211"/>
      <c r="C60" s="191"/>
      <c r="D60" s="191"/>
      <c r="E60" s="191"/>
      <c r="F60" s="70" t="s">
        <v>86</v>
      </c>
      <c r="G60" s="71">
        <f t="shared" ref="G60" si="47">IF(E59&lt;0.125,"NA",IF(0.125&lt;=E59,(0.2*E59)))</f>
        <v>7.5000000000000011E-2</v>
      </c>
      <c r="H60" s="72"/>
      <c r="I60" s="73"/>
      <c r="J60" s="74">
        <v>0.89300000000000002</v>
      </c>
      <c r="K60" s="191"/>
      <c r="L60" s="191"/>
      <c r="M60" s="191"/>
      <c r="N60" s="191"/>
      <c r="O60" s="191"/>
      <c r="P60" s="196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s="64" customFormat="1" ht="13.5" customHeight="1" x14ac:dyDescent="0.25">
      <c r="A61" s="54"/>
      <c r="B61" s="211"/>
      <c r="C61" s="191"/>
      <c r="D61" s="191"/>
      <c r="E61" s="191"/>
      <c r="F61" s="70" t="s">
        <v>87</v>
      </c>
      <c r="G61" s="71">
        <f t="shared" ref="G61" si="48">+E59*0.4</f>
        <v>0.15000000000000002</v>
      </c>
      <c r="H61" s="72"/>
      <c r="I61" s="73"/>
      <c r="J61" s="74">
        <v>1.0229999999999999</v>
      </c>
      <c r="K61" s="191"/>
      <c r="L61" s="191"/>
      <c r="M61" s="191"/>
      <c r="N61" s="191"/>
      <c r="O61" s="191"/>
      <c r="P61" s="196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s="64" customFormat="1" ht="13.5" customHeight="1" x14ac:dyDescent="0.25">
      <c r="A62" s="54"/>
      <c r="B62" s="211"/>
      <c r="C62" s="191"/>
      <c r="D62" s="191"/>
      <c r="E62" s="191"/>
      <c r="F62" s="70" t="s">
        <v>88</v>
      </c>
      <c r="G62" s="71">
        <f t="shared" ref="G62" si="49">IF(E59&lt;0.125,"NA",IF(0.125&lt;=E59,(0.8*E59)))</f>
        <v>0.30000000000000004</v>
      </c>
      <c r="H62" s="72"/>
      <c r="I62" s="73"/>
      <c r="J62" s="74">
        <v>0.99099999999999999</v>
      </c>
      <c r="K62" s="191"/>
      <c r="L62" s="191"/>
      <c r="M62" s="191"/>
      <c r="N62" s="191"/>
      <c r="O62" s="191"/>
      <c r="P62" s="196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s="64" customFormat="1" ht="13.5" customHeight="1" thickBot="1" x14ac:dyDescent="0.3">
      <c r="A63" s="54"/>
      <c r="B63" s="212"/>
      <c r="C63" s="192"/>
      <c r="D63" s="192"/>
      <c r="E63" s="192"/>
      <c r="F63" s="75" t="s">
        <v>89</v>
      </c>
      <c r="G63" s="76">
        <f t="shared" ref="G63" si="50">+E59</f>
        <v>0.375</v>
      </c>
      <c r="H63" s="77"/>
      <c r="I63" s="78"/>
      <c r="J63" s="79">
        <v>0.92500000000000004</v>
      </c>
      <c r="K63" s="192"/>
      <c r="L63" s="192"/>
      <c r="M63" s="192"/>
      <c r="N63" s="192"/>
      <c r="O63" s="192"/>
      <c r="P63" s="197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s="64" customFormat="1" ht="13.5" customHeight="1" x14ac:dyDescent="0.25">
      <c r="A64" s="54"/>
      <c r="B64" s="210">
        <v>10</v>
      </c>
      <c r="C64" s="213">
        <f>+C59+$N$12</f>
        <v>6.5</v>
      </c>
      <c r="D64" s="190">
        <v>0.21</v>
      </c>
      <c r="E64" s="190">
        <v>0.28399999999999997</v>
      </c>
      <c r="F64" s="65" t="s">
        <v>85</v>
      </c>
      <c r="G64" s="66">
        <v>0</v>
      </c>
      <c r="H64" s="67"/>
      <c r="I64" s="68"/>
      <c r="J64" s="69">
        <v>0.66500000000000004</v>
      </c>
      <c r="K64" s="190">
        <f t="shared" ref="K64" si="51">+IF(E64&lt;=0.12,(J66),(IF(E64&lt;0.16,((J65+2*J66+J67)/4),IF(E64&gt;=0.16,((J64+3*J65+2*J66+3*J67+J68)/10)))))</f>
        <v>0.81500000000000006</v>
      </c>
      <c r="L64" s="190">
        <f>ROUND(+(D59+D64)/2*(C64-C59),3)</f>
        <v>0.13800000000000001</v>
      </c>
      <c r="M64" s="190">
        <f t="shared" ref="M64" si="52">ROUND(+K64*L64,4)</f>
        <v>0.1125</v>
      </c>
      <c r="N64" s="193">
        <f t="shared" ref="N64" si="53">ROUND(+M64/$M$88*100,2)</f>
        <v>8.73</v>
      </c>
      <c r="O64" s="194"/>
      <c r="P64" s="195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s="64" customFormat="1" ht="13.5" customHeight="1" x14ac:dyDescent="0.25">
      <c r="A65" s="54"/>
      <c r="B65" s="211"/>
      <c r="C65" s="191"/>
      <c r="D65" s="191"/>
      <c r="E65" s="191"/>
      <c r="F65" s="70" t="s">
        <v>86</v>
      </c>
      <c r="G65" s="71">
        <f t="shared" ref="G65" si="54">IF(E64&lt;0.125,"NA",IF(0.125&lt;=E64,(0.2*E64)))</f>
        <v>5.6799999999999996E-2</v>
      </c>
      <c r="H65" s="72"/>
      <c r="I65" s="73"/>
      <c r="J65" s="74">
        <v>0.67300000000000004</v>
      </c>
      <c r="K65" s="191"/>
      <c r="L65" s="191"/>
      <c r="M65" s="191"/>
      <c r="N65" s="191"/>
      <c r="O65" s="191"/>
      <c r="P65" s="196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s="64" customFormat="1" ht="13.5" customHeight="1" x14ac:dyDescent="0.25">
      <c r="A66" s="54"/>
      <c r="B66" s="211"/>
      <c r="C66" s="191"/>
      <c r="D66" s="191"/>
      <c r="E66" s="191"/>
      <c r="F66" s="70" t="s">
        <v>87</v>
      </c>
      <c r="G66" s="71">
        <f t="shared" ref="G66" si="55">+E64*0.4</f>
        <v>0.11359999999999999</v>
      </c>
      <c r="H66" s="72"/>
      <c r="I66" s="73"/>
      <c r="J66" s="74">
        <v>0.88900000000000001</v>
      </c>
      <c r="K66" s="191"/>
      <c r="L66" s="191"/>
      <c r="M66" s="191"/>
      <c r="N66" s="191"/>
      <c r="O66" s="191"/>
      <c r="P66" s="196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s="64" customFormat="1" ht="13.5" customHeight="1" x14ac:dyDescent="0.25">
      <c r="A67" s="54"/>
      <c r="B67" s="211"/>
      <c r="C67" s="191"/>
      <c r="D67" s="191"/>
      <c r="E67" s="191"/>
      <c r="F67" s="70" t="s">
        <v>88</v>
      </c>
      <c r="G67" s="71">
        <f t="shared" ref="G67" si="56">IF(E64&lt;0.125,"NA",IF(0.125&lt;=E64,(0.8*E64)))</f>
        <v>0.22719999999999999</v>
      </c>
      <c r="H67" s="72"/>
      <c r="I67" s="73"/>
      <c r="J67" s="74">
        <v>0.94399999999999995</v>
      </c>
      <c r="K67" s="191"/>
      <c r="L67" s="191"/>
      <c r="M67" s="191"/>
      <c r="N67" s="191"/>
      <c r="O67" s="191"/>
      <c r="P67" s="196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s="64" customFormat="1" ht="13.5" customHeight="1" thickBot="1" x14ac:dyDescent="0.3">
      <c r="A68" s="54"/>
      <c r="B68" s="212"/>
      <c r="C68" s="192"/>
      <c r="D68" s="192"/>
      <c r="E68" s="192"/>
      <c r="F68" s="75" t="s">
        <v>89</v>
      </c>
      <c r="G68" s="76">
        <f t="shared" ref="G68" si="57">+E64</f>
        <v>0.28399999999999997</v>
      </c>
      <c r="H68" s="77"/>
      <c r="I68" s="78"/>
      <c r="J68" s="79">
        <v>0.85599999999999998</v>
      </c>
      <c r="K68" s="192"/>
      <c r="L68" s="192"/>
      <c r="M68" s="192"/>
      <c r="N68" s="192"/>
      <c r="O68" s="192"/>
      <c r="P68" s="197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s="3" customFormat="1" ht="14.1" customHeight="1" x14ac:dyDescent="0.2">
      <c r="B69" s="198" t="s">
        <v>28</v>
      </c>
      <c r="C69" s="201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</row>
    <row r="70" spans="1:26" s="3" customFormat="1" ht="14.1" customHeight="1" x14ac:dyDescent="0.2">
      <c r="B70" s="199"/>
      <c r="C70" s="204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6"/>
    </row>
    <row r="71" spans="1:26" s="3" customFormat="1" ht="14.1" customHeight="1" x14ac:dyDescent="0.2">
      <c r="B71" s="199"/>
      <c r="C71" s="204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6"/>
    </row>
    <row r="72" spans="1:26" s="3" customFormat="1" ht="14.1" customHeight="1" x14ac:dyDescent="0.2">
      <c r="B72" s="199"/>
      <c r="C72" s="204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6"/>
    </row>
    <row r="73" spans="1:26" s="3" customFormat="1" ht="14.1" customHeight="1" x14ac:dyDescent="0.2">
      <c r="B73" s="199"/>
      <c r="C73" s="204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6"/>
    </row>
    <row r="74" spans="1:26" s="3" customFormat="1" ht="14.1" customHeight="1" thickBot="1" x14ac:dyDescent="0.25">
      <c r="B74" s="200"/>
      <c r="C74" s="207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9"/>
    </row>
    <row r="75" spans="1:26" s="3" customFormat="1" ht="28.5" customHeight="1" thickBot="1" x14ac:dyDescent="0.25">
      <c r="A75" s="80"/>
      <c r="B75" s="81" t="s">
        <v>90</v>
      </c>
      <c r="C75" s="177" t="s">
        <v>91</v>
      </c>
      <c r="D75" s="177"/>
      <c r="E75" s="177"/>
      <c r="F75" s="177"/>
      <c r="G75" s="177"/>
      <c r="H75" s="178"/>
      <c r="I75" s="179"/>
      <c r="J75" s="81" t="s">
        <v>92</v>
      </c>
      <c r="K75" s="177" t="s">
        <v>93</v>
      </c>
      <c r="L75" s="177"/>
      <c r="M75" s="177"/>
      <c r="N75" s="177"/>
      <c r="O75" s="177"/>
      <c r="P75" s="178"/>
    </row>
    <row r="76" spans="1:26" s="3" customFormat="1" ht="28.5" customHeight="1" thickBot="1" x14ac:dyDescent="0.25">
      <c r="B76" s="82" t="s">
        <v>94</v>
      </c>
      <c r="C76" s="181" t="s">
        <v>95</v>
      </c>
      <c r="D76" s="181"/>
      <c r="E76" s="181"/>
      <c r="F76" s="181"/>
      <c r="G76" s="181"/>
      <c r="H76" s="182"/>
      <c r="I76" s="180"/>
      <c r="J76" s="82" t="s">
        <v>96</v>
      </c>
      <c r="K76" s="181" t="s">
        <v>97</v>
      </c>
      <c r="L76" s="181"/>
      <c r="M76" s="181"/>
      <c r="N76" s="181"/>
      <c r="O76" s="181"/>
      <c r="P76" s="182"/>
    </row>
    <row r="77" spans="1:26" s="19" customFormat="1" ht="13.5" customHeight="1" x14ac:dyDescent="0.25">
      <c r="A77" s="83"/>
      <c r="B77" s="183">
        <v>2</v>
      </c>
      <c r="C77" s="186">
        <f>+C19</f>
        <v>2</v>
      </c>
      <c r="D77" s="188">
        <f>+D19</f>
        <v>0.39800000000000002</v>
      </c>
      <c r="E77" s="188">
        <f>+E24</f>
        <v>0.47099999999999997</v>
      </c>
      <c r="F77" s="84" t="s">
        <v>85</v>
      </c>
      <c r="G77" s="84">
        <v>0.01</v>
      </c>
      <c r="H77" s="85"/>
      <c r="I77" s="86"/>
      <c r="J77" s="87">
        <v>0.39</v>
      </c>
      <c r="K77" s="189">
        <f>+AVERAGE(J77:J87)</f>
        <v>0.58836363636363653</v>
      </c>
      <c r="L77" s="168">
        <f>ROUND(+(D77+D82)/2*(C82-C77),3)</f>
        <v>0.217</v>
      </c>
      <c r="M77" s="171">
        <f>ROUND(+K77*L77,4)</f>
        <v>0.12770000000000001</v>
      </c>
      <c r="N77" s="168">
        <f>ROUND(+M77/$M$88*100,2)</f>
        <v>9.91</v>
      </c>
      <c r="O77" s="168"/>
      <c r="P77" s="172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s="19" customFormat="1" ht="13.5" customHeight="1" x14ac:dyDescent="0.25">
      <c r="A78" s="83"/>
      <c r="B78" s="184"/>
      <c r="C78" s="169"/>
      <c r="D78" s="169"/>
      <c r="E78" s="169"/>
      <c r="F78" s="89" t="s">
        <v>98</v>
      </c>
      <c r="G78" s="90">
        <f>+E77*0.1</f>
        <v>4.7100000000000003E-2</v>
      </c>
      <c r="H78" s="91"/>
      <c r="I78" s="92"/>
      <c r="J78" s="93">
        <v>0.49399999999999999</v>
      </c>
      <c r="K78" s="169"/>
      <c r="L78" s="169"/>
      <c r="M78" s="169"/>
      <c r="N78" s="169"/>
      <c r="O78" s="169"/>
      <c r="P78" s="173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s="19" customFormat="1" ht="13.5" customHeight="1" x14ac:dyDescent="0.25">
      <c r="A79" s="83"/>
      <c r="B79" s="184"/>
      <c r="C79" s="169"/>
      <c r="D79" s="169"/>
      <c r="E79" s="169"/>
      <c r="F79" s="89" t="s">
        <v>99</v>
      </c>
      <c r="G79" s="90">
        <f>+E77*0.2</f>
        <v>9.4200000000000006E-2</v>
      </c>
      <c r="H79" s="91"/>
      <c r="I79" s="92"/>
      <c r="J79" s="93">
        <v>0.55700000000000005</v>
      </c>
      <c r="K79" s="169"/>
      <c r="L79" s="169"/>
      <c r="M79" s="169"/>
      <c r="N79" s="169"/>
      <c r="O79" s="169"/>
      <c r="P79" s="173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s="19" customFormat="1" ht="13.5" customHeight="1" x14ac:dyDescent="0.25">
      <c r="A80" s="83"/>
      <c r="B80" s="184"/>
      <c r="C80" s="169"/>
      <c r="D80" s="169"/>
      <c r="E80" s="169"/>
      <c r="F80" s="89" t="s">
        <v>100</v>
      </c>
      <c r="G80" s="90">
        <f>+E77*0.3</f>
        <v>0.14129999999999998</v>
      </c>
      <c r="H80" s="91"/>
      <c r="I80" s="92"/>
      <c r="J80" s="93">
        <v>0.54</v>
      </c>
      <c r="K80" s="169"/>
      <c r="L80" s="169"/>
      <c r="M80" s="169"/>
      <c r="N80" s="169"/>
      <c r="O80" s="169"/>
      <c r="P80" s="173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s="19" customFormat="1" ht="13.5" customHeight="1" x14ac:dyDescent="0.25">
      <c r="A81" s="83"/>
      <c r="B81" s="184"/>
      <c r="C81" s="187"/>
      <c r="D81" s="187"/>
      <c r="E81" s="169"/>
      <c r="F81" s="89" t="s">
        <v>101</v>
      </c>
      <c r="G81" s="90">
        <f>+E77*0.4</f>
        <v>0.18840000000000001</v>
      </c>
      <c r="H81" s="91"/>
      <c r="I81" s="92"/>
      <c r="J81" s="93">
        <v>0.54900000000000004</v>
      </c>
      <c r="K81" s="169"/>
      <c r="L81" s="169"/>
      <c r="M81" s="169"/>
      <c r="N81" s="169"/>
      <c r="O81" s="169"/>
      <c r="P81" s="173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s="19" customFormat="1" ht="13.5" customHeight="1" x14ac:dyDescent="0.25">
      <c r="A82" s="83"/>
      <c r="B82" s="184"/>
      <c r="C82" s="175">
        <f>+C24</f>
        <v>2.5</v>
      </c>
      <c r="D82" s="176">
        <f>+D24</f>
        <v>0.46899999999999997</v>
      </c>
      <c r="E82" s="169"/>
      <c r="F82" s="89" t="s">
        <v>29</v>
      </c>
      <c r="G82" s="90">
        <f>+E77*0.5</f>
        <v>0.23549999999999999</v>
      </c>
      <c r="H82" s="91"/>
      <c r="I82" s="92"/>
      <c r="J82" s="93">
        <v>0.621</v>
      </c>
      <c r="K82" s="169"/>
      <c r="L82" s="169"/>
      <c r="M82" s="169"/>
      <c r="N82" s="169"/>
      <c r="O82" s="169"/>
      <c r="P82" s="173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s="19" customFormat="1" ht="13.5" customHeight="1" x14ac:dyDescent="0.25">
      <c r="A83" s="83"/>
      <c r="B83" s="184"/>
      <c r="C83" s="169"/>
      <c r="D83" s="169"/>
      <c r="E83" s="169"/>
      <c r="F83" s="89" t="s">
        <v>102</v>
      </c>
      <c r="G83" s="90">
        <f>+E77*0.6</f>
        <v>0.28259999999999996</v>
      </c>
      <c r="H83" s="91"/>
      <c r="I83" s="92"/>
      <c r="J83" s="93">
        <v>0.64800000000000002</v>
      </c>
      <c r="K83" s="169"/>
      <c r="L83" s="169"/>
      <c r="M83" s="169"/>
      <c r="N83" s="169"/>
      <c r="O83" s="169"/>
      <c r="P83" s="173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s="19" customFormat="1" ht="13.5" customHeight="1" x14ac:dyDescent="0.25">
      <c r="A84" s="83"/>
      <c r="B84" s="184"/>
      <c r="C84" s="169"/>
      <c r="D84" s="169"/>
      <c r="E84" s="169"/>
      <c r="F84" s="89" t="s">
        <v>103</v>
      </c>
      <c r="G84" s="90">
        <f>+E77*0.7</f>
        <v>0.32969999999999994</v>
      </c>
      <c r="H84" s="91"/>
      <c r="I84" s="92"/>
      <c r="J84" s="93">
        <v>0.65</v>
      </c>
      <c r="K84" s="169"/>
      <c r="L84" s="169"/>
      <c r="M84" s="169"/>
      <c r="N84" s="169"/>
      <c r="O84" s="169"/>
      <c r="P84" s="173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s="19" customFormat="1" ht="13.5" customHeight="1" x14ac:dyDescent="0.25">
      <c r="A85" s="83"/>
      <c r="B85" s="184"/>
      <c r="C85" s="169"/>
      <c r="D85" s="169"/>
      <c r="E85" s="169"/>
      <c r="F85" s="89" t="s">
        <v>104</v>
      </c>
      <c r="G85" s="90">
        <f>+E77*0.8</f>
        <v>0.37680000000000002</v>
      </c>
      <c r="H85" s="91"/>
      <c r="I85" s="92"/>
      <c r="J85" s="93">
        <v>0.67400000000000004</v>
      </c>
      <c r="K85" s="169"/>
      <c r="L85" s="169"/>
      <c r="M85" s="169"/>
      <c r="N85" s="169"/>
      <c r="O85" s="169"/>
      <c r="P85" s="173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s="19" customFormat="1" ht="13.5" customHeight="1" x14ac:dyDescent="0.25">
      <c r="A86" s="83"/>
      <c r="B86" s="184"/>
      <c r="C86" s="169"/>
      <c r="D86" s="169"/>
      <c r="E86" s="169"/>
      <c r="F86" s="89" t="s">
        <v>105</v>
      </c>
      <c r="G86" s="90">
        <f>+E77*0.9</f>
        <v>0.4239</v>
      </c>
      <c r="H86" s="91"/>
      <c r="I86" s="92"/>
      <c r="J86" s="93">
        <v>0.71099999999999997</v>
      </c>
      <c r="K86" s="169"/>
      <c r="L86" s="169"/>
      <c r="M86" s="169"/>
      <c r="N86" s="169"/>
      <c r="O86" s="169"/>
      <c r="P86" s="173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s="19" customFormat="1" ht="15.75" thickBot="1" x14ac:dyDescent="0.3">
      <c r="A87" s="83"/>
      <c r="B87" s="185"/>
      <c r="C87" s="170"/>
      <c r="D87" s="170"/>
      <c r="E87" s="170"/>
      <c r="F87" s="94" t="s">
        <v>30</v>
      </c>
      <c r="G87" s="94">
        <f>+E77</f>
        <v>0.47099999999999997</v>
      </c>
      <c r="H87" s="95"/>
      <c r="I87" s="96"/>
      <c r="J87" s="97">
        <v>0.63800000000000001</v>
      </c>
      <c r="K87" s="170"/>
      <c r="L87" s="170"/>
      <c r="M87" s="170"/>
      <c r="N87" s="170"/>
      <c r="O87" s="170"/>
      <c r="P87" s="174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s="3" customFormat="1" ht="12.75" x14ac:dyDescent="0.2">
      <c r="A88" s="11"/>
      <c r="B88" s="156" t="s">
        <v>31</v>
      </c>
      <c r="C88" s="156"/>
      <c r="D88" s="156"/>
      <c r="E88" s="156"/>
      <c r="F88" s="156"/>
      <c r="G88" s="156"/>
      <c r="H88" s="156"/>
      <c r="I88" s="156"/>
      <c r="J88" s="156"/>
      <c r="K88" s="16">
        <f>ROUND(+M88/L88,3)</f>
        <v>0.70699999999999996</v>
      </c>
      <c r="L88" s="15">
        <f>SUM(L19:L87)</f>
        <v>1.8220000000000001</v>
      </c>
      <c r="M88" s="14">
        <f>SUM(M19:M87)</f>
        <v>1.2879999999999998</v>
      </c>
      <c r="N88" s="12">
        <f>ROUND(SUM(N19:N87),0)</f>
        <v>100</v>
      </c>
      <c r="O88" s="158" t="s">
        <v>32</v>
      </c>
      <c r="P88" s="160"/>
    </row>
    <row r="89" spans="1:26" s="3" customFormat="1" ht="15" customHeight="1" thickBot="1" x14ac:dyDescent="0.25">
      <c r="A89" s="11"/>
      <c r="B89" s="157"/>
      <c r="C89" s="157"/>
      <c r="D89" s="157"/>
      <c r="E89" s="157"/>
      <c r="F89" s="157"/>
      <c r="G89" s="157"/>
      <c r="H89" s="157"/>
      <c r="I89" s="157"/>
      <c r="J89" s="157"/>
      <c r="K89" s="13" t="s">
        <v>33</v>
      </c>
      <c r="L89" s="13" t="s">
        <v>49</v>
      </c>
      <c r="M89" s="13" t="s">
        <v>50</v>
      </c>
      <c r="N89" s="13" t="s">
        <v>34</v>
      </c>
      <c r="O89" s="159"/>
      <c r="P89" s="161"/>
    </row>
    <row r="90" spans="1:26" ht="15" customHeight="1" thickBot="1" x14ac:dyDescent="0.3">
      <c r="A90" s="5"/>
      <c r="B90" s="162" t="s">
        <v>106</v>
      </c>
      <c r="C90" s="163"/>
      <c r="D90" s="163"/>
      <c r="E90" s="163"/>
      <c r="F90" s="164"/>
      <c r="G90" s="162" t="s">
        <v>107</v>
      </c>
      <c r="H90" s="163"/>
      <c r="I90" s="163"/>
      <c r="J90" s="163"/>
      <c r="K90" s="164"/>
      <c r="L90" s="165" t="s">
        <v>52</v>
      </c>
      <c r="M90" s="166"/>
      <c r="N90" s="166"/>
      <c r="O90" s="166"/>
      <c r="P90" s="167"/>
    </row>
    <row r="91" spans="1:26" ht="15" customHeight="1" x14ac:dyDescent="0.25">
      <c r="A91" s="5"/>
      <c r="B91" s="126"/>
      <c r="C91" s="127"/>
      <c r="D91" s="127"/>
      <c r="E91" s="127"/>
      <c r="F91" s="128"/>
      <c r="G91" s="126"/>
      <c r="H91" s="127"/>
      <c r="I91" s="127"/>
      <c r="J91" s="127"/>
      <c r="K91" s="128"/>
      <c r="L91" s="135" t="s">
        <v>108</v>
      </c>
      <c r="M91" s="136"/>
      <c r="N91" s="136"/>
      <c r="O91" s="137">
        <f>+AVERAGE(E18:E68)</f>
        <v>0.38109999999999994</v>
      </c>
      <c r="P91" s="138"/>
    </row>
    <row r="92" spans="1:26" ht="15" customHeight="1" thickBot="1" x14ac:dyDescent="0.3">
      <c r="A92" s="5"/>
      <c r="B92" s="129"/>
      <c r="C92" s="130"/>
      <c r="D92" s="130"/>
      <c r="E92" s="130"/>
      <c r="F92" s="131"/>
      <c r="G92" s="129"/>
      <c r="H92" s="130"/>
      <c r="I92" s="130"/>
      <c r="J92" s="130"/>
      <c r="K92" s="131"/>
      <c r="L92" s="139" t="s">
        <v>109</v>
      </c>
      <c r="M92" s="140"/>
      <c r="N92" s="140"/>
      <c r="O92" s="141">
        <f>+MAX(E18:E68)</f>
        <v>0.47099999999999997</v>
      </c>
      <c r="P92" s="142"/>
    </row>
    <row r="93" spans="1:26" ht="18.600000000000001" customHeight="1" x14ac:dyDescent="0.25">
      <c r="A93" s="6"/>
      <c r="B93" s="129"/>
      <c r="C93" s="130"/>
      <c r="D93" s="130"/>
      <c r="E93" s="130"/>
      <c r="F93" s="131"/>
      <c r="G93" s="129"/>
      <c r="H93" s="130"/>
      <c r="I93" s="130"/>
      <c r="J93" s="130"/>
      <c r="K93" s="131"/>
      <c r="L93" s="143"/>
      <c r="M93" s="144"/>
      <c r="N93" s="144"/>
      <c r="O93" s="144"/>
      <c r="P93" s="145"/>
    </row>
    <row r="94" spans="1:26" ht="61.5" customHeight="1" x14ac:dyDescent="0.25">
      <c r="A94" s="10"/>
      <c r="B94" s="129"/>
      <c r="C94" s="130"/>
      <c r="D94" s="130"/>
      <c r="E94" s="130"/>
      <c r="F94" s="131"/>
      <c r="G94" s="129"/>
      <c r="H94" s="130"/>
      <c r="I94" s="130"/>
      <c r="J94" s="130"/>
      <c r="K94" s="131"/>
      <c r="L94" s="146"/>
      <c r="M94" s="147"/>
      <c r="N94" s="147"/>
      <c r="O94" s="147"/>
      <c r="P94" s="148"/>
    </row>
    <row r="95" spans="1:26" ht="15" customHeight="1" thickBot="1" x14ac:dyDescent="0.3">
      <c r="A95" s="5"/>
      <c r="B95" s="129"/>
      <c r="C95" s="130"/>
      <c r="D95" s="130"/>
      <c r="E95" s="130"/>
      <c r="F95" s="131"/>
      <c r="G95" s="129"/>
      <c r="H95" s="130"/>
      <c r="I95" s="130"/>
      <c r="J95" s="130"/>
      <c r="K95" s="131"/>
      <c r="L95" s="149"/>
      <c r="M95" s="150"/>
      <c r="N95" s="150"/>
      <c r="O95" s="150"/>
      <c r="P95" s="151"/>
    </row>
    <row r="96" spans="1:26" ht="22.5" customHeight="1" thickBot="1" x14ac:dyDescent="0.3">
      <c r="A96" s="5"/>
      <c r="B96" s="129"/>
      <c r="C96" s="130"/>
      <c r="D96" s="130"/>
      <c r="E96" s="130"/>
      <c r="F96" s="131"/>
      <c r="G96" s="129"/>
      <c r="H96" s="130"/>
      <c r="I96" s="130"/>
      <c r="J96" s="130"/>
      <c r="K96" s="131"/>
      <c r="L96" s="152" t="s">
        <v>35</v>
      </c>
      <c r="M96" s="153"/>
      <c r="N96" s="153"/>
      <c r="O96" s="153"/>
      <c r="P96" s="98">
        <v>2.9</v>
      </c>
    </row>
    <row r="97" spans="1:16" ht="32.25" customHeight="1" thickBot="1" x14ac:dyDescent="0.3">
      <c r="A97" s="5"/>
      <c r="B97" s="132"/>
      <c r="C97" s="133"/>
      <c r="D97" s="133"/>
      <c r="E97" s="133"/>
      <c r="F97" s="134"/>
      <c r="G97" s="132"/>
      <c r="H97" s="133"/>
      <c r="I97" s="133"/>
      <c r="J97" s="133"/>
      <c r="K97" s="134"/>
      <c r="L97" s="154" t="s">
        <v>51</v>
      </c>
      <c r="M97" s="155"/>
      <c r="N97" s="155"/>
      <c r="O97" s="155"/>
      <c r="P97" s="98">
        <v>0.67369999999999997</v>
      </c>
    </row>
    <row r="98" spans="1:16" ht="23.45" customHeight="1" thickBot="1" x14ac:dyDescent="0.3">
      <c r="A98" s="7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</row>
    <row r="99" spans="1:16" ht="15.75" thickBot="1" x14ac:dyDescent="0.3">
      <c r="A99" s="115" t="s">
        <v>36</v>
      </c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7"/>
    </row>
    <row r="100" spans="1:16" ht="159" customHeight="1" thickBot="1" x14ac:dyDescent="0.3">
      <c r="A100" s="4"/>
      <c r="B100" s="118"/>
      <c r="C100" s="119"/>
      <c r="D100" s="119"/>
      <c r="E100" s="119"/>
      <c r="F100" s="120"/>
      <c r="G100" s="118"/>
      <c r="H100" s="119"/>
      <c r="I100" s="119"/>
      <c r="J100" s="119"/>
      <c r="K100" s="120"/>
      <c r="L100" s="118"/>
      <c r="M100" s="119"/>
      <c r="N100" s="119"/>
      <c r="O100" s="119"/>
      <c r="P100" s="121"/>
    </row>
    <row r="101" spans="1:16" ht="21.75" customHeight="1" thickBot="1" x14ac:dyDescent="0.3">
      <c r="A101" s="4"/>
      <c r="B101" s="302" t="s">
        <v>53</v>
      </c>
      <c r="C101" s="303"/>
      <c r="D101" s="303"/>
      <c r="E101" s="303"/>
      <c r="F101" s="304"/>
      <c r="G101" s="305" t="s">
        <v>112</v>
      </c>
      <c r="H101" s="306"/>
      <c r="I101" s="306"/>
      <c r="J101" s="306"/>
      <c r="K101" s="306"/>
      <c r="L101" s="306"/>
      <c r="M101" s="306"/>
      <c r="N101" s="306"/>
      <c r="O101" s="306"/>
      <c r="P101" s="307"/>
    </row>
    <row r="102" spans="1:16" s="9" customFormat="1" ht="16.899999999999999" customHeight="1" thickBot="1" x14ac:dyDescent="0.3">
      <c r="A102" s="8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10"/>
    </row>
    <row r="103" spans="1:16" s="3" customFormat="1" ht="15.75" customHeight="1" thickBot="1" x14ac:dyDescent="0.25">
      <c r="A103" s="111" t="s">
        <v>37</v>
      </c>
      <c r="B103" s="112"/>
      <c r="C103" s="112"/>
      <c r="D103" s="112"/>
      <c r="E103" s="112"/>
      <c r="F103" s="112"/>
      <c r="G103" s="112"/>
      <c r="H103" s="112"/>
      <c r="I103" s="112"/>
      <c r="J103" s="112" t="s">
        <v>38</v>
      </c>
      <c r="K103" s="112"/>
      <c r="L103" s="112"/>
      <c r="M103" s="112"/>
      <c r="N103" s="112"/>
      <c r="O103" s="112"/>
      <c r="P103" s="113"/>
    </row>
  </sheetData>
  <mergeCells count="20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F100"/>
    <mergeCell ref="G100:K100"/>
    <mergeCell ref="L100:P100"/>
    <mergeCell ref="B101:F101"/>
    <mergeCell ref="G101:P10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3"/>
  <sheetViews>
    <sheetView view="pageBreakPreview" zoomScale="70" zoomScaleSheetLayoutView="7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6"/>
      <c r="B2" s="327"/>
      <c r="C2" s="328"/>
      <c r="D2" s="329"/>
      <c r="E2" s="330" t="s">
        <v>123</v>
      </c>
      <c r="F2" s="331"/>
      <c r="G2" s="331"/>
      <c r="H2" s="331"/>
      <c r="I2" s="331"/>
      <c r="J2" s="331"/>
      <c r="K2" s="331"/>
      <c r="L2" s="331"/>
      <c r="M2" s="331"/>
      <c r="N2" s="331"/>
      <c r="O2" s="332"/>
      <c r="P2" s="333"/>
    </row>
    <row r="3" spans="1:26" s="2" customFormat="1" ht="24.75" customHeight="1" thickBot="1" x14ac:dyDescent="0.3">
      <c r="A3" s="326"/>
      <c r="B3" s="334"/>
      <c r="C3" s="335"/>
      <c r="D3" s="336"/>
      <c r="E3" s="337"/>
      <c r="F3" s="338"/>
      <c r="G3" s="338"/>
      <c r="H3" s="338"/>
      <c r="I3" s="338"/>
      <c r="J3" s="338"/>
      <c r="K3" s="338"/>
      <c r="L3" s="338"/>
      <c r="M3" s="338"/>
      <c r="N3" s="338"/>
      <c r="O3" s="339"/>
      <c r="P3" s="340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43103</v>
      </c>
      <c r="D5" s="298"/>
      <c r="E5" s="22" t="s">
        <v>55</v>
      </c>
      <c r="F5" s="23">
        <v>3</v>
      </c>
      <c r="G5" s="24" t="s">
        <v>1</v>
      </c>
      <c r="H5" s="299" t="s">
        <v>124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2</v>
      </c>
      <c r="C6" s="281"/>
      <c r="D6" s="282" t="s">
        <v>56</v>
      </c>
      <c r="E6" s="283"/>
      <c r="F6" s="283"/>
      <c r="G6" s="283"/>
      <c r="H6" s="283"/>
      <c r="I6" s="284"/>
      <c r="J6" s="28" t="s">
        <v>3</v>
      </c>
      <c r="K6" s="285" t="s">
        <v>57</v>
      </c>
      <c r="L6" s="284"/>
      <c r="M6" s="285" t="s">
        <v>58</v>
      </c>
      <c r="N6" s="286"/>
      <c r="O6" s="29" t="s">
        <v>59</v>
      </c>
      <c r="P6" s="30">
        <v>2101</v>
      </c>
    </row>
    <row r="7" spans="1:26" s="26" customFormat="1" ht="21.75" customHeight="1" x14ac:dyDescent="0.25">
      <c r="B7" s="287" t="s">
        <v>60</v>
      </c>
      <c r="C7" s="288" t="s">
        <v>61</v>
      </c>
      <c r="D7" s="258"/>
      <c r="E7" s="32"/>
      <c r="F7" s="289" t="s">
        <v>62</v>
      </c>
      <c r="G7" s="290"/>
      <c r="H7" s="290"/>
      <c r="I7" s="290"/>
      <c r="J7" s="291" t="s">
        <v>63</v>
      </c>
      <c r="K7" s="292"/>
      <c r="L7" s="292"/>
      <c r="M7" s="293"/>
      <c r="N7" s="294" t="s">
        <v>64</v>
      </c>
      <c r="O7" s="295"/>
      <c r="P7" s="33" t="s">
        <v>65</v>
      </c>
    </row>
    <row r="8" spans="1:26" s="26" customFormat="1" ht="21.75" customHeight="1" thickBot="1" x14ac:dyDescent="0.3">
      <c r="B8" s="232"/>
      <c r="C8" s="249" t="s">
        <v>66</v>
      </c>
      <c r="D8" s="248"/>
      <c r="E8" s="34" t="s">
        <v>4</v>
      </c>
      <c r="F8" s="259" t="s">
        <v>5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6</v>
      </c>
      <c r="C9" s="269" t="s">
        <v>67</v>
      </c>
      <c r="D9" s="270" t="s">
        <v>68</v>
      </c>
      <c r="E9" s="255"/>
      <c r="F9" s="36"/>
      <c r="G9" s="271" t="s">
        <v>7</v>
      </c>
      <c r="H9" s="272" t="s">
        <v>8</v>
      </c>
      <c r="I9" s="258"/>
      <c r="J9" s="37"/>
      <c r="K9" s="269" t="s">
        <v>69</v>
      </c>
      <c r="L9" s="273" t="s">
        <v>115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71</v>
      </c>
      <c r="E10" s="248"/>
      <c r="F10" s="38" t="s">
        <v>4</v>
      </c>
      <c r="G10" s="212"/>
      <c r="H10" s="253" t="s">
        <v>9</v>
      </c>
      <c r="I10" s="248"/>
      <c r="J10" s="39" t="s">
        <v>4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10</v>
      </c>
      <c r="D11" s="255"/>
      <c r="E11" s="40">
        <v>0.69097222222222221</v>
      </c>
      <c r="F11" s="256" t="s">
        <v>11</v>
      </c>
      <c r="G11" s="255"/>
      <c r="H11" s="41">
        <v>0.82</v>
      </c>
      <c r="I11" s="257" t="s">
        <v>12</v>
      </c>
      <c r="J11" s="258"/>
      <c r="K11" s="42">
        <v>16</v>
      </c>
      <c r="L11" s="254" t="s">
        <v>13</v>
      </c>
      <c r="M11" s="255"/>
      <c r="N11" s="43">
        <v>6</v>
      </c>
      <c r="O11" s="245" t="s">
        <v>72</v>
      </c>
      <c r="P11" s="246"/>
    </row>
    <row r="12" spans="1:26" s="26" customFormat="1" ht="21.75" customHeight="1" thickBot="1" x14ac:dyDescent="0.3">
      <c r="A12" s="20"/>
      <c r="B12" s="268"/>
      <c r="C12" s="247" t="s">
        <v>14</v>
      </c>
      <c r="D12" s="248"/>
      <c r="E12" s="40">
        <v>0.77083333333333337</v>
      </c>
      <c r="F12" s="249" t="s">
        <v>15</v>
      </c>
      <c r="G12" s="248"/>
      <c r="H12" s="41">
        <v>0.82</v>
      </c>
      <c r="I12" s="250" t="s">
        <v>16</v>
      </c>
      <c r="J12" s="248"/>
      <c r="K12" s="40">
        <v>0.70833333333333337</v>
      </c>
      <c r="L12" s="247" t="s">
        <v>17</v>
      </c>
      <c r="M12" s="248"/>
      <c r="N12" s="44">
        <v>0.5</v>
      </c>
      <c r="O12" s="251">
        <v>0.46</v>
      </c>
      <c r="P12" s="252"/>
    </row>
    <row r="13" spans="1:26" s="26" customFormat="1" ht="21.75" customHeight="1" x14ac:dyDescent="0.25">
      <c r="A13" s="20"/>
      <c r="B13" s="230" t="s">
        <v>18</v>
      </c>
      <c r="C13" s="233" t="s">
        <v>73</v>
      </c>
      <c r="D13" s="234"/>
      <c r="E13" s="234"/>
      <c r="F13" s="235" t="s">
        <v>74</v>
      </c>
      <c r="G13" s="234"/>
      <c r="H13" s="234"/>
      <c r="I13" s="234"/>
      <c r="J13" s="235" t="s">
        <v>75</v>
      </c>
      <c r="K13" s="234"/>
      <c r="L13" s="234"/>
      <c r="M13" s="234"/>
      <c r="N13" s="236" t="s">
        <v>76</v>
      </c>
      <c r="O13" s="234"/>
      <c r="P13" s="237"/>
      <c r="Q13" s="45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77</v>
      </c>
      <c r="D14" s="239"/>
      <c r="E14" s="239"/>
      <c r="F14" s="240" t="s">
        <v>78</v>
      </c>
      <c r="G14" s="239"/>
      <c r="H14" s="239"/>
      <c r="I14" s="239"/>
      <c r="J14" s="241" t="s">
        <v>79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80</v>
      </c>
      <c r="D15" s="214"/>
      <c r="E15" s="214"/>
      <c r="F15" s="214" t="s">
        <v>81</v>
      </c>
      <c r="G15" s="215"/>
      <c r="H15" s="215"/>
      <c r="I15" s="215"/>
      <c r="J15" s="214" t="s">
        <v>82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19</v>
      </c>
      <c r="C16" s="221" t="s">
        <v>20</v>
      </c>
      <c r="D16" s="221" t="s">
        <v>41</v>
      </c>
      <c r="E16" s="223" t="s">
        <v>21</v>
      </c>
      <c r="F16" s="224" t="s">
        <v>42</v>
      </c>
      <c r="G16" s="225"/>
      <c r="H16" s="221" t="s">
        <v>83</v>
      </c>
      <c r="I16" s="228" t="s">
        <v>84</v>
      </c>
      <c r="J16" s="46" t="s">
        <v>43</v>
      </c>
      <c r="K16" s="47"/>
      <c r="L16" s="48" t="s">
        <v>44</v>
      </c>
      <c r="M16" s="48" t="s">
        <v>45</v>
      </c>
      <c r="N16" s="48" t="s">
        <v>45</v>
      </c>
      <c r="O16" s="48" t="s">
        <v>46</v>
      </c>
      <c r="P16" s="49" t="s">
        <v>22</v>
      </c>
    </row>
    <row r="17" spans="1:26" s="26" customFormat="1" ht="21.75" customHeight="1" thickBot="1" x14ac:dyDescent="0.3">
      <c r="A17" s="50"/>
      <c r="B17" s="220"/>
      <c r="C17" s="222"/>
      <c r="D17" s="222"/>
      <c r="E17" s="222"/>
      <c r="F17" s="226"/>
      <c r="G17" s="227"/>
      <c r="H17" s="222"/>
      <c r="I17" s="229"/>
      <c r="J17" s="51" t="s">
        <v>23</v>
      </c>
      <c r="K17" s="52" t="s">
        <v>24</v>
      </c>
      <c r="L17" s="52" t="s">
        <v>47</v>
      </c>
      <c r="M17" s="52" t="s">
        <v>48</v>
      </c>
      <c r="N17" s="52" t="s">
        <v>25</v>
      </c>
      <c r="O17" s="52" t="s">
        <v>26</v>
      </c>
      <c r="P17" s="53" t="s">
        <v>27</v>
      </c>
    </row>
    <row r="18" spans="1:26" s="64" customFormat="1" ht="21.75" customHeight="1" thickBot="1" x14ac:dyDescent="0.3">
      <c r="A18" s="54"/>
      <c r="B18" s="55"/>
      <c r="C18" s="56">
        <v>0.9</v>
      </c>
      <c r="D18" s="56">
        <v>0.14499999999999999</v>
      </c>
      <c r="E18" s="57"/>
      <c r="F18" s="58"/>
      <c r="G18" s="59"/>
      <c r="H18" s="60"/>
      <c r="I18" s="61"/>
      <c r="J18" s="62"/>
      <c r="K18" s="57"/>
      <c r="L18" s="57"/>
      <c r="M18" s="57"/>
      <c r="N18" s="57"/>
      <c r="O18" s="57"/>
      <c r="P18" s="63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s="64" customFormat="1" ht="13.5" customHeight="1" x14ac:dyDescent="0.25">
      <c r="A19" s="54"/>
      <c r="B19" s="210">
        <v>1</v>
      </c>
      <c r="C19" s="213">
        <f>+C18+$N$12</f>
        <v>1.4</v>
      </c>
      <c r="D19" s="190">
        <v>0.59411000000000003</v>
      </c>
      <c r="E19" s="190">
        <v>0.43197000000000002</v>
      </c>
      <c r="F19" s="65" t="s">
        <v>85</v>
      </c>
      <c r="G19" s="66">
        <v>0</v>
      </c>
      <c r="H19" s="67"/>
      <c r="I19" s="68"/>
      <c r="J19" s="69">
        <v>2.1000000000000001E-2</v>
      </c>
      <c r="K19" s="190">
        <f>+IF(E19&lt;=0.12,(J21),(IF(E19&lt;0.16,((J20+2*J21+J22)/4),IF(E19&gt;=0.16,((J19+3*J20+2*J21+3*J22+J23)/10)))))</f>
        <v>7.1999999999999995E-2</v>
      </c>
      <c r="L19" s="190">
        <f>ROUND(+(D18+D19)/2*(C19-C18),3)</f>
        <v>0.185</v>
      </c>
      <c r="M19" s="190">
        <f>ROUND(+K19*L19,4)</f>
        <v>1.3299999999999999E-2</v>
      </c>
      <c r="N19" s="193">
        <f>ROUND(+M19/$M$98*100,2)</f>
        <v>0.95</v>
      </c>
      <c r="O19" s="194"/>
      <c r="P19" s="195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s="64" customFormat="1" ht="13.5" customHeight="1" x14ac:dyDescent="0.25">
      <c r="A20" s="54"/>
      <c r="B20" s="211"/>
      <c r="C20" s="191"/>
      <c r="D20" s="191"/>
      <c r="E20" s="191"/>
      <c r="F20" s="70" t="s">
        <v>86</v>
      </c>
      <c r="G20" s="71">
        <f>IF(E19&lt;0.125,"NA",IF(0.125&lt;=E19,(0.2*E19)))</f>
        <v>8.6394000000000012E-2</v>
      </c>
      <c r="H20" s="72"/>
      <c r="I20" s="73"/>
      <c r="J20" s="74">
        <v>7.2999999999999995E-2</v>
      </c>
      <c r="K20" s="191"/>
      <c r="L20" s="191"/>
      <c r="M20" s="191"/>
      <c r="N20" s="191"/>
      <c r="O20" s="191"/>
      <c r="P20" s="196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s="64" customFormat="1" ht="13.5" customHeight="1" x14ac:dyDescent="0.25">
      <c r="A21" s="54"/>
      <c r="B21" s="211"/>
      <c r="C21" s="191"/>
      <c r="D21" s="191"/>
      <c r="E21" s="191"/>
      <c r="F21" s="70" t="s">
        <v>87</v>
      </c>
      <c r="G21" s="71">
        <f>+E19*0.4</f>
        <v>0.17278800000000002</v>
      </c>
      <c r="H21" s="72"/>
      <c r="I21" s="73"/>
      <c r="J21" s="74">
        <v>6.3E-2</v>
      </c>
      <c r="K21" s="191"/>
      <c r="L21" s="191"/>
      <c r="M21" s="191"/>
      <c r="N21" s="191"/>
      <c r="O21" s="191"/>
      <c r="P21" s="196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s="64" customFormat="1" ht="13.5" customHeight="1" x14ac:dyDescent="0.25">
      <c r="A22" s="54"/>
      <c r="B22" s="211"/>
      <c r="C22" s="191"/>
      <c r="D22" s="191"/>
      <c r="E22" s="191"/>
      <c r="F22" s="70" t="s">
        <v>88</v>
      </c>
      <c r="G22" s="71">
        <f>IF(E19&lt;0.125,"NA",IF(0.125&lt;=E19,(0.8*E19)))</f>
        <v>0.34557600000000005</v>
      </c>
      <c r="H22" s="72"/>
      <c r="I22" s="73"/>
      <c r="J22" s="74">
        <v>0.09</v>
      </c>
      <c r="K22" s="191"/>
      <c r="L22" s="191"/>
      <c r="M22" s="191"/>
      <c r="N22" s="191"/>
      <c r="O22" s="191"/>
      <c r="P22" s="196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s="64" customFormat="1" ht="13.5" customHeight="1" thickBot="1" x14ac:dyDescent="0.3">
      <c r="A23" s="54"/>
      <c r="B23" s="212"/>
      <c r="C23" s="192"/>
      <c r="D23" s="192"/>
      <c r="E23" s="192"/>
      <c r="F23" s="75" t="s">
        <v>89</v>
      </c>
      <c r="G23" s="76">
        <f>+E19</f>
        <v>0.43197000000000002</v>
      </c>
      <c r="H23" s="77"/>
      <c r="I23" s="78"/>
      <c r="J23" s="79">
        <v>8.4000000000000005E-2</v>
      </c>
      <c r="K23" s="192"/>
      <c r="L23" s="192"/>
      <c r="M23" s="192"/>
      <c r="N23" s="192"/>
      <c r="O23" s="192"/>
      <c r="P23" s="197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s="64" customFormat="1" ht="13.5" customHeight="1" x14ac:dyDescent="0.25">
      <c r="A24" s="54"/>
      <c r="B24" s="210">
        <v>2</v>
      </c>
      <c r="C24" s="213">
        <f>+C19+$N$12</f>
        <v>1.9</v>
      </c>
      <c r="D24" s="190">
        <v>0.44165000000000004</v>
      </c>
      <c r="E24" s="190">
        <v>0.5384500000000001</v>
      </c>
      <c r="F24" s="65" t="s">
        <v>85</v>
      </c>
      <c r="G24" s="66">
        <v>0</v>
      </c>
      <c r="H24" s="67"/>
      <c r="I24" s="68"/>
      <c r="J24" s="69"/>
      <c r="K24" s="190"/>
      <c r="L24" s="190"/>
      <c r="M24" s="190"/>
      <c r="N24" s="193"/>
      <c r="O24" s="194"/>
      <c r="P24" s="195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s="64" customFormat="1" ht="13.5" customHeight="1" x14ac:dyDescent="0.25">
      <c r="A25" s="54"/>
      <c r="B25" s="211"/>
      <c r="C25" s="191"/>
      <c r="D25" s="191"/>
      <c r="E25" s="191"/>
      <c r="F25" s="70" t="s">
        <v>86</v>
      </c>
      <c r="G25" s="71">
        <f t="shared" ref="G25" si="0">IF(E24&lt;0.125,"NA",IF(0.125&lt;=E24,(0.2*E24)))</f>
        <v>0.10769000000000002</v>
      </c>
      <c r="H25" s="72"/>
      <c r="I25" s="73"/>
      <c r="J25" s="74"/>
      <c r="K25" s="191"/>
      <c r="L25" s="191"/>
      <c r="M25" s="191"/>
      <c r="N25" s="191"/>
      <c r="O25" s="191"/>
      <c r="P25" s="196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s="64" customFormat="1" ht="13.5" customHeight="1" x14ac:dyDescent="0.25">
      <c r="A26" s="54"/>
      <c r="B26" s="211"/>
      <c r="C26" s="191"/>
      <c r="D26" s="191"/>
      <c r="E26" s="191"/>
      <c r="F26" s="70" t="s">
        <v>87</v>
      </c>
      <c r="G26" s="71">
        <f t="shared" ref="G26" si="1">+E24*0.4</f>
        <v>0.21538000000000004</v>
      </c>
      <c r="H26" s="72"/>
      <c r="I26" s="73"/>
      <c r="J26" s="74"/>
      <c r="K26" s="191"/>
      <c r="L26" s="191"/>
      <c r="M26" s="191"/>
      <c r="N26" s="191"/>
      <c r="O26" s="191"/>
      <c r="P26" s="196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s="64" customFormat="1" ht="13.5" customHeight="1" x14ac:dyDescent="0.25">
      <c r="A27" s="54"/>
      <c r="B27" s="211"/>
      <c r="C27" s="191"/>
      <c r="D27" s="191"/>
      <c r="E27" s="191"/>
      <c r="F27" s="70" t="s">
        <v>88</v>
      </c>
      <c r="G27" s="71">
        <f t="shared" ref="G27" si="2">IF(E24&lt;0.125,"NA",IF(0.125&lt;=E24,(0.8*E24)))</f>
        <v>0.43076000000000009</v>
      </c>
      <c r="H27" s="72"/>
      <c r="I27" s="73"/>
      <c r="J27" s="74"/>
      <c r="K27" s="191"/>
      <c r="L27" s="191"/>
      <c r="M27" s="191"/>
      <c r="N27" s="191"/>
      <c r="O27" s="191"/>
      <c r="P27" s="196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s="64" customFormat="1" ht="13.5" customHeight="1" thickBot="1" x14ac:dyDescent="0.3">
      <c r="A28" s="54"/>
      <c r="B28" s="212"/>
      <c r="C28" s="192"/>
      <c r="D28" s="192"/>
      <c r="E28" s="192"/>
      <c r="F28" s="75" t="s">
        <v>89</v>
      </c>
      <c r="G28" s="76">
        <f t="shared" ref="G28" si="3">+E24</f>
        <v>0.5384500000000001</v>
      </c>
      <c r="H28" s="77"/>
      <c r="I28" s="78"/>
      <c r="J28" s="79"/>
      <c r="K28" s="192"/>
      <c r="L28" s="192"/>
      <c r="M28" s="192"/>
      <c r="N28" s="192"/>
      <c r="O28" s="192"/>
      <c r="P28" s="197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s="64" customFormat="1" ht="13.5" customHeight="1" x14ac:dyDescent="0.25">
      <c r="A29" s="54"/>
      <c r="B29" s="210">
        <v>3</v>
      </c>
      <c r="C29" s="213">
        <f>+C24+$N$12</f>
        <v>2.4</v>
      </c>
      <c r="D29" s="190">
        <v>0.4840000000000001</v>
      </c>
      <c r="E29" s="190">
        <v>0.43560000000000004</v>
      </c>
      <c r="F29" s="65" t="s">
        <v>85</v>
      </c>
      <c r="G29" s="66">
        <v>0</v>
      </c>
      <c r="H29" s="67"/>
      <c r="I29" s="68"/>
      <c r="J29" s="69">
        <v>0.28199999999999997</v>
      </c>
      <c r="K29" s="190">
        <f t="shared" ref="K29" si="4">+IF(E29&lt;=0.12,(J31),(IF(E29&lt;0.16,((J30+2*J31+J32)/4),IF(E29&gt;=0.16,((J29+3*J30+2*J31+3*J32+J33)/10)))))</f>
        <v>0.56520000000000004</v>
      </c>
      <c r="L29" s="190">
        <f>ROUND(+(D24+D29)/2*(C29-C24),3)</f>
        <v>0.23100000000000001</v>
      </c>
      <c r="M29" s="190">
        <f t="shared" ref="M29" si="5">ROUND(+K29*L29,4)</f>
        <v>0.13059999999999999</v>
      </c>
      <c r="N29" s="193">
        <f t="shared" ref="N29" si="6">ROUND(+M29/$M$98*100,2)</f>
        <v>9.3699999999999992</v>
      </c>
      <c r="O29" s="194"/>
      <c r="P29" s="195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s="64" customFormat="1" ht="13.5" customHeight="1" x14ac:dyDescent="0.25">
      <c r="A30" s="54"/>
      <c r="B30" s="211"/>
      <c r="C30" s="191"/>
      <c r="D30" s="191"/>
      <c r="E30" s="191"/>
      <c r="F30" s="70" t="s">
        <v>86</v>
      </c>
      <c r="G30" s="71">
        <f t="shared" ref="G30" si="7">IF(E29&lt;0.125,"NA",IF(0.125&lt;=E29,(0.2*E29)))</f>
        <v>8.7120000000000017E-2</v>
      </c>
      <c r="H30" s="72"/>
      <c r="I30" s="73"/>
      <c r="J30" s="74">
        <v>0.55800000000000005</v>
      </c>
      <c r="K30" s="191"/>
      <c r="L30" s="191"/>
      <c r="M30" s="191"/>
      <c r="N30" s="191"/>
      <c r="O30" s="191"/>
      <c r="P30" s="196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s="64" customFormat="1" ht="13.5" customHeight="1" x14ac:dyDescent="0.25">
      <c r="A31" s="54"/>
      <c r="B31" s="211"/>
      <c r="C31" s="191"/>
      <c r="D31" s="191"/>
      <c r="E31" s="191"/>
      <c r="F31" s="70" t="s">
        <v>87</v>
      </c>
      <c r="G31" s="71">
        <f t="shared" ref="G31" si="8">+E29*0.4</f>
        <v>0.17424000000000003</v>
      </c>
      <c r="H31" s="72"/>
      <c r="I31" s="73"/>
      <c r="J31" s="74">
        <v>0.57599999999999996</v>
      </c>
      <c r="K31" s="191"/>
      <c r="L31" s="191"/>
      <c r="M31" s="191"/>
      <c r="N31" s="191"/>
      <c r="O31" s="191"/>
      <c r="P31" s="196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s="64" customFormat="1" ht="13.5" customHeight="1" x14ac:dyDescent="0.25">
      <c r="A32" s="54"/>
      <c r="B32" s="211"/>
      <c r="C32" s="191"/>
      <c r="D32" s="191"/>
      <c r="E32" s="191"/>
      <c r="F32" s="70" t="s">
        <v>88</v>
      </c>
      <c r="G32" s="71">
        <f t="shared" ref="G32" si="9">IF(E29&lt;0.125,"NA",IF(0.125&lt;=E29,(0.8*E29)))</f>
        <v>0.34848000000000007</v>
      </c>
      <c r="H32" s="72"/>
      <c r="I32" s="73"/>
      <c r="J32" s="74">
        <v>0.56000000000000005</v>
      </c>
      <c r="K32" s="191"/>
      <c r="L32" s="191"/>
      <c r="M32" s="191"/>
      <c r="N32" s="191"/>
      <c r="O32" s="191"/>
      <c r="P32" s="196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s="64" customFormat="1" ht="13.5" customHeight="1" thickBot="1" x14ac:dyDescent="0.3">
      <c r="A33" s="54"/>
      <c r="B33" s="212"/>
      <c r="C33" s="192"/>
      <c r="D33" s="192"/>
      <c r="E33" s="192"/>
      <c r="F33" s="75" t="s">
        <v>89</v>
      </c>
      <c r="G33" s="76">
        <f t="shared" ref="G33" si="10">+E29</f>
        <v>0.43560000000000004</v>
      </c>
      <c r="H33" s="77"/>
      <c r="I33" s="78"/>
      <c r="J33" s="79">
        <v>0.86399999999999999</v>
      </c>
      <c r="K33" s="192"/>
      <c r="L33" s="192"/>
      <c r="M33" s="192"/>
      <c r="N33" s="192"/>
      <c r="O33" s="192"/>
      <c r="P33" s="197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s="64" customFormat="1" ht="13.5" customHeight="1" x14ac:dyDescent="0.25">
      <c r="A34" s="54"/>
      <c r="B34" s="210">
        <v>4</v>
      </c>
      <c r="C34" s="213">
        <f>+C29+$N$12</f>
        <v>2.9</v>
      </c>
      <c r="D34" s="190">
        <v>0.4900500000000001</v>
      </c>
      <c r="E34" s="190">
        <v>0.49731000000000003</v>
      </c>
      <c r="F34" s="65" t="s">
        <v>85</v>
      </c>
      <c r="G34" s="66">
        <v>0</v>
      </c>
      <c r="H34" s="67"/>
      <c r="I34" s="68"/>
      <c r="J34" s="69">
        <v>0.28999999999999998</v>
      </c>
      <c r="K34" s="190">
        <f t="shared" ref="K34" si="11">+IF(E34&lt;=0.12,(J36),(IF(E34&lt;0.16,((J35+2*J36+J37)/4),IF(E34&gt;=0.16,((J34+3*J35+2*J36+3*J37+J38)/10)))))</f>
        <v>0.72870000000000013</v>
      </c>
      <c r="L34" s="190">
        <f>ROUND(+(D29+D34)/2*(C34-C29),3)</f>
        <v>0.24399999999999999</v>
      </c>
      <c r="M34" s="190">
        <f t="shared" ref="M34" si="12">ROUND(+K34*L34,4)</f>
        <v>0.17780000000000001</v>
      </c>
      <c r="N34" s="193">
        <f t="shared" ref="N34" si="13">ROUND(+M34/$M$98*100,2)</f>
        <v>12.76</v>
      </c>
      <c r="O34" s="194"/>
      <c r="P34" s="195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s="64" customFormat="1" ht="13.5" customHeight="1" x14ac:dyDescent="0.25">
      <c r="A35" s="54"/>
      <c r="B35" s="211"/>
      <c r="C35" s="191"/>
      <c r="D35" s="191"/>
      <c r="E35" s="191"/>
      <c r="F35" s="70" t="s">
        <v>86</v>
      </c>
      <c r="G35" s="71">
        <f t="shared" ref="G35" si="14">IF(E34&lt;0.125,"NA",IF(0.125&lt;=E34,(0.2*E34)))</f>
        <v>9.9462000000000009E-2</v>
      </c>
      <c r="H35" s="72"/>
      <c r="I35" s="73"/>
      <c r="J35" s="74">
        <v>0.65400000000000003</v>
      </c>
      <c r="K35" s="191"/>
      <c r="L35" s="191"/>
      <c r="M35" s="191"/>
      <c r="N35" s="191"/>
      <c r="O35" s="191"/>
      <c r="P35" s="196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s="64" customFormat="1" ht="13.5" customHeight="1" x14ac:dyDescent="0.25">
      <c r="A36" s="54"/>
      <c r="B36" s="211"/>
      <c r="C36" s="191"/>
      <c r="D36" s="191"/>
      <c r="E36" s="191"/>
      <c r="F36" s="70" t="s">
        <v>87</v>
      </c>
      <c r="G36" s="71">
        <f t="shared" ref="G36" si="15">+E34*0.4</f>
        <v>0.19892400000000002</v>
      </c>
      <c r="H36" s="72"/>
      <c r="I36" s="73"/>
      <c r="J36" s="74">
        <v>0.70399999999999996</v>
      </c>
      <c r="K36" s="191"/>
      <c r="L36" s="191"/>
      <c r="M36" s="191"/>
      <c r="N36" s="191"/>
      <c r="O36" s="191"/>
      <c r="P36" s="196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s="64" customFormat="1" ht="13.5" customHeight="1" x14ac:dyDescent="0.25">
      <c r="A37" s="54"/>
      <c r="B37" s="211"/>
      <c r="C37" s="191"/>
      <c r="D37" s="191"/>
      <c r="E37" s="191"/>
      <c r="F37" s="70" t="s">
        <v>88</v>
      </c>
      <c r="G37" s="71">
        <f t="shared" ref="G37" si="16">IF(E34&lt;0.125,"NA",IF(0.125&lt;=E34,(0.8*E34)))</f>
        <v>0.39784800000000003</v>
      </c>
      <c r="H37" s="72"/>
      <c r="I37" s="73"/>
      <c r="J37" s="74">
        <v>0.93200000000000005</v>
      </c>
      <c r="K37" s="191"/>
      <c r="L37" s="191"/>
      <c r="M37" s="191"/>
      <c r="N37" s="191"/>
      <c r="O37" s="191"/>
      <c r="P37" s="196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s="64" customFormat="1" ht="13.5" customHeight="1" thickBot="1" x14ac:dyDescent="0.3">
      <c r="A38" s="54"/>
      <c r="B38" s="212"/>
      <c r="C38" s="192"/>
      <c r="D38" s="192"/>
      <c r="E38" s="192"/>
      <c r="F38" s="75" t="s">
        <v>89</v>
      </c>
      <c r="G38" s="76">
        <f t="shared" ref="G38" si="17">+E34</f>
        <v>0.49731000000000003</v>
      </c>
      <c r="H38" s="77"/>
      <c r="I38" s="78"/>
      <c r="J38" s="79">
        <v>0.83099999999999996</v>
      </c>
      <c r="K38" s="192"/>
      <c r="L38" s="192"/>
      <c r="M38" s="192"/>
      <c r="N38" s="192"/>
      <c r="O38" s="192"/>
      <c r="P38" s="197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s="64" customFormat="1" ht="13.5" customHeight="1" x14ac:dyDescent="0.25">
      <c r="A39" s="54"/>
      <c r="B39" s="210">
        <v>5</v>
      </c>
      <c r="C39" s="213">
        <f>+C34+$N$12</f>
        <v>3.4</v>
      </c>
      <c r="D39" s="190">
        <v>0.48279000000000011</v>
      </c>
      <c r="E39" s="190">
        <v>0.4537500000000001</v>
      </c>
      <c r="F39" s="65" t="s">
        <v>85</v>
      </c>
      <c r="G39" s="66">
        <v>0</v>
      </c>
      <c r="H39" s="67"/>
      <c r="I39" s="68"/>
      <c r="J39" s="69">
        <v>4.5999999999999999E-2</v>
      </c>
      <c r="K39" s="190">
        <f t="shared" ref="K39" si="18">+IF(E39&lt;=0.12,(J41),(IF(E39&lt;0.16,((J40+2*J41+J42)/4),IF(E39&gt;=0.16,((J39+3*J40+2*J41+3*J42+J43)/10)))))</f>
        <v>0.65769999999999995</v>
      </c>
      <c r="L39" s="190">
        <f>ROUND(+(D34+D39)/2*(C39-C34),3)</f>
        <v>0.24299999999999999</v>
      </c>
      <c r="M39" s="190">
        <f t="shared" ref="M39" si="19">ROUND(+K39*L39,4)</f>
        <v>0.1598</v>
      </c>
      <c r="N39" s="193">
        <f t="shared" ref="N39" si="20">ROUND(+M39/$M$98*100,2)</f>
        <v>11.47</v>
      </c>
      <c r="O39" s="194"/>
      <c r="P39" s="195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s="64" customFormat="1" ht="13.5" customHeight="1" x14ac:dyDescent="0.25">
      <c r="A40" s="54"/>
      <c r="B40" s="211"/>
      <c r="C40" s="191"/>
      <c r="D40" s="191"/>
      <c r="E40" s="191"/>
      <c r="F40" s="70" t="s">
        <v>86</v>
      </c>
      <c r="G40" s="71">
        <f t="shared" ref="G40" si="21">IF(E39&lt;0.125,"NA",IF(0.125&lt;=E39,(0.2*E39)))</f>
        <v>9.0750000000000025E-2</v>
      </c>
      <c r="H40" s="72"/>
      <c r="I40" s="73"/>
      <c r="J40" s="74">
        <v>0.67400000000000004</v>
      </c>
      <c r="K40" s="191"/>
      <c r="L40" s="191"/>
      <c r="M40" s="191"/>
      <c r="N40" s="191"/>
      <c r="O40" s="191"/>
      <c r="P40" s="196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s="64" customFormat="1" ht="13.5" customHeight="1" x14ac:dyDescent="0.25">
      <c r="A41" s="54"/>
      <c r="B41" s="211"/>
      <c r="C41" s="191"/>
      <c r="D41" s="191"/>
      <c r="E41" s="191"/>
      <c r="F41" s="70" t="s">
        <v>87</v>
      </c>
      <c r="G41" s="71">
        <f t="shared" ref="G41" si="22">+E39*0.4</f>
        <v>0.18150000000000005</v>
      </c>
      <c r="H41" s="72"/>
      <c r="I41" s="73"/>
      <c r="J41" s="74">
        <v>0.69699999999999995</v>
      </c>
      <c r="K41" s="191"/>
      <c r="L41" s="191"/>
      <c r="M41" s="191"/>
      <c r="N41" s="191"/>
      <c r="O41" s="191"/>
      <c r="P41" s="196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s="64" customFormat="1" ht="13.5" customHeight="1" x14ac:dyDescent="0.25">
      <c r="A42" s="54"/>
      <c r="B42" s="211"/>
      <c r="C42" s="191"/>
      <c r="D42" s="191"/>
      <c r="E42" s="191"/>
      <c r="F42" s="70" t="s">
        <v>88</v>
      </c>
      <c r="G42" s="71">
        <f t="shared" ref="G42" si="23">IF(E39&lt;0.125,"NA",IF(0.125&lt;=E39,(0.8*E39)))</f>
        <v>0.3630000000000001</v>
      </c>
      <c r="H42" s="72"/>
      <c r="I42" s="73"/>
      <c r="J42" s="74">
        <v>0.73899999999999999</v>
      </c>
      <c r="K42" s="191"/>
      <c r="L42" s="191"/>
      <c r="M42" s="191"/>
      <c r="N42" s="191"/>
      <c r="O42" s="191"/>
      <c r="P42" s="196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s="64" customFormat="1" ht="13.5" customHeight="1" thickBot="1" x14ac:dyDescent="0.3">
      <c r="A43" s="54"/>
      <c r="B43" s="212"/>
      <c r="C43" s="192"/>
      <c r="D43" s="192"/>
      <c r="E43" s="192"/>
      <c r="F43" s="75" t="s">
        <v>89</v>
      </c>
      <c r="G43" s="76">
        <f t="shared" ref="G43" si="24">+E39</f>
        <v>0.4537500000000001</v>
      </c>
      <c r="H43" s="77"/>
      <c r="I43" s="78"/>
      <c r="J43" s="79">
        <v>0.89800000000000002</v>
      </c>
      <c r="K43" s="192"/>
      <c r="L43" s="192"/>
      <c r="M43" s="192"/>
      <c r="N43" s="192"/>
      <c r="O43" s="192"/>
      <c r="P43" s="197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s="64" customFormat="1" ht="13.5" customHeight="1" x14ac:dyDescent="0.25">
      <c r="A44" s="54"/>
      <c r="B44" s="210">
        <v>6</v>
      </c>
      <c r="C44" s="213">
        <f>+C39+$N$12</f>
        <v>3.9</v>
      </c>
      <c r="D44" s="190">
        <v>0.3932500000000001</v>
      </c>
      <c r="E44" s="190">
        <v>0.4598000000000001</v>
      </c>
      <c r="F44" s="65" t="s">
        <v>85</v>
      </c>
      <c r="G44" s="66">
        <v>0</v>
      </c>
      <c r="H44" s="67"/>
      <c r="I44" s="68"/>
      <c r="J44" s="69">
        <v>0.57899999999999996</v>
      </c>
      <c r="K44" s="190">
        <f t="shared" ref="K44" si="25">+IF(E44&lt;=0.12,(J46),(IF(E44&lt;0.16,((J45+2*J46+J47)/4),IF(E44&gt;=0.16,((J44+3*J45+2*J46+3*J47+J48)/10)))))</f>
        <v>0.56770000000000009</v>
      </c>
      <c r="L44" s="190">
        <f>ROUND(+(D39+D44)/2*(C44-C39),3)</f>
        <v>0.219</v>
      </c>
      <c r="M44" s="190">
        <f t="shared" ref="M44" si="26">ROUND(+K44*L44,4)</f>
        <v>0.12429999999999999</v>
      </c>
      <c r="N44" s="193">
        <f t="shared" ref="N44" si="27">ROUND(+M44/$M$98*100,2)</f>
        <v>8.92</v>
      </c>
      <c r="O44" s="194"/>
      <c r="P44" s="195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s="64" customFormat="1" ht="13.5" customHeight="1" x14ac:dyDescent="0.25">
      <c r="A45" s="54"/>
      <c r="B45" s="211"/>
      <c r="C45" s="191"/>
      <c r="D45" s="191"/>
      <c r="E45" s="191"/>
      <c r="F45" s="70" t="s">
        <v>86</v>
      </c>
      <c r="G45" s="71">
        <f t="shared" ref="G45" si="28">IF(E44&lt;0.125,"NA",IF(0.125&lt;=E44,(0.2*E44)))</f>
        <v>9.1960000000000028E-2</v>
      </c>
      <c r="H45" s="72"/>
      <c r="I45" s="73"/>
      <c r="J45" s="74">
        <v>0.40699999999999997</v>
      </c>
      <c r="K45" s="191"/>
      <c r="L45" s="191"/>
      <c r="M45" s="191"/>
      <c r="N45" s="191"/>
      <c r="O45" s="191"/>
      <c r="P45" s="196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s="64" customFormat="1" ht="13.5" customHeight="1" x14ac:dyDescent="0.25">
      <c r="A46" s="54"/>
      <c r="B46" s="211"/>
      <c r="C46" s="191"/>
      <c r="D46" s="191"/>
      <c r="E46" s="191"/>
      <c r="F46" s="70" t="s">
        <v>87</v>
      </c>
      <c r="G46" s="71">
        <f t="shared" ref="G46" si="29">+E44*0.4</f>
        <v>0.18392000000000006</v>
      </c>
      <c r="H46" s="72"/>
      <c r="I46" s="73"/>
      <c r="J46" s="74">
        <v>0.59099999999999997</v>
      </c>
      <c r="K46" s="191"/>
      <c r="L46" s="191"/>
      <c r="M46" s="191"/>
      <c r="N46" s="191"/>
      <c r="O46" s="191"/>
      <c r="P46" s="196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s="64" customFormat="1" ht="13.5" customHeight="1" x14ac:dyDescent="0.25">
      <c r="A47" s="54"/>
      <c r="B47" s="211"/>
      <c r="C47" s="191"/>
      <c r="D47" s="191"/>
      <c r="E47" s="191"/>
      <c r="F47" s="70" t="s">
        <v>88</v>
      </c>
      <c r="G47" s="71">
        <f t="shared" ref="G47" si="30">IF(E44&lt;0.125,"NA",IF(0.125&lt;=E44,(0.8*E44)))</f>
        <v>0.36784000000000011</v>
      </c>
      <c r="H47" s="72"/>
      <c r="I47" s="73"/>
      <c r="J47" s="74">
        <v>0.63200000000000001</v>
      </c>
      <c r="K47" s="191"/>
      <c r="L47" s="191"/>
      <c r="M47" s="191"/>
      <c r="N47" s="191"/>
      <c r="O47" s="191"/>
      <c r="P47" s="196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s="64" customFormat="1" ht="13.5" customHeight="1" thickBot="1" x14ac:dyDescent="0.3">
      <c r="A48" s="54"/>
      <c r="B48" s="212"/>
      <c r="C48" s="192"/>
      <c r="D48" s="192"/>
      <c r="E48" s="192"/>
      <c r="F48" s="75" t="s">
        <v>89</v>
      </c>
      <c r="G48" s="76">
        <f t="shared" ref="G48" si="31">+E44</f>
        <v>0.4598000000000001</v>
      </c>
      <c r="H48" s="77"/>
      <c r="I48" s="78"/>
      <c r="J48" s="79">
        <v>0.79900000000000004</v>
      </c>
      <c r="K48" s="192"/>
      <c r="L48" s="192"/>
      <c r="M48" s="192"/>
      <c r="N48" s="192"/>
      <c r="O48" s="192"/>
      <c r="P48" s="197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s="64" customFormat="1" ht="13.5" customHeight="1" x14ac:dyDescent="0.25">
      <c r="A49" s="54"/>
      <c r="B49" s="210">
        <v>7</v>
      </c>
      <c r="C49" s="213">
        <f>+C44+$N$12</f>
        <v>4.4000000000000004</v>
      </c>
      <c r="D49" s="190">
        <v>0.34485000000000005</v>
      </c>
      <c r="E49" s="190">
        <v>0.37268000000000007</v>
      </c>
      <c r="F49" s="65" t="s">
        <v>85</v>
      </c>
      <c r="G49" s="66">
        <v>0</v>
      </c>
      <c r="H49" s="67"/>
      <c r="I49" s="68"/>
      <c r="J49" s="69">
        <v>0.73399999999999999</v>
      </c>
      <c r="K49" s="190">
        <f t="shared" ref="K49" si="32">+IF(E49&lt;=0.12,(J51),(IF(E49&lt;0.16,((J50+2*J51+J52)/4),IF(E49&gt;=0.16,((J49+3*J50+2*J51+3*J52+J53)/10)))))</f>
        <v>0.72609999999999997</v>
      </c>
      <c r="L49" s="190">
        <f>ROUND(+(D44+D49)/2*(C49-C44),3)</f>
        <v>0.185</v>
      </c>
      <c r="M49" s="190">
        <f t="shared" ref="M49" si="33">ROUND(+K49*L49,4)</f>
        <v>0.1343</v>
      </c>
      <c r="N49" s="193">
        <f t="shared" ref="N49" si="34">ROUND(+M49/$M$98*100,2)</f>
        <v>9.64</v>
      </c>
      <c r="O49" s="194"/>
      <c r="P49" s="195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s="64" customFormat="1" ht="13.5" customHeight="1" x14ac:dyDescent="0.25">
      <c r="A50" s="54"/>
      <c r="B50" s="211"/>
      <c r="C50" s="191"/>
      <c r="D50" s="191"/>
      <c r="E50" s="191"/>
      <c r="F50" s="70" t="s">
        <v>86</v>
      </c>
      <c r="G50" s="71">
        <f t="shared" ref="G50" si="35">IF(E49&lt;0.125,"NA",IF(0.125&lt;=E49,(0.2*E49)))</f>
        <v>7.4536000000000019E-2</v>
      </c>
      <c r="H50" s="72"/>
      <c r="I50" s="73"/>
      <c r="J50" s="74">
        <v>0.61299999999999999</v>
      </c>
      <c r="K50" s="191"/>
      <c r="L50" s="191"/>
      <c r="M50" s="191"/>
      <c r="N50" s="191"/>
      <c r="O50" s="191"/>
      <c r="P50" s="196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s="64" customFormat="1" ht="13.5" customHeight="1" x14ac:dyDescent="0.25">
      <c r="A51" s="54"/>
      <c r="B51" s="211"/>
      <c r="C51" s="191"/>
      <c r="D51" s="191"/>
      <c r="E51" s="191"/>
      <c r="F51" s="70" t="s">
        <v>87</v>
      </c>
      <c r="G51" s="71">
        <f t="shared" ref="G51" si="36">+E49*0.4</f>
        <v>0.14907200000000004</v>
      </c>
      <c r="H51" s="72"/>
      <c r="I51" s="73"/>
      <c r="J51" s="74">
        <v>0.66800000000000004</v>
      </c>
      <c r="K51" s="191"/>
      <c r="L51" s="191"/>
      <c r="M51" s="191"/>
      <c r="N51" s="191"/>
      <c r="O51" s="191"/>
      <c r="P51" s="196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s="64" customFormat="1" ht="13.5" customHeight="1" x14ac:dyDescent="0.25">
      <c r="A52" s="54"/>
      <c r="B52" s="211"/>
      <c r="C52" s="191"/>
      <c r="D52" s="191"/>
      <c r="E52" s="191"/>
      <c r="F52" s="70" t="s">
        <v>88</v>
      </c>
      <c r="G52" s="71">
        <f t="shared" ref="G52" si="37">IF(E49&lt;0.125,"NA",IF(0.125&lt;=E49,(0.8*E49)))</f>
        <v>0.29814400000000008</v>
      </c>
      <c r="H52" s="72"/>
      <c r="I52" s="73"/>
      <c r="J52" s="74">
        <v>0.76600000000000001</v>
      </c>
      <c r="K52" s="191"/>
      <c r="L52" s="191"/>
      <c r="M52" s="191"/>
      <c r="N52" s="191"/>
      <c r="O52" s="191"/>
      <c r="P52" s="196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s="64" customFormat="1" ht="13.5" customHeight="1" thickBot="1" x14ac:dyDescent="0.3">
      <c r="A53" s="54"/>
      <c r="B53" s="212"/>
      <c r="C53" s="192"/>
      <c r="D53" s="192"/>
      <c r="E53" s="192"/>
      <c r="F53" s="75" t="s">
        <v>89</v>
      </c>
      <c r="G53" s="76">
        <f t="shared" ref="G53" si="38">+E49</f>
        <v>0.37268000000000007</v>
      </c>
      <c r="H53" s="77"/>
      <c r="I53" s="78"/>
      <c r="J53" s="79">
        <v>1.054</v>
      </c>
      <c r="K53" s="192"/>
      <c r="L53" s="192"/>
      <c r="M53" s="192"/>
      <c r="N53" s="192"/>
      <c r="O53" s="192"/>
      <c r="P53" s="197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s="64" customFormat="1" ht="13.5" customHeight="1" x14ac:dyDescent="0.25">
      <c r="A54" s="54"/>
      <c r="B54" s="210">
        <v>8</v>
      </c>
      <c r="C54" s="213">
        <f>+C49+$N$12</f>
        <v>4.9000000000000004</v>
      </c>
      <c r="D54" s="190">
        <v>0.36905000000000004</v>
      </c>
      <c r="E54" s="190">
        <v>0.3327500000000001</v>
      </c>
      <c r="F54" s="65" t="s">
        <v>85</v>
      </c>
      <c r="G54" s="66">
        <v>0</v>
      </c>
      <c r="H54" s="67"/>
      <c r="I54" s="68"/>
      <c r="J54" s="69">
        <v>0.90900000000000003</v>
      </c>
      <c r="K54" s="190">
        <f t="shared" ref="K54" si="39">+IF(E54&lt;=0.12,(J56),(IF(E54&lt;0.16,((J55+2*J56+J57)/4),IF(E54&gt;=0.16,((J54+3*J55+2*J56+3*J57+J58)/10)))))</f>
        <v>1.0505</v>
      </c>
      <c r="L54" s="190">
        <f>ROUND(+(D49+D54)/2*(C54-C49),3)</f>
        <v>0.17799999999999999</v>
      </c>
      <c r="M54" s="190">
        <f t="shared" ref="M54" si="40">ROUND(+K54*L54,4)</f>
        <v>0.187</v>
      </c>
      <c r="N54" s="193">
        <f t="shared" ref="N54" si="41">ROUND(+M54/$M$98*100,2)</f>
        <v>13.42</v>
      </c>
      <c r="O54" s="194"/>
      <c r="P54" s="195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s="64" customFormat="1" ht="13.5" customHeight="1" x14ac:dyDescent="0.25">
      <c r="A55" s="54"/>
      <c r="B55" s="211"/>
      <c r="C55" s="191"/>
      <c r="D55" s="191"/>
      <c r="E55" s="191"/>
      <c r="F55" s="70" t="s">
        <v>86</v>
      </c>
      <c r="G55" s="71">
        <f t="shared" ref="G55" si="42">IF(E54&lt;0.125,"NA",IF(0.125&lt;=E54,(0.2*E54)))</f>
        <v>6.6550000000000026E-2</v>
      </c>
      <c r="H55" s="72"/>
      <c r="I55" s="73"/>
      <c r="J55" s="74">
        <v>1.054</v>
      </c>
      <c r="K55" s="191"/>
      <c r="L55" s="191"/>
      <c r="M55" s="191"/>
      <c r="N55" s="191"/>
      <c r="O55" s="191"/>
      <c r="P55" s="196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s="64" customFormat="1" ht="13.5" customHeight="1" x14ac:dyDescent="0.25">
      <c r="A56" s="54"/>
      <c r="B56" s="211"/>
      <c r="C56" s="191"/>
      <c r="D56" s="191"/>
      <c r="E56" s="191"/>
      <c r="F56" s="70" t="s">
        <v>87</v>
      </c>
      <c r="G56" s="71">
        <f t="shared" ref="G56" si="43">+E54*0.4</f>
        <v>0.13310000000000005</v>
      </c>
      <c r="H56" s="72"/>
      <c r="I56" s="73"/>
      <c r="J56" s="74">
        <v>1.08</v>
      </c>
      <c r="K56" s="191"/>
      <c r="L56" s="191"/>
      <c r="M56" s="191"/>
      <c r="N56" s="191"/>
      <c r="O56" s="191"/>
      <c r="P56" s="196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s="64" customFormat="1" ht="13.5" customHeight="1" x14ac:dyDescent="0.25">
      <c r="A57" s="54"/>
      <c r="B57" s="211"/>
      <c r="C57" s="191"/>
      <c r="D57" s="191"/>
      <c r="E57" s="191"/>
      <c r="F57" s="70" t="s">
        <v>88</v>
      </c>
      <c r="G57" s="71">
        <f t="shared" ref="G57" si="44">IF(E54&lt;0.125,"NA",IF(0.125&lt;=E54,(0.8*E54)))</f>
        <v>0.2662000000000001</v>
      </c>
      <c r="H57" s="72"/>
      <c r="I57" s="73"/>
      <c r="J57" s="74">
        <v>1.0900000000000001</v>
      </c>
      <c r="K57" s="191"/>
      <c r="L57" s="191"/>
      <c r="M57" s="191"/>
      <c r="N57" s="191"/>
      <c r="O57" s="191"/>
      <c r="P57" s="196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s="64" customFormat="1" ht="13.5" customHeight="1" thickBot="1" x14ac:dyDescent="0.3">
      <c r="A58" s="54"/>
      <c r="B58" s="212"/>
      <c r="C58" s="192"/>
      <c r="D58" s="192"/>
      <c r="E58" s="192"/>
      <c r="F58" s="75" t="s">
        <v>89</v>
      </c>
      <c r="G58" s="76">
        <f t="shared" ref="G58" si="45">+E54</f>
        <v>0.3327500000000001</v>
      </c>
      <c r="H58" s="77"/>
      <c r="I58" s="78"/>
      <c r="J58" s="79">
        <v>1.004</v>
      </c>
      <c r="K58" s="192"/>
      <c r="L58" s="192"/>
      <c r="M58" s="192"/>
      <c r="N58" s="192"/>
      <c r="O58" s="192"/>
      <c r="P58" s="197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s="64" customFormat="1" ht="13.5" customHeight="1" x14ac:dyDescent="0.25">
      <c r="A59" s="54"/>
      <c r="B59" s="210">
        <v>9</v>
      </c>
      <c r="C59" s="213">
        <f>+C54+$N$12</f>
        <v>5.4</v>
      </c>
      <c r="D59" s="190">
        <v>0.30855000000000005</v>
      </c>
      <c r="E59" s="190">
        <v>0.35090000000000005</v>
      </c>
      <c r="F59" s="65" t="s">
        <v>85</v>
      </c>
      <c r="G59" s="66">
        <v>0</v>
      </c>
      <c r="H59" s="67"/>
      <c r="I59" s="68"/>
      <c r="J59" s="69">
        <v>0.63400000000000001</v>
      </c>
      <c r="K59" s="190">
        <f t="shared" ref="K59" si="46">+IF(E59&lt;=0.12,(J61),(IF(E59&lt;0.16,((J60+2*J61+J62)/4),IF(E59&gt;=0.16,((J59+3*J60+2*J61+3*J62+J63)/10)))))</f>
        <v>0.67449999999999999</v>
      </c>
      <c r="L59" s="190">
        <f>ROUND(+(D54+D59)/2*(C59-C54),3)</f>
        <v>0.16900000000000001</v>
      </c>
      <c r="M59" s="190">
        <f t="shared" ref="M59" si="47">ROUND(+K59*L59,4)</f>
        <v>0.114</v>
      </c>
      <c r="N59" s="193">
        <f t="shared" ref="N59" si="48">ROUND(+M59/$M$98*100,2)</f>
        <v>8.18</v>
      </c>
      <c r="O59" s="194"/>
      <c r="P59" s="195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s="64" customFormat="1" ht="13.5" customHeight="1" x14ac:dyDescent="0.25">
      <c r="A60" s="54"/>
      <c r="B60" s="211"/>
      <c r="C60" s="191"/>
      <c r="D60" s="191"/>
      <c r="E60" s="191"/>
      <c r="F60" s="70" t="s">
        <v>86</v>
      </c>
      <c r="G60" s="71">
        <f t="shared" ref="G60" si="49">IF(E59&lt;0.125,"NA",IF(0.125&lt;=E59,(0.2*E59)))</f>
        <v>7.0180000000000006E-2</v>
      </c>
      <c r="H60" s="72"/>
      <c r="I60" s="73"/>
      <c r="J60" s="74">
        <v>0.41899999999999998</v>
      </c>
      <c r="K60" s="191"/>
      <c r="L60" s="191"/>
      <c r="M60" s="191"/>
      <c r="N60" s="191"/>
      <c r="O60" s="191"/>
      <c r="P60" s="196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s="64" customFormat="1" ht="13.5" customHeight="1" x14ac:dyDescent="0.25">
      <c r="A61" s="54"/>
      <c r="B61" s="211"/>
      <c r="C61" s="191"/>
      <c r="D61" s="191"/>
      <c r="E61" s="191"/>
      <c r="F61" s="70" t="s">
        <v>87</v>
      </c>
      <c r="G61" s="71">
        <f t="shared" ref="G61" si="50">+E59*0.4</f>
        <v>0.14036000000000001</v>
      </c>
      <c r="H61" s="72"/>
      <c r="I61" s="73"/>
      <c r="J61" s="74">
        <v>0.745</v>
      </c>
      <c r="K61" s="191"/>
      <c r="L61" s="191"/>
      <c r="M61" s="191"/>
      <c r="N61" s="191"/>
      <c r="O61" s="191"/>
      <c r="P61" s="196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s="64" customFormat="1" ht="13.5" customHeight="1" x14ac:dyDescent="0.25">
      <c r="A62" s="54"/>
      <c r="B62" s="211"/>
      <c r="C62" s="191"/>
      <c r="D62" s="191"/>
      <c r="E62" s="191"/>
      <c r="F62" s="70" t="s">
        <v>88</v>
      </c>
      <c r="G62" s="71">
        <f t="shared" ref="G62" si="51">IF(E59&lt;0.125,"NA",IF(0.125&lt;=E59,(0.8*E59)))</f>
        <v>0.28072000000000003</v>
      </c>
      <c r="H62" s="72"/>
      <c r="I62" s="73"/>
      <c r="J62" s="74">
        <v>0.85599999999999998</v>
      </c>
      <c r="K62" s="191"/>
      <c r="L62" s="191"/>
      <c r="M62" s="191"/>
      <c r="N62" s="191"/>
      <c r="O62" s="191"/>
      <c r="P62" s="196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s="64" customFormat="1" ht="13.5" customHeight="1" thickBot="1" x14ac:dyDescent="0.3">
      <c r="A63" s="54"/>
      <c r="B63" s="212"/>
      <c r="C63" s="192"/>
      <c r="D63" s="192"/>
      <c r="E63" s="192"/>
      <c r="F63" s="75" t="s">
        <v>89</v>
      </c>
      <c r="G63" s="76">
        <f t="shared" ref="G63" si="52">+E59</f>
        <v>0.35090000000000005</v>
      </c>
      <c r="H63" s="77"/>
      <c r="I63" s="78"/>
      <c r="J63" s="79">
        <v>0.79600000000000004</v>
      </c>
      <c r="K63" s="192"/>
      <c r="L63" s="192"/>
      <c r="M63" s="192"/>
      <c r="N63" s="192"/>
      <c r="O63" s="192"/>
      <c r="P63" s="197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s="64" customFormat="1" ht="13.5" customHeight="1" x14ac:dyDescent="0.25">
      <c r="A64" s="54"/>
      <c r="B64" s="210">
        <v>10</v>
      </c>
      <c r="C64" s="213">
        <f>+C59+$N$12</f>
        <v>5.9</v>
      </c>
      <c r="D64" s="190">
        <v>0.26015000000000005</v>
      </c>
      <c r="E64" s="190">
        <v>0.28193000000000007</v>
      </c>
      <c r="F64" s="65" t="s">
        <v>85</v>
      </c>
      <c r="G64" s="66">
        <v>0</v>
      </c>
      <c r="H64" s="67"/>
      <c r="I64" s="68"/>
      <c r="J64" s="69">
        <v>0.44600000000000001</v>
      </c>
      <c r="K64" s="190">
        <f t="shared" ref="K64" si="53">+IF(E64&lt;=0.12,(J66),(IF(E64&lt;0.16,((J65+2*J66+J67)/4),IF(E64&gt;=0.16,((J64+3*J65+2*J66+3*J67+J68)/10)))))</f>
        <v>0.60909999999999997</v>
      </c>
      <c r="L64" s="190">
        <f>ROUND(+(D59+D64)/2*(C64-C59),3)</f>
        <v>0.14199999999999999</v>
      </c>
      <c r="M64" s="190">
        <f t="shared" ref="M64" si="54">ROUND(+K64*L64,4)</f>
        <v>8.6499999999999994E-2</v>
      </c>
      <c r="N64" s="193">
        <f t="shared" ref="N64" si="55">ROUND(+M64/$M$98*100,2)</f>
        <v>6.21</v>
      </c>
      <c r="O64" s="194"/>
      <c r="P64" s="195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s="64" customFormat="1" ht="13.5" customHeight="1" x14ac:dyDescent="0.25">
      <c r="A65" s="54"/>
      <c r="B65" s="211"/>
      <c r="C65" s="191"/>
      <c r="D65" s="191"/>
      <c r="E65" s="191"/>
      <c r="F65" s="70" t="s">
        <v>86</v>
      </c>
      <c r="G65" s="71">
        <f t="shared" ref="G65" si="56">IF(E64&lt;0.125,"NA",IF(0.125&lt;=E64,(0.2*E64)))</f>
        <v>5.6386000000000019E-2</v>
      </c>
      <c r="H65" s="72"/>
      <c r="I65" s="73"/>
      <c r="J65" s="74">
        <v>0.49399999999999999</v>
      </c>
      <c r="K65" s="191"/>
      <c r="L65" s="191"/>
      <c r="M65" s="191"/>
      <c r="N65" s="191"/>
      <c r="O65" s="191"/>
      <c r="P65" s="196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s="64" customFormat="1" ht="13.5" customHeight="1" x14ac:dyDescent="0.25">
      <c r="A66" s="54"/>
      <c r="B66" s="211"/>
      <c r="C66" s="191"/>
      <c r="D66" s="191"/>
      <c r="E66" s="191"/>
      <c r="F66" s="70" t="s">
        <v>87</v>
      </c>
      <c r="G66" s="71">
        <f t="shared" ref="G66" si="57">+E64*0.4</f>
        <v>0.11277200000000004</v>
      </c>
      <c r="H66" s="72"/>
      <c r="I66" s="73"/>
      <c r="J66" s="74">
        <v>0.56599999999999995</v>
      </c>
      <c r="K66" s="191"/>
      <c r="L66" s="191"/>
      <c r="M66" s="191"/>
      <c r="N66" s="191"/>
      <c r="O66" s="191"/>
      <c r="P66" s="196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s="64" customFormat="1" ht="13.5" customHeight="1" x14ac:dyDescent="0.25">
      <c r="A67" s="54"/>
      <c r="B67" s="211"/>
      <c r="C67" s="191"/>
      <c r="D67" s="191"/>
      <c r="E67" s="191"/>
      <c r="F67" s="70" t="s">
        <v>88</v>
      </c>
      <c r="G67" s="71">
        <f t="shared" ref="G67" si="58">IF(E64&lt;0.125,"NA",IF(0.125&lt;=E64,(0.8*E64)))</f>
        <v>0.22554400000000008</v>
      </c>
      <c r="H67" s="72"/>
      <c r="I67" s="73"/>
      <c r="J67" s="74">
        <v>0.76100000000000001</v>
      </c>
      <c r="K67" s="191"/>
      <c r="L67" s="191"/>
      <c r="M67" s="191"/>
      <c r="N67" s="191"/>
      <c r="O67" s="191"/>
      <c r="P67" s="196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s="64" customFormat="1" ht="13.5" customHeight="1" thickBot="1" x14ac:dyDescent="0.3">
      <c r="A68" s="54"/>
      <c r="B68" s="212"/>
      <c r="C68" s="192"/>
      <c r="D68" s="192"/>
      <c r="E68" s="192"/>
      <c r="F68" s="75" t="s">
        <v>89</v>
      </c>
      <c r="G68" s="76">
        <f t="shared" ref="G68" si="59">+E64</f>
        <v>0.28193000000000007</v>
      </c>
      <c r="H68" s="77"/>
      <c r="I68" s="78"/>
      <c r="J68" s="79">
        <v>0.748</v>
      </c>
      <c r="K68" s="192"/>
      <c r="L68" s="192"/>
      <c r="M68" s="192"/>
      <c r="N68" s="192"/>
      <c r="O68" s="192"/>
      <c r="P68" s="197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s="64" customFormat="1" ht="13.5" customHeight="1" x14ac:dyDescent="0.25">
      <c r="A69" s="54"/>
      <c r="B69" s="210">
        <v>11</v>
      </c>
      <c r="C69" s="213">
        <f>+C64+$N$12</f>
        <v>6.4</v>
      </c>
      <c r="D69" s="190">
        <v>0.25773000000000001</v>
      </c>
      <c r="E69" s="190">
        <v>0.25410000000000005</v>
      </c>
      <c r="F69" s="65" t="s">
        <v>85</v>
      </c>
      <c r="G69" s="66">
        <v>0</v>
      </c>
      <c r="H69" s="67"/>
      <c r="I69" s="68"/>
      <c r="J69" s="69">
        <v>0.67400000000000004</v>
      </c>
      <c r="K69" s="190">
        <f t="shared" ref="K69" si="60">+IF(E69&lt;=0.12,(J71),(IF(E69&lt;0.16,((J70+2*J71+J72)/4),IF(E69&gt;=0.16,((J69+3*J70+2*J71+3*J72+J73)/10)))))</f>
        <v>0.67639999999999989</v>
      </c>
      <c r="L69" s="190">
        <f>ROUND(+(D64+D69)/2*(C69-C64),3)</f>
        <v>0.129</v>
      </c>
      <c r="M69" s="190">
        <f t="shared" ref="M69" si="61">ROUND(+K69*L69,4)</f>
        <v>8.7300000000000003E-2</v>
      </c>
      <c r="N69" s="193">
        <f t="shared" ref="N69" si="62">ROUND(+M69/$M$98*100,2)</f>
        <v>6.27</v>
      </c>
      <c r="O69" s="194"/>
      <c r="P69" s="195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s="64" customFormat="1" ht="13.5" customHeight="1" x14ac:dyDescent="0.25">
      <c r="A70" s="54"/>
      <c r="B70" s="211"/>
      <c r="C70" s="191"/>
      <c r="D70" s="191"/>
      <c r="E70" s="191"/>
      <c r="F70" s="70" t="s">
        <v>86</v>
      </c>
      <c r="G70" s="71">
        <f t="shared" ref="G70" si="63">IF(E69&lt;0.125,"NA",IF(0.125&lt;=E69,(0.2*E69)))</f>
        <v>5.0820000000000011E-2</v>
      </c>
      <c r="H70" s="72"/>
      <c r="I70" s="73"/>
      <c r="J70" s="74">
        <v>0.629</v>
      </c>
      <c r="K70" s="191"/>
      <c r="L70" s="191"/>
      <c r="M70" s="191"/>
      <c r="N70" s="191"/>
      <c r="O70" s="191"/>
      <c r="P70" s="196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s="64" customFormat="1" ht="13.5" customHeight="1" x14ac:dyDescent="0.25">
      <c r="A71" s="54"/>
      <c r="B71" s="211"/>
      <c r="C71" s="191"/>
      <c r="D71" s="191"/>
      <c r="E71" s="191"/>
      <c r="F71" s="70" t="s">
        <v>87</v>
      </c>
      <c r="G71" s="71">
        <f t="shared" ref="G71" si="64">+E69*0.4</f>
        <v>0.10164000000000002</v>
      </c>
      <c r="H71" s="72"/>
      <c r="I71" s="73"/>
      <c r="J71" s="74">
        <v>0.71299999999999997</v>
      </c>
      <c r="K71" s="191"/>
      <c r="L71" s="191"/>
      <c r="M71" s="191"/>
      <c r="N71" s="191"/>
      <c r="O71" s="191"/>
      <c r="P71" s="196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s="64" customFormat="1" ht="13.5" customHeight="1" x14ac:dyDescent="0.25">
      <c r="A72" s="54"/>
      <c r="B72" s="211"/>
      <c r="C72" s="191"/>
      <c r="D72" s="191"/>
      <c r="E72" s="191"/>
      <c r="F72" s="70" t="s">
        <v>88</v>
      </c>
      <c r="G72" s="71">
        <f t="shared" ref="G72" si="65">IF(E69&lt;0.125,"NA",IF(0.125&lt;=E69,(0.8*E69)))</f>
        <v>0.20328000000000004</v>
      </c>
      <c r="H72" s="72"/>
      <c r="I72" s="73"/>
      <c r="J72" s="74">
        <v>0.7</v>
      </c>
      <c r="K72" s="191"/>
      <c r="L72" s="191"/>
      <c r="M72" s="191"/>
      <c r="N72" s="191"/>
      <c r="O72" s="191"/>
      <c r="P72" s="196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s="64" customFormat="1" ht="13.5" customHeight="1" thickBot="1" x14ac:dyDescent="0.3">
      <c r="A73" s="54"/>
      <c r="B73" s="212"/>
      <c r="C73" s="192"/>
      <c r="D73" s="192"/>
      <c r="E73" s="192"/>
      <c r="F73" s="75" t="s">
        <v>89</v>
      </c>
      <c r="G73" s="76">
        <f t="shared" ref="G73" si="66">+E69</f>
        <v>0.25410000000000005</v>
      </c>
      <c r="H73" s="77"/>
      <c r="I73" s="78"/>
      <c r="J73" s="79">
        <v>0.67700000000000005</v>
      </c>
      <c r="K73" s="192"/>
      <c r="L73" s="192"/>
      <c r="M73" s="192"/>
      <c r="N73" s="192"/>
      <c r="O73" s="192"/>
      <c r="P73" s="197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s="64" customFormat="1" ht="13.5" customHeight="1" x14ac:dyDescent="0.25">
      <c r="A74" s="54"/>
      <c r="B74" s="210">
        <v>12</v>
      </c>
      <c r="C74" s="213">
        <f>+C69+$N$12</f>
        <v>6.9</v>
      </c>
      <c r="D74" s="190">
        <v>0</v>
      </c>
      <c r="E74" s="190">
        <v>0.24805000000000002</v>
      </c>
      <c r="F74" s="65" t="s">
        <v>85</v>
      </c>
      <c r="G74" s="66">
        <v>0</v>
      </c>
      <c r="H74" s="67"/>
      <c r="I74" s="68"/>
      <c r="J74" s="69">
        <v>0.24399999999999999</v>
      </c>
      <c r="K74" s="190">
        <f t="shared" ref="K74" si="67">+IF(E74&lt;=0.12,(J76),(IF(E74&lt;0.16,((J75+2*J76+J77)/4),IF(E74&gt;=0.16,((J74+3*J75+2*J76+3*J77+J78)/10)))))</f>
        <v>0.32179999999999997</v>
      </c>
      <c r="L74" s="190">
        <f>ROUND(+(D69+D74)/2*(C74-C69),3)</f>
        <v>6.4000000000000001E-2</v>
      </c>
      <c r="M74" s="190">
        <f t="shared" ref="M74" si="68">ROUND(+K74*L74,4)</f>
        <v>2.06E-2</v>
      </c>
      <c r="N74" s="193">
        <f t="shared" ref="N74" si="69">ROUND(+M74/$M$98*100,2)</f>
        <v>1.48</v>
      </c>
      <c r="O74" s="194"/>
      <c r="P74" s="195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s="64" customFormat="1" ht="13.5" customHeight="1" x14ac:dyDescent="0.25">
      <c r="A75" s="54"/>
      <c r="B75" s="211"/>
      <c r="C75" s="191"/>
      <c r="D75" s="191"/>
      <c r="E75" s="191"/>
      <c r="F75" s="70" t="s">
        <v>86</v>
      </c>
      <c r="G75" s="71">
        <f t="shared" ref="G75" si="70">IF(E74&lt;0.125,"NA",IF(0.125&lt;=E74,(0.2*E74)))</f>
        <v>4.9610000000000008E-2</v>
      </c>
      <c r="H75" s="72"/>
      <c r="I75" s="73"/>
      <c r="J75" s="74">
        <v>0.30199999999999999</v>
      </c>
      <c r="K75" s="191"/>
      <c r="L75" s="191"/>
      <c r="M75" s="191"/>
      <c r="N75" s="191"/>
      <c r="O75" s="191"/>
      <c r="P75" s="196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s="64" customFormat="1" ht="13.5" customHeight="1" x14ac:dyDescent="0.25">
      <c r="A76" s="54"/>
      <c r="B76" s="211"/>
      <c r="C76" s="191"/>
      <c r="D76" s="191"/>
      <c r="E76" s="191"/>
      <c r="F76" s="70" t="s">
        <v>87</v>
      </c>
      <c r="G76" s="71">
        <f t="shared" ref="G76" si="71">+E74*0.4</f>
        <v>9.9220000000000017E-2</v>
      </c>
      <c r="H76" s="72"/>
      <c r="I76" s="73"/>
      <c r="J76" s="74">
        <v>0.36299999999999999</v>
      </c>
      <c r="K76" s="191"/>
      <c r="L76" s="191"/>
      <c r="M76" s="191"/>
      <c r="N76" s="191"/>
      <c r="O76" s="191"/>
      <c r="P76" s="196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s="64" customFormat="1" ht="13.5" customHeight="1" x14ac:dyDescent="0.25">
      <c r="A77" s="54"/>
      <c r="B77" s="211"/>
      <c r="C77" s="191"/>
      <c r="D77" s="191"/>
      <c r="E77" s="191"/>
      <c r="F77" s="70" t="s">
        <v>88</v>
      </c>
      <c r="G77" s="71">
        <f t="shared" ref="G77" si="72">IF(E74&lt;0.125,"NA",IF(0.125&lt;=E74,(0.8*E74)))</f>
        <v>0.19844000000000003</v>
      </c>
      <c r="H77" s="72"/>
      <c r="I77" s="73"/>
      <c r="J77" s="74">
        <v>0.318</v>
      </c>
      <c r="K77" s="191"/>
      <c r="L77" s="191"/>
      <c r="M77" s="191"/>
      <c r="N77" s="191"/>
      <c r="O77" s="191"/>
      <c r="P77" s="196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s="64" customFormat="1" ht="13.5" customHeight="1" thickBot="1" x14ac:dyDescent="0.3">
      <c r="A78" s="54"/>
      <c r="B78" s="212"/>
      <c r="C78" s="192"/>
      <c r="D78" s="192"/>
      <c r="E78" s="192"/>
      <c r="F78" s="75" t="s">
        <v>89</v>
      </c>
      <c r="G78" s="76">
        <f t="shared" ref="G78" si="73">+E74</f>
        <v>0.24805000000000002</v>
      </c>
      <c r="H78" s="77"/>
      <c r="I78" s="78"/>
      <c r="J78" s="79">
        <v>0.38800000000000001</v>
      </c>
      <c r="K78" s="192"/>
      <c r="L78" s="192"/>
      <c r="M78" s="192"/>
      <c r="N78" s="192"/>
      <c r="O78" s="192"/>
      <c r="P78" s="197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s="3" customFormat="1" ht="14.1" customHeight="1" x14ac:dyDescent="0.2">
      <c r="B79" s="198" t="s">
        <v>28</v>
      </c>
      <c r="C79" s="201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3"/>
    </row>
    <row r="80" spans="1:26" s="3" customFormat="1" ht="14.1" customHeight="1" x14ac:dyDescent="0.2">
      <c r="B80" s="199"/>
      <c r="C80" s="204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6"/>
    </row>
    <row r="81" spans="1:26" s="3" customFormat="1" ht="14.1" customHeight="1" x14ac:dyDescent="0.2">
      <c r="B81" s="199"/>
      <c r="C81" s="204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6"/>
    </row>
    <row r="82" spans="1:26" s="3" customFormat="1" ht="14.1" customHeight="1" x14ac:dyDescent="0.2">
      <c r="B82" s="199"/>
      <c r="C82" s="204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6"/>
    </row>
    <row r="83" spans="1:26" s="3" customFormat="1" ht="14.1" customHeight="1" x14ac:dyDescent="0.2">
      <c r="B83" s="199"/>
      <c r="C83" s="204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6"/>
    </row>
    <row r="84" spans="1:26" s="3" customFormat="1" ht="14.1" customHeight="1" thickBot="1" x14ac:dyDescent="0.25">
      <c r="B84" s="200"/>
      <c r="C84" s="207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9"/>
    </row>
    <row r="85" spans="1:26" s="3" customFormat="1" ht="28.5" customHeight="1" thickBot="1" x14ac:dyDescent="0.25">
      <c r="A85" s="80"/>
      <c r="B85" s="81" t="s">
        <v>90</v>
      </c>
      <c r="C85" s="177" t="s">
        <v>91</v>
      </c>
      <c r="D85" s="177"/>
      <c r="E85" s="177"/>
      <c r="F85" s="177"/>
      <c r="G85" s="177"/>
      <c r="H85" s="178"/>
      <c r="I85" s="179"/>
      <c r="J85" s="81" t="s">
        <v>92</v>
      </c>
      <c r="K85" s="177" t="s">
        <v>93</v>
      </c>
      <c r="L85" s="177"/>
      <c r="M85" s="177"/>
      <c r="N85" s="177"/>
      <c r="O85" s="177"/>
      <c r="P85" s="178"/>
    </row>
    <row r="86" spans="1:26" s="3" customFormat="1" ht="28.5" customHeight="1" thickBot="1" x14ac:dyDescent="0.25">
      <c r="B86" s="82" t="s">
        <v>94</v>
      </c>
      <c r="C86" s="181" t="s">
        <v>95</v>
      </c>
      <c r="D86" s="181"/>
      <c r="E86" s="181"/>
      <c r="F86" s="181"/>
      <c r="G86" s="181"/>
      <c r="H86" s="182"/>
      <c r="I86" s="180"/>
      <c r="J86" s="82" t="s">
        <v>96</v>
      </c>
      <c r="K86" s="181" t="s">
        <v>97</v>
      </c>
      <c r="L86" s="181"/>
      <c r="M86" s="181"/>
      <c r="N86" s="181"/>
      <c r="O86" s="181"/>
      <c r="P86" s="182"/>
    </row>
    <row r="87" spans="1:26" s="19" customFormat="1" ht="13.5" customHeight="1" x14ac:dyDescent="0.25">
      <c r="A87" s="83"/>
      <c r="B87" s="183">
        <f>+B24</f>
        <v>2</v>
      </c>
      <c r="C87" s="186">
        <f>+C19</f>
        <v>1.4</v>
      </c>
      <c r="D87" s="188">
        <f>+D19</f>
        <v>0.59411000000000003</v>
      </c>
      <c r="E87" s="188">
        <f>+E24</f>
        <v>0.5384500000000001</v>
      </c>
      <c r="F87" s="84" t="s">
        <v>85</v>
      </c>
      <c r="G87" s="84">
        <v>0.01</v>
      </c>
      <c r="H87" s="85"/>
      <c r="I87" s="86"/>
      <c r="J87" s="87">
        <v>0.221</v>
      </c>
      <c r="K87" s="189">
        <f>+AVERAGE(J87:J97)</f>
        <v>0.60872727272727267</v>
      </c>
      <c r="L87" s="168">
        <f>ROUND(+(D87+D92)/2*(C92-C87),3)</f>
        <v>0.25900000000000001</v>
      </c>
      <c r="M87" s="171">
        <f>ROUND(+K87*L87,4)</f>
        <v>0.15770000000000001</v>
      </c>
      <c r="N87" s="168">
        <f>ROUND(+M87/$M$98*100,2)</f>
        <v>11.32</v>
      </c>
      <c r="O87" s="168"/>
      <c r="P87" s="172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s="19" customFormat="1" ht="13.5" customHeight="1" x14ac:dyDescent="0.25">
      <c r="A88" s="83"/>
      <c r="B88" s="184"/>
      <c r="C88" s="169"/>
      <c r="D88" s="169"/>
      <c r="E88" s="169"/>
      <c r="F88" s="89" t="s">
        <v>98</v>
      </c>
      <c r="G88" s="90">
        <f>+E87*0.1</f>
        <v>5.3845000000000011E-2</v>
      </c>
      <c r="H88" s="91"/>
      <c r="I88" s="92"/>
      <c r="J88" s="93">
        <v>0.35799999999999998</v>
      </c>
      <c r="K88" s="169"/>
      <c r="L88" s="169"/>
      <c r="M88" s="169"/>
      <c r="N88" s="169"/>
      <c r="O88" s="169"/>
      <c r="P88" s="173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s="19" customFormat="1" ht="13.5" customHeight="1" x14ac:dyDescent="0.25">
      <c r="A89" s="83"/>
      <c r="B89" s="184"/>
      <c r="C89" s="169"/>
      <c r="D89" s="169"/>
      <c r="E89" s="169"/>
      <c r="F89" s="89" t="s">
        <v>99</v>
      </c>
      <c r="G89" s="90">
        <f>+E87*0.2</f>
        <v>0.10769000000000002</v>
      </c>
      <c r="H89" s="91"/>
      <c r="I89" s="92"/>
      <c r="J89" s="93">
        <v>0.55300000000000005</v>
      </c>
      <c r="K89" s="169"/>
      <c r="L89" s="169"/>
      <c r="M89" s="169"/>
      <c r="N89" s="169"/>
      <c r="O89" s="169"/>
      <c r="P89" s="173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s="19" customFormat="1" ht="13.5" customHeight="1" x14ac:dyDescent="0.25">
      <c r="A90" s="83"/>
      <c r="B90" s="184"/>
      <c r="C90" s="169"/>
      <c r="D90" s="169"/>
      <c r="E90" s="169"/>
      <c r="F90" s="89" t="s">
        <v>100</v>
      </c>
      <c r="G90" s="90">
        <f>+E87*0.3</f>
        <v>0.16153500000000001</v>
      </c>
      <c r="H90" s="91"/>
      <c r="I90" s="92"/>
      <c r="J90" s="93">
        <v>0.57199999999999995</v>
      </c>
      <c r="K90" s="169"/>
      <c r="L90" s="169"/>
      <c r="M90" s="169"/>
      <c r="N90" s="169"/>
      <c r="O90" s="169"/>
      <c r="P90" s="173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s="19" customFormat="1" ht="13.5" customHeight="1" x14ac:dyDescent="0.25">
      <c r="A91" s="83"/>
      <c r="B91" s="184"/>
      <c r="C91" s="187"/>
      <c r="D91" s="187"/>
      <c r="E91" s="169"/>
      <c r="F91" s="89" t="s">
        <v>101</v>
      </c>
      <c r="G91" s="90">
        <f>+E87*0.4</f>
        <v>0.21538000000000004</v>
      </c>
      <c r="H91" s="91"/>
      <c r="I91" s="92"/>
      <c r="J91" s="93">
        <v>0.69199999999999995</v>
      </c>
      <c r="K91" s="169"/>
      <c r="L91" s="169"/>
      <c r="M91" s="169"/>
      <c r="N91" s="169"/>
      <c r="O91" s="169"/>
      <c r="P91" s="173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s="19" customFormat="1" ht="13.5" customHeight="1" x14ac:dyDescent="0.25">
      <c r="A92" s="83"/>
      <c r="B92" s="184"/>
      <c r="C92" s="175">
        <f>+C24</f>
        <v>1.9</v>
      </c>
      <c r="D92" s="176">
        <f>+D24</f>
        <v>0.44165000000000004</v>
      </c>
      <c r="E92" s="169"/>
      <c r="F92" s="89" t="s">
        <v>29</v>
      </c>
      <c r="G92" s="90">
        <f>+E87*0.5</f>
        <v>0.26922500000000005</v>
      </c>
      <c r="H92" s="91"/>
      <c r="I92" s="92"/>
      <c r="J92" s="93">
        <v>0.70399999999999996</v>
      </c>
      <c r="K92" s="169"/>
      <c r="L92" s="169"/>
      <c r="M92" s="169"/>
      <c r="N92" s="169"/>
      <c r="O92" s="169"/>
      <c r="P92" s="173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s="19" customFormat="1" ht="13.5" customHeight="1" x14ac:dyDescent="0.25">
      <c r="A93" s="83"/>
      <c r="B93" s="184"/>
      <c r="C93" s="169"/>
      <c r="D93" s="169"/>
      <c r="E93" s="169"/>
      <c r="F93" s="89" t="s">
        <v>102</v>
      </c>
      <c r="G93" s="90">
        <f>+E87*0.6</f>
        <v>0.32307000000000002</v>
      </c>
      <c r="H93" s="91"/>
      <c r="I93" s="92"/>
      <c r="J93" s="93">
        <v>0.73299999999999998</v>
      </c>
      <c r="K93" s="169"/>
      <c r="L93" s="169"/>
      <c r="M93" s="169"/>
      <c r="N93" s="169"/>
      <c r="O93" s="169"/>
      <c r="P93" s="173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s="19" customFormat="1" ht="13.5" customHeight="1" x14ac:dyDescent="0.25">
      <c r="A94" s="83"/>
      <c r="B94" s="184"/>
      <c r="C94" s="169"/>
      <c r="D94" s="169"/>
      <c r="E94" s="169"/>
      <c r="F94" s="89" t="s">
        <v>103</v>
      </c>
      <c r="G94" s="90">
        <f>+E87*0.7</f>
        <v>0.37691500000000006</v>
      </c>
      <c r="H94" s="91"/>
      <c r="I94" s="92"/>
      <c r="J94" s="93">
        <v>0.72</v>
      </c>
      <c r="K94" s="169"/>
      <c r="L94" s="169"/>
      <c r="M94" s="169"/>
      <c r="N94" s="169"/>
      <c r="O94" s="169"/>
      <c r="P94" s="173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s="19" customFormat="1" ht="13.5" customHeight="1" x14ac:dyDescent="0.25">
      <c r="A95" s="83"/>
      <c r="B95" s="184"/>
      <c r="C95" s="169"/>
      <c r="D95" s="169"/>
      <c r="E95" s="169"/>
      <c r="F95" s="89" t="s">
        <v>104</v>
      </c>
      <c r="G95" s="90">
        <f>+E87*0.8</f>
        <v>0.43076000000000009</v>
      </c>
      <c r="H95" s="91"/>
      <c r="I95" s="92"/>
      <c r="J95" s="93">
        <v>0.74099999999999999</v>
      </c>
      <c r="K95" s="169"/>
      <c r="L95" s="169"/>
      <c r="M95" s="169"/>
      <c r="N95" s="169"/>
      <c r="O95" s="169"/>
      <c r="P95" s="173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s="19" customFormat="1" ht="13.5" customHeight="1" x14ac:dyDescent="0.25">
      <c r="A96" s="83"/>
      <c r="B96" s="184"/>
      <c r="C96" s="169"/>
      <c r="D96" s="169"/>
      <c r="E96" s="169"/>
      <c r="F96" s="89" t="s">
        <v>105</v>
      </c>
      <c r="G96" s="90">
        <f>+E87*0.9</f>
        <v>0.48460500000000012</v>
      </c>
      <c r="H96" s="91"/>
      <c r="I96" s="92"/>
      <c r="J96" s="93">
        <v>0.76300000000000001</v>
      </c>
      <c r="K96" s="169"/>
      <c r="L96" s="169"/>
      <c r="M96" s="169"/>
      <c r="N96" s="169"/>
      <c r="O96" s="169"/>
      <c r="P96" s="173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s="19" customFormat="1" ht="15.75" thickBot="1" x14ac:dyDescent="0.3">
      <c r="A97" s="83"/>
      <c r="B97" s="185"/>
      <c r="C97" s="170"/>
      <c r="D97" s="170"/>
      <c r="E97" s="170"/>
      <c r="F97" s="94" t="s">
        <v>30</v>
      </c>
      <c r="G97" s="94">
        <f>+E87</f>
        <v>0.5384500000000001</v>
      </c>
      <c r="H97" s="95"/>
      <c r="I97" s="96"/>
      <c r="J97" s="97">
        <v>0.63900000000000001</v>
      </c>
      <c r="K97" s="170"/>
      <c r="L97" s="170"/>
      <c r="M97" s="170"/>
      <c r="N97" s="170"/>
      <c r="O97" s="170"/>
      <c r="P97" s="174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s="3" customFormat="1" ht="12.75" x14ac:dyDescent="0.2">
      <c r="A98" s="11"/>
      <c r="B98" s="156" t="s">
        <v>31</v>
      </c>
      <c r="C98" s="156"/>
      <c r="D98" s="156"/>
      <c r="E98" s="156"/>
      <c r="F98" s="156"/>
      <c r="G98" s="156"/>
      <c r="H98" s="156"/>
      <c r="I98" s="156"/>
      <c r="J98" s="156"/>
      <c r="K98" s="16">
        <f>ROUND(+M98/L98,3)</f>
        <v>0.62</v>
      </c>
      <c r="L98" s="15">
        <f>SUM(L19:L97)</f>
        <v>2.2480000000000002</v>
      </c>
      <c r="M98" s="14">
        <f>SUM(M19:M97)</f>
        <v>1.3932</v>
      </c>
      <c r="N98" s="12">
        <f>ROUND(SUM(N19:N97),0)</f>
        <v>100</v>
      </c>
      <c r="O98" s="158" t="s">
        <v>32</v>
      </c>
      <c r="P98" s="160"/>
    </row>
    <row r="99" spans="1:26" s="3" customFormat="1" ht="15" customHeight="1" thickBot="1" x14ac:dyDescent="0.25">
      <c r="A99" s="11"/>
      <c r="B99" s="157"/>
      <c r="C99" s="157"/>
      <c r="D99" s="157"/>
      <c r="E99" s="157"/>
      <c r="F99" s="157"/>
      <c r="G99" s="157"/>
      <c r="H99" s="157"/>
      <c r="I99" s="157"/>
      <c r="J99" s="157"/>
      <c r="K99" s="13" t="s">
        <v>33</v>
      </c>
      <c r="L99" s="13" t="s">
        <v>49</v>
      </c>
      <c r="M99" s="13" t="s">
        <v>50</v>
      </c>
      <c r="N99" s="13" t="s">
        <v>34</v>
      </c>
      <c r="O99" s="159"/>
      <c r="P99" s="161"/>
    </row>
    <row r="100" spans="1:26" ht="15" customHeight="1" thickBot="1" x14ac:dyDescent="0.3">
      <c r="A100" s="5"/>
      <c r="B100" s="162" t="s">
        <v>106</v>
      </c>
      <c r="C100" s="163"/>
      <c r="D100" s="163"/>
      <c r="E100" s="163"/>
      <c r="F100" s="164"/>
      <c r="G100" s="162" t="s">
        <v>107</v>
      </c>
      <c r="H100" s="163"/>
      <c r="I100" s="163"/>
      <c r="J100" s="163"/>
      <c r="K100" s="164"/>
      <c r="L100" s="165" t="s">
        <v>52</v>
      </c>
      <c r="M100" s="166"/>
      <c r="N100" s="166"/>
      <c r="O100" s="166"/>
      <c r="P100" s="167"/>
    </row>
    <row r="101" spans="1:26" ht="15" customHeight="1" x14ac:dyDescent="0.25">
      <c r="A101" s="5"/>
      <c r="B101" s="126"/>
      <c r="C101" s="127"/>
      <c r="D101" s="127"/>
      <c r="E101" s="127"/>
      <c r="F101" s="128"/>
      <c r="G101" s="126"/>
      <c r="H101" s="127"/>
      <c r="I101" s="127"/>
      <c r="J101" s="127"/>
      <c r="K101" s="128"/>
      <c r="L101" s="135" t="s">
        <v>108</v>
      </c>
      <c r="M101" s="136"/>
      <c r="N101" s="136"/>
      <c r="O101" s="137">
        <f>+AVERAGE(E18:E78)</f>
        <v>0.38810750000000005</v>
      </c>
      <c r="P101" s="138"/>
    </row>
    <row r="102" spans="1:26" ht="15" customHeight="1" thickBot="1" x14ac:dyDescent="0.3">
      <c r="A102" s="5"/>
      <c r="B102" s="129"/>
      <c r="C102" s="130"/>
      <c r="D102" s="130"/>
      <c r="E102" s="130"/>
      <c r="F102" s="131"/>
      <c r="G102" s="129"/>
      <c r="H102" s="130"/>
      <c r="I102" s="130"/>
      <c r="J102" s="130"/>
      <c r="K102" s="131"/>
      <c r="L102" s="139" t="s">
        <v>109</v>
      </c>
      <c r="M102" s="140"/>
      <c r="N102" s="140"/>
      <c r="O102" s="311">
        <f>+MAX(E18:E78)</f>
        <v>0.5384500000000001</v>
      </c>
      <c r="P102" s="312"/>
    </row>
    <row r="103" spans="1:26" ht="18.600000000000001" customHeight="1" x14ac:dyDescent="0.25">
      <c r="A103" s="6"/>
      <c r="B103" s="129"/>
      <c r="C103" s="130"/>
      <c r="D103" s="130"/>
      <c r="E103" s="130"/>
      <c r="F103" s="131"/>
      <c r="G103" s="129"/>
      <c r="H103" s="130"/>
      <c r="I103" s="130"/>
      <c r="J103" s="130"/>
      <c r="K103" s="131"/>
      <c r="L103" s="143"/>
      <c r="M103" s="144"/>
      <c r="N103" s="144"/>
      <c r="O103" s="144"/>
      <c r="P103" s="145"/>
    </row>
    <row r="104" spans="1:26" ht="61.5" customHeight="1" x14ac:dyDescent="0.25">
      <c r="A104" s="10"/>
      <c r="B104" s="129"/>
      <c r="C104" s="130"/>
      <c r="D104" s="130"/>
      <c r="E104" s="130"/>
      <c r="F104" s="131"/>
      <c r="G104" s="129"/>
      <c r="H104" s="130"/>
      <c r="I104" s="130"/>
      <c r="J104" s="130"/>
      <c r="K104" s="131"/>
      <c r="L104" s="146"/>
      <c r="M104" s="147"/>
      <c r="N104" s="147"/>
      <c r="O104" s="147"/>
      <c r="P104" s="148"/>
    </row>
    <row r="105" spans="1:26" ht="15" customHeight="1" thickBot="1" x14ac:dyDescent="0.3">
      <c r="A105" s="5"/>
      <c r="B105" s="129"/>
      <c r="C105" s="130"/>
      <c r="D105" s="130"/>
      <c r="E105" s="130"/>
      <c r="F105" s="131"/>
      <c r="G105" s="129"/>
      <c r="H105" s="130"/>
      <c r="I105" s="130"/>
      <c r="J105" s="130"/>
      <c r="K105" s="131"/>
      <c r="L105" s="149"/>
      <c r="M105" s="150"/>
      <c r="N105" s="150"/>
      <c r="O105" s="150"/>
      <c r="P105" s="151"/>
    </row>
    <row r="106" spans="1:26" ht="22.5" customHeight="1" thickBot="1" x14ac:dyDescent="0.3">
      <c r="A106" s="5"/>
      <c r="B106" s="129"/>
      <c r="C106" s="130"/>
      <c r="D106" s="130"/>
      <c r="E106" s="130"/>
      <c r="F106" s="131"/>
      <c r="G106" s="129"/>
      <c r="H106" s="130"/>
      <c r="I106" s="130"/>
      <c r="J106" s="130"/>
      <c r="K106" s="131"/>
      <c r="L106" s="152" t="s">
        <v>35</v>
      </c>
      <c r="M106" s="153"/>
      <c r="N106" s="153"/>
      <c r="O106" s="153"/>
      <c r="P106" s="98">
        <v>2.8</v>
      </c>
    </row>
    <row r="107" spans="1:26" ht="35.25" customHeight="1" thickBot="1" x14ac:dyDescent="0.3">
      <c r="A107" s="5"/>
      <c r="B107" s="132"/>
      <c r="C107" s="133"/>
      <c r="D107" s="133"/>
      <c r="E107" s="133"/>
      <c r="F107" s="134"/>
      <c r="G107" s="132"/>
      <c r="H107" s="133"/>
      <c r="I107" s="133"/>
      <c r="J107" s="133"/>
      <c r="K107" s="134"/>
      <c r="L107" s="154" t="s">
        <v>51</v>
      </c>
      <c r="M107" s="155"/>
      <c r="N107" s="155"/>
      <c r="O107" s="155"/>
      <c r="P107" s="98">
        <v>0.67069999999999996</v>
      </c>
    </row>
    <row r="108" spans="1:26" ht="23.45" customHeight="1" thickBot="1" x14ac:dyDescent="0.3">
      <c r="A108" s="7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</row>
    <row r="109" spans="1:26" ht="15.75" thickBot="1" x14ac:dyDescent="0.3">
      <c r="A109" s="115" t="s">
        <v>36</v>
      </c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7"/>
    </row>
    <row r="110" spans="1:26" ht="159" customHeight="1" thickBot="1" x14ac:dyDescent="0.3">
      <c r="A110" s="4"/>
      <c r="B110" s="118"/>
      <c r="C110" s="119"/>
      <c r="D110" s="119"/>
      <c r="E110" s="119"/>
      <c r="F110" s="120"/>
      <c r="G110" s="118"/>
      <c r="H110" s="119"/>
      <c r="I110" s="119"/>
      <c r="J110" s="119"/>
      <c r="K110" s="120"/>
      <c r="L110" s="118"/>
      <c r="M110" s="119"/>
      <c r="N110" s="119"/>
      <c r="O110" s="119"/>
      <c r="P110" s="121"/>
    </row>
    <row r="111" spans="1:26" ht="21.75" customHeight="1" thickBot="1" x14ac:dyDescent="0.3">
      <c r="A111" s="4"/>
      <c r="B111" s="122" t="s">
        <v>53</v>
      </c>
      <c r="C111" s="123"/>
      <c r="D111" s="123"/>
      <c r="E111" s="123"/>
      <c r="F111" s="124"/>
      <c r="G111" s="308" t="s">
        <v>112</v>
      </c>
      <c r="H111" s="309"/>
      <c r="I111" s="309"/>
      <c r="J111" s="309"/>
      <c r="K111" s="309"/>
      <c r="L111" s="309"/>
      <c r="M111" s="309"/>
      <c r="N111" s="309"/>
      <c r="O111" s="309"/>
      <c r="P111" s="310"/>
    </row>
    <row r="112" spans="1:26" s="9" customFormat="1" ht="16.899999999999999" customHeight="1" thickBot="1" x14ac:dyDescent="0.3">
      <c r="A112" s="8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10"/>
    </row>
    <row r="113" spans="1:16" s="3" customFormat="1" ht="15.75" customHeight="1" thickBot="1" x14ac:dyDescent="0.25">
      <c r="A113" s="111" t="s">
        <v>37</v>
      </c>
      <c r="B113" s="112"/>
      <c r="C113" s="112"/>
      <c r="D113" s="112"/>
      <c r="E113" s="112"/>
      <c r="F113" s="112"/>
      <c r="G113" s="112"/>
      <c r="H113" s="112"/>
      <c r="I113" s="112"/>
      <c r="J113" s="112" t="s">
        <v>38</v>
      </c>
      <c r="K113" s="112"/>
      <c r="L113" s="112"/>
      <c r="M113" s="112"/>
      <c r="N113" s="112"/>
      <c r="O113" s="112"/>
      <c r="P113" s="113"/>
    </row>
  </sheetData>
  <mergeCells count="22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74:M78"/>
    <mergeCell ref="N74:N78"/>
    <mergeCell ref="O74:O78"/>
    <mergeCell ref="P74:P78"/>
    <mergeCell ref="B79:B84"/>
    <mergeCell ref="C79:P84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C85:H85"/>
    <mergeCell ref="I85:I86"/>
    <mergeCell ref="K85:P85"/>
    <mergeCell ref="C86:H86"/>
    <mergeCell ref="K86:P86"/>
    <mergeCell ref="B87:B97"/>
    <mergeCell ref="C87:C91"/>
    <mergeCell ref="D87:D91"/>
    <mergeCell ref="E87:E97"/>
    <mergeCell ref="K87:K97"/>
    <mergeCell ref="B98:J99"/>
    <mergeCell ref="O98:O99"/>
    <mergeCell ref="P98:P99"/>
    <mergeCell ref="B100:F100"/>
    <mergeCell ref="G100:K100"/>
    <mergeCell ref="L100:P100"/>
    <mergeCell ref="L87:L97"/>
    <mergeCell ref="M87:M97"/>
    <mergeCell ref="N87:N97"/>
    <mergeCell ref="O87:O97"/>
    <mergeCell ref="P87:P97"/>
    <mergeCell ref="C92:C97"/>
    <mergeCell ref="D92:D97"/>
    <mergeCell ref="B101:F107"/>
    <mergeCell ref="G101:K107"/>
    <mergeCell ref="L101:N101"/>
    <mergeCell ref="O101:P101"/>
    <mergeCell ref="L102:N102"/>
    <mergeCell ref="O102:P102"/>
    <mergeCell ref="L103:P105"/>
    <mergeCell ref="L106:O106"/>
    <mergeCell ref="L107:O107"/>
    <mergeCell ref="B112:P112"/>
    <mergeCell ref="A113:C113"/>
    <mergeCell ref="D113:I113"/>
    <mergeCell ref="J113:K113"/>
    <mergeCell ref="L113:P113"/>
    <mergeCell ref="B108:P108"/>
    <mergeCell ref="A109:P109"/>
    <mergeCell ref="B110:F110"/>
    <mergeCell ref="G110:K110"/>
    <mergeCell ref="L110:P110"/>
    <mergeCell ref="B111:F111"/>
    <mergeCell ref="G111:P111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rowBreaks count="1" manualBreakCount="1">
    <brk id="78" max="15" man="1"/>
  </rowBreaks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8"/>
  <sheetViews>
    <sheetView view="pageBreakPreview" zoomScale="70" zoomScaleSheetLayoutView="7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2" width="10.7109375" customWidth="1"/>
    <col min="13" max="13" width="11.7109375" customWidth="1"/>
    <col min="14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6"/>
      <c r="B2" s="327"/>
      <c r="C2" s="328"/>
      <c r="D2" s="329"/>
      <c r="E2" s="330" t="s">
        <v>123</v>
      </c>
      <c r="F2" s="331"/>
      <c r="G2" s="331"/>
      <c r="H2" s="331"/>
      <c r="I2" s="331"/>
      <c r="J2" s="331"/>
      <c r="K2" s="331"/>
      <c r="L2" s="331"/>
      <c r="M2" s="331"/>
      <c r="N2" s="331"/>
      <c r="O2" s="332"/>
      <c r="P2" s="333"/>
    </row>
    <row r="3" spans="1:26" s="2" customFormat="1" ht="24.75" customHeight="1" thickBot="1" x14ac:dyDescent="0.3">
      <c r="A3" s="326"/>
      <c r="B3" s="334"/>
      <c r="C3" s="335"/>
      <c r="D3" s="336"/>
      <c r="E3" s="337"/>
      <c r="F3" s="338"/>
      <c r="G3" s="338"/>
      <c r="H3" s="338"/>
      <c r="I3" s="338"/>
      <c r="J3" s="338"/>
      <c r="K3" s="338"/>
      <c r="L3" s="338"/>
      <c r="M3" s="338"/>
      <c r="N3" s="338"/>
      <c r="O3" s="339"/>
      <c r="P3" s="340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43158</v>
      </c>
      <c r="D5" s="298"/>
      <c r="E5" s="22" t="s">
        <v>55</v>
      </c>
      <c r="F5" s="23">
        <v>4</v>
      </c>
      <c r="G5" s="24" t="s">
        <v>1</v>
      </c>
      <c r="H5" s="299" t="s">
        <v>124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2</v>
      </c>
      <c r="C6" s="281"/>
      <c r="D6" s="282" t="s">
        <v>116</v>
      </c>
      <c r="E6" s="283"/>
      <c r="F6" s="283"/>
      <c r="G6" s="283"/>
      <c r="H6" s="283"/>
      <c r="I6" s="284"/>
      <c r="J6" s="28" t="s">
        <v>3</v>
      </c>
      <c r="K6" s="285" t="s">
        <v>57</v>
      </c>
      <c r="L6" s="284"/>
      <c r="M6" s="285" t="s">
        <v>58</v>
      </c>
      <c r="N6" s="286"/>
      <c r="O6" s="29" t="s">
        <v>59</v>
      </c>
      <c r="P6" s="30">
        <v>2101</v>
      </c>
    </row>
    <row r="7" spans="1:26" s="26" customFormat="1" ht="21.75" customHeight="1" x14ac:dyDescent="0.25">
      <c r="B7" s="287" t="s">
        <v>60</v>
      </c>
      <c r="C7" s="288" t="s">
        <v>61</v>
      </c>
      <c r="D7" s="258"/>
      <c r="E7" s="32"/>
      <c r="F7" s="289" t="s">
        <v>62</v>
      </c>
      <c r="G7" s="290"/>
      <c r="H7" s="290"/>
      <c r="I7" s="290"/>
      <c r="J7" s="291" t="s">
        <v>63</v>
      </c>
      <c r="K7" s="292"/>
      <c r="L7" s="292"/>
      <c r="M7" s="293"/>
      <c r="N7" s="294" t="s">
        <v>64</v>
      </c>
      <c r="O7" s="295"/>
      <c r="P7" s="33" t="s">
        <v>65</v>
      </c>
    </row>
    <row r="8" spans="1:26" s="26" customFormat="1" ht="21.75" customHeight="1" thickBot="1" x14ac:dyDescent="0.3">
      <c r="B8" s="232"/>
      <c r="C8" s="249" t="s">
        <v>66</v>
      </c>
      <c r="D8" s="248"/>
      <c r="E8" s="34" t="s">
        <v>4</v>
      </c>
      <c r="F8" s="259" t="s">
        <v>5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6</v>
      </c>
      <c r="C9" s="269" t="s">
        <v>67</v>
      </c>
      <c r="D9" s="270" t="s">
        <v>68</v>
      </c>
      <c r="E9" s="255"/>
      <c r="F9" s="36"/>
      <c r="G9" s="271" t="s">
        <v>7</v>
      </c>
      <c r="H9" s="272" t="s">
        <v>8</v>
      </c>
      <c r="I9" s="258"/>
      <c r="J9" s="37"/>
      <c r="K9" s="269" t="s">
        <v>69</v>
      </c>
      <c r="L9" s="273" t="s">
        <v>117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71</v>
      </c>
      <c r="E10" s="248"/>
      <c r="F10" s="38" t="s">
        <v>4</v>
      </c>
      <c r="G10" s="212"/>
      <c r="H10" s="253" t="s">
        <v>9</v>
      </c>
      <c r="I10" s="248"/>
      <c r="J10" s="39" t="s">
        <v>4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10</v>
      </c>
      <c r="D11" s="255"/>
      <c r="E11" s="40">
        <v>0.52777777777777779</v>
      </c>
      <c r="F11" s="256" t="s">
        <v>11</v>
      </c>
      <c r="G11" s="255"/>
      <c r="H11" s="41">
        <v>1</v>
      </c>
      <c r="I11" s="257" t="s">
        <v>12</v>
      </c>
      <c r="J11" s="258"/>
      <c r="K11" s="42">
        <v>18</v>
      </c>
      <c r="L11" s="254" t="s">
        <v>13</v>
      </c>
      <c r="M11" s="255"/>
      <c r="N11" s="43">
        <v>5.9</v>
      </c>
      <c r="O11" s="245" t="s">
        <v>72</v>
      </c>
      <c r="P11" s="246"/>
    </row>
    <row r="12" spans="1:26" s="26" customFormat="1" ht="21.75" customHeight="1" thickBot="1" x14ac:dyDescent="0.3">
      <c r="A12" s="20"/>
      <c r="B12" s="268"/>
      <c r="C12" s="247" t="s">
        <v>14</v>
      </c>
      <c r="D12" s="248"/>
      <c r="E12" s="40">
        <v>0.58333333333333337</v>
      </c>
      <c r="F12" s="249" t="s">
        <v>15</v>
      </c>
      <c r="G12" s="248"/>
      <c r="H12" s="41">
        <v>1</v>
      </c>
      <c r="I12" s="250" t="s">
        <v>16</v>
      </c>
      <c r="J12" s="248"/>
      <c r="K12" s="40">
        <v>0.53055555555555556</v>
      </c>
      <c r="L12" s="247" t="s">
        <v>17</v>
      </c>
      <c r="M12" s="248"/>
      <c r="N12" s="44">
        <v>0.4</v>
      </c>
      <c r="O12" s="251">
        <v>0.6</v>
      </c>
      <c r="P12" s="252"/>
    </row>
    <row r="13" spans="1:26" s="26" customFormat="1" ht="21.75" customHeight="1" x14ac:dyDescent="0.25">
      <c r="A13" s="20"/>
      <c r="B13" s="230" t="s">
        <v>18</v>
      </c>
      <c r="C13" s="233" t="s">
        <v>73</v>
      </c>
      <c r="D13" s="234"/>
      <c r="E13" s="234"/>
      <c r="F13" s="235" t="s">
        <v>74</v>
      </c>
      <c r="G13" s="234"/>
      <c r="H13" s="234"/>
      <c r="I13" s="234"/>
      <c r="J13" s="235" t="s">
        <v>75</v>
      </c>
      <c r="K13" s="234"/>
      <c r="L13" s="234"/>
      <c r="M13" s="234"/>
      <c r="N13" s="236" t="s">
        <v>76</v>
      </c>
      <c r="O13" s="234"/>
      <c r="P13" s="237"/>
      <c r="Q13" s="45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77</v>
      </c>
      <c r="D14" s="239"/>
      <c r="E14" s="239"/>
      <c r="F14" s="240" t="s">
        <v>78</v>
      </c>
      <c r="G14" s="239"/>
      <c r="H14" s="239"/>
      <c r="I14" s="239"/>
      <c r="J14" s="241" t="s">
        <v>79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80</v>
      </c>
      <c r="D15" s="214"/>
      <c r="E15" s="214"/>
      <c r="F15" s="214" t="s">
        <v>81</v>
      </c>
      <c r="G15" s="215"/>
      <c r="H15" s="215"/>
      <c r="I15" s="215"/>
      <c r="J15" s="214" t="s">
        <v>82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19</v>
      </c>
      <c r="C16" s="221" t="s">
        <v>20</v>
      </c>
      <c r="D16" s="221" t="s">
        <v>41</v>
      </c>
      <c r="E16" s="223" t="s">
        <v>21</v>
      </c>
      <c r="F16" s="224" t="s">
        <v>42</v>
      </c>
      <c r="G16" s="225"/>
      <c r="H16" s="221" t="s">
        <v>83</v>
      </c>
      <c r="I16" s="228" t="s">
        <v>84</v>
      </c>
      <c r="J16" s="46" t="s">
        <v>43</v>
      </c>
      <c r="K16" s="47"/>
      <c r="L16" s="48" t="s">
        <v>44</v>
      </c>
      <c r="M16" s="48" t="s">
        <v>45</v>
      </c>
      <c r="N16" s="48" t="s">
        <v>45</v>
      </c>
      <c r="O16" s="48" t="s">
        <v>46</v>
      </c>
      <c r="P16" s="49" t="s">
        <v>22</v>
      </c>
    </row>
    <row r="17" spans="1:26" s="26" customFormat="1" ht="21.75" customHeight="1" thickBot="1" x14ac:dyDescent="0.3">
      <c r="A17" s="50"/>
      <c r="B17" s="220"/>
      <c r="C17" s="222"/>
      <c r="D17" s="222"/>
      <c r="E17" s="222"/>
      <c r="F17" s="226"/>
      <c r="G17" s="227"/>
      <c r="H17" s="222"/>
      <c r="I17" s="229"/>
      <c r="J17" s="51" t="s">
        <v>23</v>
      </c>
      <c r="K17" s="52" t="s">
        <v>24</v>
      </c>
      <c r="L17" s="52" t="s">
        <v>47</v>
      </c>
      <c r="M17" s="52" t="s">
        <v>48</v>
      </c>
      <c r="N17" s="52" t="s">
        <v>25</v>
      </c>
      <c r="O17" s="52" t="s">
        <v>26</v>
      </c>
      <c r="P17" s="53" t="s">
        <v>27</v>
      </c>
    </row>
    <row r="18" spans="1:26" s="64" customFormat="1" ht="21.75" customHeight="1" thickBot="1" x14ac:dyDescent="0.3">
      <c r="A18" s="54"/>
      <c r="B18" s="55"/>
      <c r="C18" s="56">
        <f>+O12</f>
        <v>0.6</v>
      </c>
      <c r="D18" s="56">
        <v>0.22600000000000001</v>
      </c>
      <c r="E18" s="57"/>
      <c r="F18" s="58"/>
      <c r="G18" s="59"/>
      <c r="H18" s="60"/>
      <c r="I18" s="61"/>
      <c r="J18" s="62"/>
      <c r="K18" s="57"/>
      <c r="L18" s="57"/>
      <c r="M18" s="57"/>
      <c r="N18" s="57"/>
      <c r="O18" s="57"/>
      <c r="P18" s="63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s="64" customFormat="1" ht="13.5" customHeight="1" x14ac:dyDescent="0.25">
      <c r="A19" s="54"/>
      <c r="B19" s="210">
        <v>1</v>
      </c>
      <c r="C19" s="213">
        <f>+C18+$N$12</f>
        <v>1</v>
      </c>
      <c r="D19" s="190">
        <v>0.30299999999999999</v>
      </c>
      <c r="E19" s="190">
        <v>0.22900000000000001</v>
      </c>
      <c r="F19" s="65" t="s">
        <v>85</v>
      </c>
      <c r="G19" s="66">
        <v>0</v>
      </c>
      <c r="H19" s="67"/>
      <c r="I19" s="68"/>
      <c r="J19" s="69">
        <v>0.02</v>
      </c>
      <c r="K19" s="190">
        <f>+IF(E19&lt;=0.12,(J21),(IF(E19&lt;0.16,((J20+2*J21+J22)/4),IF(E19&gt;=0.16,((J19+3*J20+2*J21+3*J22+J23)/10)))))</f>
        <v>2.5100000000000001E-2</v>
      </c>
      <c r="L19" s="190">
        <f>ROUND(+(D18+D19)/2*(C19-C18),3)</f>
        <v>0.106</v>
      </c>
      <c r="M19" s="190">
        <f>ROUND(+K19*L19,4)</f>
        <v>2.7000000000000001E-3</v>
      </c>
      <c r="N19" s="193">
        <f>ROUND(+M19/$M$113*100,2)</f>
        <v>0.38</v>
      </c>
      <c r="O19" s="194"/>
      <c r="P19" s="195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s="64" customFormat="1" ht="13.5" customHeight="1" x14ac:dyDescent="0.25">
      <c r="A20" s="54"/>
      <c r="B20" s="211"/>
      <c r="C20" s="191"/>
      <c r="D20" s="191"/>
      <c r="E20" s="191"/>
      <c r="F20" s="70" t="s">
        <v>86</v>
      </c>
      <c r="G20" s="71">
        <f>IF(E19&lt;0.125,"NA",IF(0.125&lt;=E19,(0.2*E19)))</f>
        <v>4.5800000000000007E-2</v>
      </c>
      <c r="H20" s="72"/>
      <c r="I20" s="73"/>
      <c r="J20" s="74">
        <v>3.0000000000000001E-3</v>
      </c>
      <c r="K20" s="191"/>
      <c r="L20" s="191"/>
      <c r="M20" s="191"/>
      <c r="N20" s="191"/>
      <c r="O20" s="191"/>
      <c r="P20" s="196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s="64" customFormat="1" ht="13.5" customHeight="1" x14ac:dyDescent="0.25">
      <c r="A21" s="54"/>
      <c r="B21" s="211"/>
      <c r="C21" s="191"/>
      <c r="D21" s="191"/>
      <c r="E21" s="191"/>
      <c r="F21" s="70" t="s">
        <v>87</v>
      </c>
      <c r="G21" s="71">
        <f>+E19*0.4</f>
        <v>9.1600000000000015E-2</v>
      </c>
      <c r="H21" s="72"/>
      <c r="I21" s="73"/>
      <c r="J21" s="74">
        <v>4.0000000000000001E-3</v>
      </c>
      <c r="K21" s="191"/>
      <c r="L21" s="191"/>
      <c r="M21" s="191"/>
      <c r="N21" s="191"/>
      <c r="O21" s="191"/>
      <c r="P21" s="196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s="64" customFormat="1" ht="13.5" customHeight="1" x14ac:dyDescent="0.25">
      <c r="A22" s="54"/>
      <c r="B22" s="211"/>
      <c r="C22" s="191"/>
      <c r="D22" s="191"/>
      <c r="E22" s="191"/>
      <c r="F22" s="70" t="s">
        <v>88</v>
      </c>
      <c r="G22" s="71">
        <f>IF(E19&lt;0.125,"NA",IF(0.125&lt;=E19,(0.8*E19)))</f>
        <v>0.18320000000000003</v>
      </c>
      <c r="H22" s="72"/>
      <c r="I22" s="73"/>
      <c r="J22" s="74">
        <v>0.06</v>
      </c>
      <c r="K22" s="191"/>
      <c r="L22" s="191"/>
      <c r="M22" s="191"/>
      <c r="N22" s="191"/>
      <c r="O22" s="191"/>
      <c r="P22" s="196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s="64" customFormat="1" ht="13.5" customHeight="1" thickBot="1" x14ac:dyDescent="0.3">
      <c r="A23" s="54"/>
      <c r="B23" s="212"/>
      <c r="C23" s="192"/>
      <c r="D23" s="192"/>
      <c r="E23" s="192"/>
      <c r="F23" s="75" t="s">
        <v>89</v>
      </c>
      <c r="G23" s="76">
        <f>+E19</f>
        <v>0.22900000000000001</v>
      </c>
      <c r="H23" s="77"/>
      <c r="I23" s="78"/>
      <c r="J23" s="79">
        <v>3.4000000000000002E-2</v>
      </c>
      <c r="K23" s="192"/>
      <c r="L23" s="192"/>
      <c r="M23" s="192"/>
      <c r="N23" s="192"/>
      <c r="O23" s="192"/>
      <c r="P23" s="197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s="64" customFormat="1" ht="13.5" customHeight="1" x14ac:dyDescent="0.25">
      <c r="A24" s="54"/>
      <c r="B24" s="210">
        <v>2</v>
      </c>
      <c r="C24" s="213">
        <f>+C19+$N$12</f>
        <v>1.4</v>
      </c>
      <c r="D24" s="190">
        <v>0.32200000000000001</v>
      </c>
      <c r="E24" s="190">
        <v>0.32200000000000001</v>
      </c>
      <c r="F24" s="65" t="s">
        <v>85</v>
      </c>
      <c r="G24" s="66">
        <v>0</v>
      </c>
      <c r="H24" s="67"/>
      <c r="I24" s="68"/>
      <c r="J24" s="69">
        <v>0.14199999999999999</v>
      </c>
      <c r="K24" s="190">
        <f t="shared" ref="K24" si="0">+IF(E24&lt;=0.12,(J26),(IF(E24&lt;0.16,((J25+2*J26+J27)/4),IF(E24&gt;=0.16,((J24+3*J25+2*J26+3*J27+J28)/10)))))</f>
        <v>0.28520000000000001</v>
      </c>
      <c r="L24" s="190">
        <f>ROUND(+(D19+D24)/2*(C24-C19),3)</f>
        <v>0.125</v>
      </c>
      <c r="M24" s="190">
        <f t="shared" ref="M24" si="1">ROUND(+K24*L24,4)</f>
        <v>3.5700000000000003E-2</v>
      </c>
      <c r="N24" s="193">
        <f t="shared" ref="N24" si="2">ROUND(+M24/$M$113*100,2)</f>
        <v>5.05</v>
      </c>
      <c r="O24" s="194"/>
      <c r="P24" s="195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s="64" customFormat="1" ht="13.5" customHeight="1" x14ac:dyDescent="0.25">
      <c r="A25" s="54"/>
      <c r="B25" s="211"/>
      <c r="C25" s="191"/>
      <c r="D25" s="191"/>
      <c r="E25" s="191"/>
      <c r="F25" s="70" t="s">
        <v>86</v>
      </c>
      <c r="G25" s="71">
        <f t="shared" ref="G25" si="3">IF(E24&lt;0.125,"NA",IF(0.125&lt;=E24,(0.2*E24)))</f>
        <v>6.4399999999999999E-2</v>
      </c>
      <c r="H25" s="72"/>
      <c r="I25" s="73"/>
      <c r="J25" s="74">
        <v>0.223</v>
      </c>
      <c r="K25" s="191"/>
      <c r="L25" s="191"/>
      <c r="M25" s="191"/>
      <c r="N25" s="191"/>
      <c r="O25" s="191"/>
      <c r="P25" s="196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s="64" customFormat="1" ht="13.5" customHeight="1" x14ac:dyDescent="0.25">
      <c r="A26" s="54"/>
      <c r="B26" s="211"/>
      <c r="C26" s="191"/>
      <c r="D26" s="191"/>
      <c r="E26" s="191"/>
      <c r="F26" s="70" t="s">
        <v>87</v>
      </c>
      <c r="G26" s="71">
        <f t="shared" ref="G26" si="4">+E24*0.4</f>
        <v>0.1288</v>
      </c>
      <c r="H26" s="72"/>
      <c r="I26" s="73"/>
      <c r="J26" s="74">
        <v>0.32</v>
      </c>
      <c r="K26" s="191"/>
      <c r="L26" s="191"/>
      <c r="M26" s="191"/>
      <c r="N26" s="191"/>
      <c r="O26" s="191"/>
      <c r="P26" s="196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s="64" customFormat="1" ht="13.5" customHeight="1" x14ac:dyDescent="0.25">
      <c r="A27" s="54"/>
      <c r="B27" s="211"/>
      <c r="C27" s="191"/>
      <c r="D27" s="191"/>
      <c r="E27" s="191"/>
      <c r="F27" s="70" t="s">
        <v>88</v>
      </c>
      <c r="G27" s="71">
        <f t="shared" ref="G27" si="5">IF(E24&lt;0.125,"NA",IF(0.125&lt;=E24,(0.8*E24)))</f>
        <v>0.2576</v>
      </c>
      <c r="H27" s="72"/>
      <c r="I27" s="73"/>
      <c r="J27" s="74">
        <v>0.34699999999999998</v>
      </c>
      <c r="K27" s="191"/>
      <c r="L27" s="191"/>
      <c r="M27" s="191"/>
      <c r="N27" s="191"/>
      <c r="O27" s="191"/>
      <c r="P27" s="196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s="64" customFormat="1" ht="13.5" customHeight="1" thickBot="1" x14ac:dyDescent="0.3">
      <c r="A28" s="54"/>
      <c r="B28" s="212"/>
      <c r="C28" s="192"/>
      <c r="D28" s="192"/>
      <c r="E28" s="192"/>
      <c r="F28" s="75" t="s">
        <v>89</v>
      </c>
      <c r="G28" s="76">
        <f t="shared" ref="G28" si="6">+E24</f>
        <v>0.32200000000000001</v>
      </c>
      <c r="H28" s="77"/>
      <c r="I28" s="78"/>
      <c r="J28" s="79">
        <v>0.36</v>
      </c>
      <c r="K28" s="192"/>
      <c r="L28" s="192"/>
      <c r="M28" s="192"/>
      <c r="N28" s="192"/>
      <c r="O28" s="192"/>
      <c r="P28" s="197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s="64" customFormat="1" ht="13.5" customHeight="1" x14ac:dyDescent="0.25">
      <c r="A29" s="54" t="s">
        <v>118</v>
      </c>
      <c r="B29" s="210">
        <v>3</v>
      </c>
      <c r="C29" s="213">
        <f>+C24+$N$12</f>
        <v>1.7999999999999998</v>
      </c>
      <c r="D29" s="190">
        <v>0.32200000000000001</v>
      </c>
      <c r="E29" s="190">
        <v>0.33400000000000002</v>
      </c>
      <c r="F29" s="65" t="s">
        <v>85</v>
      </c>
      <c r="G29" s="66">
        <v>0</v>
      </c>
      <c r="H29" s="67"/>
      <c r="I29" s="68"/>
      <c r="J29" s="69">
        <v>0.45429999999999998</v>
      </c>
      <c r="K29" s="190">
        <f t="shared" ref="K29" si="7">+IF(E29&lt;=0.12,(J31),(IF(E29&lt;0.16,((J30+2*J31+J32)/4),IF(E29&gt;=0.16,((J29+3*J30+2*J31+3*J32+J33)/10)))))</f>
        <v>0.52122999999999986</v>
      </c>
      <c r="L29" s="190">
        <f t="shared" ref="L29" si="8">ROUND(+(D24+D29)/2*(C29-C24),3)</f>
        <v>0.129</v>
      </c>
      <c r="M29" s="190">
        <f t="shared" ref="M29" si="9">ROUND(+K29*L29,4)</f>
        <v>6.7199999999999996E-2</v>
      </c>
      <c r="N29" s="193">
        <f t="shared" ref="N29" si="10">ROUND(+M29/$M$113*100,2)</f>
        <v>9.5</v>
      </c>
      <c r="O29" s="194"/>
      <c r="P29" s="195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s="64" customFormat="1" ht="13.5" customHeight="1" x14ac:dyDescent="0.25">
      <c r="A30" s="54"/>
      <c r="B30" s="211"/>
      <c r="C30" s="191"/>
      <c r="D30" s="191"/>
      <c r="E30" s="191"/>
      <c r="F30" s="70" t="s">
        <v>86</v>
      </c>
      <c r="G30" s="71">
        <f t="shared" ref="G30" si="11">IF(E29&lt;0.125,"NA",IF(0.125&lt;=E29,(0.2*E29)))</f>
        <v>6.6800000000000012E-2</v>
      </c>
      <c r="H30" s="72"/>
      <c r="I30" s="73"/>
      <c r="J30" s="74">
        <v>0.48199999999999998</v>
      </c>
      <c r="K30" s="191"/>
      <c r="L30" s="191"/>
      <c r="M30" s="191"/>
      <c r="N30" s="191"/>
      <c r="O30" s="191"/>
      <c r="P30" s="196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s="64" customFormat="1" ht="13.5" customHeight="1" x14ac:dyDescent="0.25">
      <c r="A31" s="54"/>
      <c r="B31" s="211"/>
      <c r="C31" s="191"/>
      <c r="D31" s="191"/>
      <c r="E31" s="191"/>
      <c r="F31" s="70" t="s">
        <v>87</v>
      </c>
      <c r="G31" s="71">
        <f t="shared" ref="G31" si="12">+E29*0.4</f>
        <v>0.13360000000000002</v>
      </c>
      <c r="H31" s="72"/>
      <c r="I31" s="73"/>
      <c r="J31" s="74">
        <v>0.52400000000000002</v>
      </c>
      <c r="K31" s="191"/>
      <c r="L31" s="191"/>
      <c r="M31" s="191"/>
      <c r="N31" s="191"/>
      <c r="O31" s="191"/>
      <c r="P31" s="196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s="64" customFormat="1" ht="13.5" customHeight="1" x14ac:dyDescent="0.25">
      <c r="A32" s="54"/>
      <c r="B32" s="211"/>
      <c r="C32" s="191"/>
      <c r="D32" s="191"/>
      <c r="E32" s="191"/>
      <c r="F32" s="70" t="s">
        <v>88</v>
      </c>
      <c r="G32" s="71">
        <f t="shared" ref="G32" si="13">IF(E29&lt;0.125,"NA",IF(0.125&lt;=E29,(0.8*E29)))</f>
        <v>0.26720000000000005</v>
      </c>
      <c r="H32" s="72"/>
      <c r="I32" s="73"/>
      <c r="J32" s="74">
        <v>0.56000000000000005</v>
      </c>
      <c r="K32" s="191"/>
      <c r="L32" s="191"/>
      <c r="M32" s="191"/>
      <c r="N32" s="191"/>
      <c r="O32" s="191"/>
      <c r="P32" s="196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s="64" customFormat="1" ht="13.5" customHeight="1" thickBot="1" x14ac:dyDescent="0.3">
      <c r="A33" s="54"/>
      <c r="B33" s="212"/>
      <c r="C33" s="192"/>
      <c r="D33" s="192"/>
      <c r="E33" s="192"/>
      <c r="F33" s="75" t="s">
        <v>89</v>
      </c>
      <c r="G33" s="76">
        <f t="shared" ref="G33" si="14">+E29</f>
        <v>0.33400000000000002</v>
      </c>
      <c r="H33" s="77"/>
      <c r="I33" s="78"/>
      <c r="J33" s="79">
        <v>0.58399999999999996</v>
      </c>
      <c r="K33" s="192"/>
      <c r="L33" s="192"/>
      <c r="M33" s="192"/>
      <c r="N33" s="192"/>
      <c r="O33" s="192"/>
      <c r="P33" s="197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s="64" customFormat="1" ht="13.5" customHeight="1" x14ac:dyDescent="0.25">
      <c r="A34" s="54"/>
      <c r="B34" s="210">
        <v>4</v>
      </c>
      <c r="C34" s="213">
        <f>+C29+$N$12</f>
        <v>2.1999999999999997</v>
      </c>
      <c r="D34" s="190">
        <v>0.30199999999999999</v>
      </c>
      <c r="E34" s="190">
        <v>0.34399999999999997</v>
      </c>
      <c r="F34" s="65" t="s">
        <v>85</v>
      </c>
      <c r="G34" s="66">
        <v>0</v>
      </c>
      <c r="H34" s="67"/>
      <c r="I34" s="68"/>
      <c r="J34" s="69">
        <v>3.7999999999999999E-2</v>
      </c>
      <c r="K34" s="190">
        <f t="shared" ref="K34" si="15">+IF(E34&lt;=0.12,(J36),(IF(E34&lt;0.16,((J35+2*J36+J37)/4),IF(E34&gt;=0.16,((J34+3*J35+2*J36+3*J37+J38)/10)))))</f>
        <v>0.46440000000000003</v>
      </c>
      <c r="L34" s="190">
        <f t="shared" ref="L34" si="16">ROUND(+(D29+D34)/2*(C34-C29),3)</f>
        <v>0.125</v>
      </c>
      <c r="M34" s="190">
        <f t="shared" ref="M34" si="17">ROUND(+K34*L34,4)</f>
        <v>5.8099999999999999E-2</v>
      </c>
      <c r="N34" s="193">
        <f t="shared" ref="N34" si="18">ROUND(+M34/$M$113*100,2)</f>
        <v>8.2100000000000009</v>
      </c>
      <c r="O34" s="194"/>
      <c r="P34" s="195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s="64" customFormat="1" ht="13.5" customHeight="1" x14ac:dyDescent="0.25">
      <c r="A35" s="54"/>
      <c r="B35" s="211"/>
      <c r="C35" s="191"/>
      <c r="D35" s="191"/>
      <c r="E35" s="191"/>
      <c r="F35" s="70" t="s">
        <v>86</v>
      </c>
      <c r="G35" s="71">
        <f t="shared" ref="G35" si="19">IF(E34&lt;0.125,"NA",IF(0.125&lt;=E34,(0.2*E34)))</f>
        <v>6.88E-2</v>
      </c>
      <c r="H35" s="72"/>
      <c r="I35" s="73"/>
      <c r="J35" s="74">
        <v>0.378</v>
      </c>
      <c r="K35" s="191"/>
      <c r="L35" s="191"/>
      <c r="M35" s="191"/>
      <c r="N35" s="191"/>
      <c r="O35" s="191"/>
      <c r="P35" s="196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s="64" customFormat="1" ht="13.5" customHeight="1" x14ac:dyDescent="0.25">
      <c r="A36" s="54"/>
      <c r="B36" s="211"/>
      <c r="C36" s="191"/>
      <c r="D36" s="191"/>
      <c r="E36" s="191"/>
      <c r="F36" s="70" t="s">
        <v>87</v>
      </c>
      <c r="G36" s="71">
        <f t="shared" ref="G36" si="20">+E34*0.4</f>
        <v>0.1376</v>
      </c>
      <c r="H36" s="72"/>
      <c r="I36" s="73"/>
      <c r="J36" s="74">
        <v>0.46800000000000003</v>
      </c>
      <c r="K36" s="191"/>
      <c r="L36" s="191"/>
      <c r="M36" s="191"/>
      <c r="N36" s="191"/>
      <c r="O36" s="191"/>
      <c r="P36" s="196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s="64" customFormat="1" ht="13.5" customHeight="1" x14ac:dyDescent="0.25">
      <c r="A37" s="54"/>
      <c r="B37" s="211"/>
      <c r="C37" s="191"/>
      <c r="D37" s="191"/>
      <c r="E37" s="191"/>
      <c r="F37" s="70" t="s">
        <v>88</v>
      </c>
      <c r="G37" s="71">
        <f t="shared" ref="G37" si="21">IF(E34&lt;0.125,"NA",IF(0.125&lt;=E34,(0.8*E34)))</f>
        <v>0.2752</v>
      </c>
      <c r="H37" s="72"/>
      <c r="I37" s="73"/>
      <c r="J37" s="74">
        <v>0.63</v>
      </c>
      <c r="K37" s="191"/>
      <c r="L37" s="191"/>
      <c r="M37" s="191"/>
      <c r="N37" s="191"/>
      <c r="O37" s="191"/>
      <c r="P37" s="196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s="64" customFormat="1" ht="13.5" customHeight="1" thickBot="1" x14ac:dyDescent="0.3">
      <c r="A38" s="54"/>
      <c r="B38" s="212"/>
      <c r="C38" s="192"/>
      <c r="D38" s="192"/>
      <c r="E38" s="192"/>
      <c r="F38" s="75" t="s">
        <v>89</v>
      </c>
      <c r="G38" s="76">
        <f t="shared" ref="G38" si="22">+E34</f>
        <v>0.34399999999999997</v>
      </c>
      <c r="H38" s="77"/>
      <c r="I38" s="78"/>
      <c r="J38" s="79">
        <v>0.64600000000000002</v>
      </c>
      <c r="K38" s="192"/>
      <c r="L38" s="192"/>
      <c r="M38" s="192"/>
      <c r="N38" s="192"/>
      <c r="O38" s="192"/>
      <c r="P38" s="197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s="64" customFormat="1" ht="13.5" customHeight="1" x14ac:dyDescent="0.25">
      <c r="A39" s="54"/>
      <c r="B39" s="210">
        <v>5</v>
      </c>
      <c r="C39" s="213">
        <f>+C34+$N$12</f>
        <v>2.5999999999999996</v>
      </c>
      <c r="D39" s="190">
        <v>0.27600000000000002</v>
      </c>
      <c r="E39" s="190">
        <v>0.26800000000000002</v>
      </c>
      <c r="F39" s="65" t="s">
        <v>85</v>
      </c>
      <c r="G39" s="66">
        <v>0</v>
      </c>
      <c r="H39" s="67"/>
      <c r="I39" s="68"/>
      <c r="J39" s="69">
        <v>0.17299999999999999</v>
      </c>
      <c r="K39" s="190">
        <f t="shared" ref="K39" si="23">+IF(E39&lt;=0.12,(J41),(IF(E39&lt;0.16,((J40+2*J41+J42)/4),IF(E39&gt;=0.16,((J39+3*J40+2*J41+3*J42+J43)/10)))))</f>
        <v>0.58419999999999994</v>
      </c>
      <c r="L39" s="190">
        <f t="shared" ref="L39" si="24">ROUND(+(D34+D39)/2*(C39-C34),3)</f>
        <v>0.11600000000000001</v>
      </c>
      <c r="M39" s="190">
        <f t="shared" ref="M39" si="25">ROUND(+K39*L39,4)</f>
        <v>6.7799999999999999E-2</v>
      </c>
      <c r="N39" s="193">
        <f t="shared" ref="N39" si="26">ROUND(+M39/$M$113*100,2)</f>
        <v>9.58</v>
      </c>
      <c r="O39" s="194"/>
      <c r="P39" s="195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s="64" customFormat="1" ht="13.5" customHeight="1" x14ac:dyDescent="0.25">
      <c r="A40" s="54"/>
      <c r="B40" s="211"/>
      <c r="C40" s="191"/>
      <c r="D40" s="191"/>
      <c r="E40" s="191"/>
      <c r="F40" s="70" t="s">
        <v>86</v>
      </c>
      <c r="G40" s="71">
        <f t="shared" ref="G40" si="27">IF(E39&lt;0.125,"NA",IF(0.125&lt;=E39,(0.2*E39)))</f>
        <v>5.3600000000000009E-2</v>
      </c>
      <c r="H40" s="72"/>
      <c r="I40" s="73"/>
      <c r="J40" s="74">
        <v>0.626</v>
      </c>
      <c r="K40" s="191"/>
      <c r="L40" s="191"/>
      <c r="M40" s="191"/>
      <c r="N40" s="191"/>
      <c r="O40" s="191"/>
      <c r="P40" s="196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s="64" customFormat="1" ht="13.5" customHeight="1" x14ac:dyDescent="0.25">
      <c r="A41" s="54"/>
      <c r="B41" s="211"/>
      <c r="C41" s="191"/>
      <c r="D41" s="191"/>
      <c r="E41" s="191"/>
      <c r="F41" s="70" t="s">
        <v>87</v>
      </c>
      <c r="G41" s="71">
        <f t="shared" ref="G41" si="28">+E39*0.4</f>
        <v>0.10720000000000002</v>
      </c>
      <c r="H41" s="72"/>
      <c r="I41" s="73"/>
      <c r="J41" s="74">
        <v>0.33900000000000002</v>
      </c>
      <c r="K41" s="191"/>
      <c r="L41" s="191"/>
      <c r="M41" s="191"/>
      <c r="N41" s="191"/>
      <c r="O41" s="191"/>
      <c r="P41" s="196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s="64" customFormat="1" ht="13.5" customHeight="1" x14ac:dyDescent="0.25">
      <c r="A42" s="54"/>
      <c r="B42" s="211"/>
      <c r="C42" s="191"/>
      <c r="D42" s="191"/>
      <c r="E42" s="191"/>
      <c r="F42" s="70" t="s">
        <v>88</v>
      </c>
      <c r="G42" s="71">
        <f t="shared" ref="G42" si="29">IF(E39&lt;0.125,"NA",IF(0.125&lt;=E39,(0.8*E39)))</f>
        <v>0.21440000000000003</v>
      </c>
      <c r="H42" s="72"/>
      <c r="I42" s="73"/>
      <c r="J42" s="74">
        <v>0.77</v>
      </c>
      <c r="K42" s="191"/>
      <c r="L42" s="191"/>
      <c r="M42" s="191"/>
      <c r="N42" s="191"/>
      <c r="O42" s="191"/>
      <c r="P42" s="196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s="64" customFormat="1" ht="13.5" customHeight="1" thickBot="1" x14ac:dyDescent="0.3">
      <c r="A43" s="54"/>
      <c r="B43" s="212"/>
      <c r="C43" s="192"/>
      <c r="D43" s="192"/>
      <c r="E43" s="192"/>
      <c r="F43" s="75" t="s">
        <v>89</v>
      </c>
      <c r="G43" s="76">
        <f t="shared" ref="G43" si="30">+E39</f>
        <v>0.26800000000000002</v>
      </c>
      <c r="H43" s="77"/>
      <c r="I43" s="78"/>
      <c r="J43" s="79">
        <v>0.80300000000000005</v>
      </c>
      <c r="K43" s="192"/>
      <c r="L43" s="192"/>
      <c r="M43" s="192"/>
      <c r="N43" s="192"/>
      <c r="O43" s="192"/>
      <c r="P43" s="197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s="64" customFormat="1" ht="13.5" customHeight="1" x14ac:dyDescent="0.25">
      <c r="A44" s="54"/>
      <c r="B44" s="210">
        <v>6</v>
      </c>
      <c r="C44" s="213">
        <f>+C39+$N$12</f>
        <v>2.9999999999999996</v>
      </c>
      <c r="D44" s="190">
        <v>0.316</v>
      </c>
      <c r="E44" s="190">
        <v>0.29499999999999998</v>
      </c>
      <c r="F44" s="65" t="s">
        <v>85</v>
      </c>
      <c r="G44" s="66">
        <v>0</v>
      </c>
      <c r="H44" s="67"/>
      <c r="I44" s="68"/>
      <c r="J44" s="69">
        <v>0.503</v>
      </c>
      <c r="K44" s="190">
        <f t="shared" ref="K44" si="31">+IF(E44&lt;=0.12,(J46),(IF(E44&lt;0.16,((J45+2*J46+J47)/4),IF(E44&gt;=0.16,((J44+3*J45+2*J46+3*J47+J48)/10)))))</f>
        <v>0.59450000000000003</v>
      </c>
      <c r="L44" s="190">
        <f t="shared" ref="L44" si="32">ROUND(+(D39+D44)/2*(C44-C39),3)</f>
        <v>0.11799999999999999</v>
      </c>
      <c r="M44" s="190">
        <f t="shared" ref="M44" si="33">ROUND(+K44*L44,4)</f>
        <v>7.0199999999999999E-2</v>
      </c>
      <c r="N44" s="193">
        <f t="shared" ref="N44" si="34">ROUND(+M44/$M$113*100,2)</f>
        <v>9.92</v>
      </c>
      <c r="O44" s="194"/>
      <c r="P44" s="195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s="64" customFormat="1" ht="13.5" customHeight="1" x14ac:dyDescent="0.25">
      <c r="A45" s="54"/>
      <c r="B45" s="211"/>
      <c r="C45" s="191"/>
      <c r="D45" s="191"/>
      <c r="E45" s="191"/>
      <c r="F45" s="70" t="s">
        <v>86</v>
      </c>
      <c r="G45" s="71">
        <f t="shared" ref="G45" si="35">IF(E44&lt;0.125,"NA",IF(0.125&lt;=E44,(0.2*E44)))</f>
        <v>5.8999999999999997E-2</v>
      </c>
      <c r="H45" s="72"/>
      <c r="I45" s="73"/>
      <c r="J45" s="74">
        <v>0.45100000000000001</v>
      </c>
      <c r="K45" s="191"/>
      <c r="L45" s="191"/>
      <c r="M45" s="191"/>
      <c r="N45" s="191"/>
      <c r="O45" s="191"/>
      <c r="P45" s="196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s="64" customFormat="1" ht="13.5" customHeight="1" x14ac:dyDescent="0.25">
      <c r="A46" s="54"/>
      <c r="B46" s="211"/>
      <c r="C46" s="191"/>
      <c r="D46" s="191"/>
      <c r="E46" s="191"/>
      <c r="F46" s="70" t="s">
        <v>87</v>
      </c>
      <c r="G46" s="71">
        <f t="shared" ref="G46" si="36">+E44*0.4</f>
        <v>0.11799999999999999</v>
      </c>
      <c r="H46" s="72"/>
      <c r="I46" s="73"/>
      <c r="J46" s="74">
        <v>0.65700000000000003</v>
      </c>
      <c r="K46" s="191"/>
      <c r="L46" s="191"/>
      <c r="M46" s="191"/>
      <c r="N46" s="191"/>
      <c r="O46" s="191"/>
      <c r="P46" s="196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s="64" customFormat="1" ht="13.5" customHeight="1" x14ac:dyDescent="0.25">
      <c r="A47" s="54"/>
      <c r="B47" s="211"/>
      <c r="C47" s="191"/>
      <c r="D47" s="191"/>
      <c r="E47" s="191"/>
      <c r="F47" s="70" t="s">
        <v>88</v>
      </c>
      <c r="G47" s="71">
        <f t="shared" ref="G47" si="37">IF(E44&lt;0.125,"NA",IF(0.125&lt;=E44,(0.8*E44)))</f>
        <v>0.23599999999999999</v>
      </c>
      <c r="H47" s="72"/>
      <c r="I47" s="73"/>
      <c r="J47" s="74">
        <v>0.68300000000000005</v>
      </c>
      <c r="K47" s="191"/>
      <c r="L47" s="191"/>
      <c r="M47" s="191"/>
      <c r="N47" s="191"/>
      <c r="O47" s="191"/>
      <c r="P47" s="196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s="64" customFormat="1" ht="13.5" customHeight="1" thickBot="1" x14ac:dyDescent="0.3">
      <c r="A48" s="54"/>
      <c r="B48" s="212"/>
      <c r="C48" s="192"/>
      <c r="D48" s="192"/>
      <c r="E48" s="192"/>
      <c r="F48" s="75" t="s">
        <v>89</v>
      </c>
      <c r="G48" s="76">
        <f t="shared" ref="G48" si="38">+E44</f>
        <v>0.29499999999999998</v>
      </c>
      <c r="H48" s="77"/>
      <c r="I48" s="78"/>
      <c r="J48" s="79">
        <v>0.72599999999999998</v>
      </c>
      <c r="K48" s="192"/>
      <c r="L48" s="192"/>
      <c r="M48" s="192"/>
      <c r="N48" s="192"/>
      <c r="O48" s="192"/>
      <c r="P48" s="197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s="64" customFormat="1" ht="13.5" customHeight="1" x14ac:dyDescent="0.25">
      <c r="A49" s="54"/>
      <c r="B49" s="210">
        <v>7</v>
      </c>
      <c r="C49" s="213">
        <f>+C44+$N$12</f>
        <v>3.3999999999999995</v>
      </c>
      <c r="D49" s="190">
        <v>0.38200000000000001</v>
      </c>
      <c r="E49" s="190">
        <v>0.35899999999999999</v>
      </c>
      <c r="F49" s="65" t="s">
        <v>85</v>
      </c>
      <c r="G49" s="66">
        <v>0</v>
      </c>
      <c r="H49" s="67"/>
      <c r="I49" s="68"/>
      <c r="J49" s="69"/>
      <c r="K49" s="190"/>
      <c r="L49" s="190"/>
      <c r="M49" s="190"/>
      <c r="N49" s="193"/>
      <c r="O49" s="194"/>
      <c r="P49" s="195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s="64" customFormat="1" ht="13.5" customHeight="1" x14ac:dyDescent="0.25">
      <c r="A50" s="54"/>
      <c r="B50" s="211"/>
      <c r="C50" s="191"/>
      <c r="D50" s="191"/>
      <c r="E50" s="191"/>
      <c r="F50" s="70" t="s">
        <v>86</v>
      </c>
      <c r="G50" s="71">
        <f t="shared" ref="G50" si="39">IF(E49&lt;0.125,"NA",IF(0.125&lt;=E49,(0.2*E49)))</f>
        <v>7.1800000000000003E-2</v>
      </c>
      <c r="H50" s="72"/>
      <c r="I50" s="73"/>
      <c r="J50" s="74"/>
      <c r="K50" s="191"/>
      <c r="L50" s="191"/>
      <c r="M50" s="191"/>
      <c r="N50" s="191"/>
      <c r="O50" s="191"/>
      <c r="P50" s="196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s="64" customFormat="1" ht="13.5" customHeight="1" x14ac:dyDescent="0.25">
      <c r="A51" s="54"/>
      <c r="B51" s="211"/>
      <c r="C51" s="191"/>
      <c r="D51" s="191"/>
      <c r="E51" s="191"/>
      <c r="F51" s="70" t="s">
        <v>87</v>
      </c>
      <c r="G51" s="71">
        <f t="shared" ref="G51" si="40">+E49*0.4</f>
        <v>0.14360000000000001</v>
      </c>
      <c r="H51" s="72"/>
      <c r="I51" s="73"/>
      <c r="J51" s="74"/>
      <c r="K51" s="191"/>
      <c r="L51" s="191"/>
      <c r="M51" s="191"/>
      <c r="N51" s="191"/>
      <c r="O51" s="191"/>
      <c r="P51" s="196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s="64" customFormat="1" ht="13.5" customHeight="1" x14ac:dyDescent="0.25">
      <c r="A52" s="54"/>
      <c r="B52" s="211"/>
      <c r="C52" s="191"/>
      <c r="D52" s="191"/>
      <c r="E52" s="191"/>
      <c r="F52" s="70" t="s">
        <v>88</v>
      </c>
      <c r="G52" s="71">
        <f t="shared" ref="G52" si="41">IF(E49&lt;0.125,"NA",IF(0.125&lt;=E49,(0.8*E49)))</f>
        <v>0.28720000000000001</v>
      </c>
      <c r="H52" s="72"/>
      <c r="I52" s="73"/>
      <c r="J52" s="74"/>
      <c r="K52" s="191"/>
      <c r="L52" s="191"/>
      <c r="M52" s="191"/>
      <c r="N52" s="191"/>
      <c r="O52" s="191"/>
      <c r="P52" s="196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s="64" customFormat="1" ht="13.5" customHeight="1" thickBot="1" x14ac:dyDescent="0.3">
      <c r="A53" s="54"/>
      <c r="B53" s="212"/>
      <c r="C53" s="192"/>
      <c r="D53" s="192"/>
      <c r="E53" s="192"/>
      <c r="F53" s="75" t="s">
        <v>89</v>
      </c>
      <c r="G53" s="76">
        <f t="shared" ref="G53" si="42">+E49</f>
        <v>0.35899999999999999</v>
      </c>
      <c r="H53" s="77"/>
      <c r="I53" s="78"/>
      <c r="J53" s="79"/>
      <c r="K53" s="192"/>
      <c r="L53" s="192"/>
      <c r="M53" s="192"/>
      <c r="N53" s="192"/>
      <c r="O53" s="192"/>
      <c r="P53" s="197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s="64" customFormat="1" ht="13.5" customHeight="1" x14ac:dyDescent="0.25">
      <c r="A54" s="54"/>
      <c r="B54" s="210">
        <v>8</v>
      </c>
      <c r="C54" s="213">
        <f>+C49+$N$12</f>
        <v>3.7999999999999994</v>
      </c>
      <c r="D54" s="190">
        <v>0.254</v>
      </c>
      <c r="E54" s="190">
        <v>0.34499999999999997</v>
      </c>
      <c r="F54" s="65" t="s">
        <v>85</v>
      </c>
      <c r="G54" s="66">
        <v>0</v>
      </c>
      <c r="H54" s="67"/>
      <c r="I54" s="68"/>
      <c r="J54" s="69">
        <v>0.121</v>
      </c>
      <c r="K54" s="190">
        <f t="shared" ref="K54" si="43">+IF(E54&lt;=0.12,(J56),(IF(E54&lt;0.16,((J55+2*J56+J57)/4),IF(E54&gt;=0.16,((J54+3*J55+2*J56+3*J57+J58)/10)))))</f>
        <v>0.51879999999999993</v>
      </c>
      <c r="L54" s="190">
        <f t="shared" ref="L54" si="44">ROUND(+(D49+D54)/2*(C54-C49),3)</f>
        <v>0.127</v>
      </c>
      <c r="M54" s="190">
        <f t="shared" ref="M54" si="45">ROUND(+K54*L54,4)</f>
        <v>6.59E-2</v>
      </c>
      <c r="N54" s="193">
        <f t="shared" ref="N54" si="46">ROUND(+M54/$M$113*100,2)</f>
        <v>9.31</v>
      </c>
      <c r="O54" s="194"/>
      <c r="P54" s="195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s="64" customFormat="1" ht="13.5" customHeight="1" x14ac:dyDescent="0.25">
      <c r="A55" s="54"/>
      <c r="B55" s="211"/>
      <c r="C55" s="191"/>
      <c r="D55" s="191"/>
      <c r="E55" s="191"/>
      <c r="F55" s="70" t="s">
        <v>86</v>
      </c>
      <c r="G55" s="71">
        <f t="shared" ref="G55" si="47">IF(E54&lt;0.125,"NA",IF(0.125&lt;=E54,(0.2*E54)))</f>
        <v>6.8999999999999992E-2</v>
      </c>
      <c r="H55" s="72"/>
      <c r="I55" s="73"/>
      <c r="J55" s="74">
        <v>0.08</v>
      </c>
      <c r="K55" s="191"/>
      <c r="L55" s="191"/>
      <c r="M55" s="191"/>
      <c r="N55" s="191"/>
      <c r="O55" s="191"/>
      <c r="P55" s="196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s="64" customFormat="1" ht="13.5" customHeight="1" x14ac:dyDescent="0.25">
      <c r="A56" s="54"/>
      <c r="B56" s="211"/>
      <c r="C56" s="191"/>
      <c r="D56" s="191"/>
      <c r="E56" s="191"/>
      <c r="F56" s="70" t="s">
        <v>87</v>
      </c>
      <c r="G56" s="71">
        <f t="shared" ref="G56" si="48">+E54*0.4</f>
        <v>0.13799999999999998</v>
      </c>
      <c r="H56" s="72"/>
      <c r="I56" s="73"/>
      <c r="J56" s="74">
        <v>0.81399999999999995</v>
      </c>
      <c r="K56" s="191"/>
      <c r="L56" s="191"/>
      <c r="M56" s="191"/>
      <c r="N56" s="191"/>
      <c r="O56" s="191"/>
      <c r="P56" s="196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s="64" customFormat="1" ht="13.5" customHeight="1" x14ac:dyDescent="0.25">
      <c r="A57" s="54"/>
      <c r="B57" s="211"/>
      <c r="C57" s="191"/>
      <c r="D57" s="191"/>
      <c r="E57" s="191"/>
      <c r="F57" s="70" t="s">
        <v>88</v>
      </c>
      <c r="G57" s="71">
        <f t="shared" ref="G57" si="49">IF(E54&lt;0.125,"NA",IF(0.125&lt;=E54,(0.8*E54)))</f>
        <v>0.27599999999999997</v>
      </c>
      <c r="H57" s="72"/>
      <c r="I57" s="73"/>
      <c r="J57" s="74">
        <v>0.82199999999999995</v>
      </c>
      <c r="K57" s="191"/>
      <c r="L57" s="191"/>
      <c r="M57" s="191"/>
      <c r="N57" s="191"/>
      <c r="O57" s="191"/>
      <c r="P57" s="196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s="64" customFormat="1" ht="13.5" customHeight="1" thickBot="1" x14ac:dyDescent="0.3">
      <c r="A58" s="54"/>
      <c r="B58" s="212"/>
      <c r="C58" s="192"/>
      <c r="D58" s="192"/>
      <c r="E58" s="192"/>
      <c r="F58" s="75" t="s">
        <v>89</v>
      </c>
      <c r="G58" s="76">
        <f t="shared" ref="G58" si="50">+E54</f>
        <v>0.34499999999999997</v>
      </c>
      <c r="H58" s="77"/>
      <c r="I58" s="78"/>
      <c r="J58" s="79">
        <v>0.73299999999999998</v>
      </c>
      <c r="K58" s="192"/>
      <c r="L58" s="192"/>
      <c r="M58" s="192"/>
      <c r="N58" s="192"/>
      <c r="O58" s="192"/>
      <c r="P58" s="197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s="64" customFormat="1" ht="13.5" customHeight="1" x14ac:dyDescent="0.25">
      <c r="A59" s="54"/>
      <c r="B59" s="210">
        <v>9</v>
      </c>
      <c r="C59" s="213">
        <f>+C54+$N$12</f>
        <v>4.1999999999999993</v>
      </c>
      <c r="D59" s="190">
        <v>0.22800000000000001</v>
      </c>
      <c r="E59" s="190">
        <v>0.22</v>
      </c>
      <c r="F59" s="65" t="s">
        <v>85</v>
      </c>
      <c r="G59" s="66">
        <v>0</v>
      </c>
      <c r="H59" s="67"/>
      <c r="I59" s="68"/>
      <c r="J59" s="69">
        <v>0.51600000000000001</v>
      </c>
      <c r="K59" s="190">
        <f t="shared" ref="K59" si="51">+IF(E59&lt;=0.12,(J61),(IF(E59&lt;0.16,((J60+2*J61+J62)/4),IF(E59&gt;=0.16,((J59+3*J60+2*J61+3*J62+J63)/10)))))</f>
        <v>0.62050000000000005</v>
      </c>
      <c r="L59" s="190">
        <f t="shared" ref="L59" si="52">ROUND(+(D54+D59)/2*(C59-C54),3)</f>
        <v>9.6000000000000002E-2</v>
      </c>
      <c r="M59" s="190">
        <f t="shared" ref="M59" si="53">ROUND(+K59*L59,4)</f>
        <v>5.96E-2</v>
      </c>
      <c r="N59" s="193">
        <f t="shared" ref="N59" si="54">ROUND(+M59/$M$113*100,2)</f>
        <v>8.42</v>
      </c>
      <c r="O59" s="194"/>
      <c r="P59" s="195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s="64" customFormat="1" ht="13.5" customHeight="1" x14ac:dyDescent="0.25">
      <c r="A60" s="54"/>
      <c r="B60" s="211"/>
      <c r="C60" s="191"/>
      <c r="D60" s="191"/>
      <c r="E60" s="191"/>
      <c r="F60" s="70" t="s">
        <v>86</v>
      </c>
      <c r="G60" s="71">
        <f t="shared" ref="G60" si="55">IF(E59&lt;0.125,"NA",IF(0.125&lt;=E59,(0.2*E59)))</f>
        <v>4.4000000000000004E-2</v>
      </c>
      <c r="H60" s="72"/>
      <c r="I60" s="73"/>
      <c r="J60" s="74">
        <v>0.6</v>
      </c>
      <c r="K60" s="191"/>
      <c r="L60" s="191"/>
      <c r="M60" s="191"/>
      <c r="N60" s="191"/>
      <c r="O60" s="191"/>
      <c r="P60" s="196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s="64" customFormat="1" ht="13.5" customHeight="1" x14ac:dyDescent="0.25">
      <c r="A61" s="54"/>
      <c r="B61" s="211"/>
      <c r="C61" s="191"/>
      <c r="D61" s="191"/>
      <c r="E61" s="191"/>
      <c r="F61" s="70" t="s">
        <v>87</v>
      </c>
      <c r="G61" s="71">
        <f t="shared" ref="G61" si="56">+E59*0.4</f>
        <v>8.8000000000000009E-2</v>
      </c>
      <c r="H61" s="72"/>
      <c r="I61" s="73"/>
      <c r="J61" s="74">
        <v>0.629</v>
      </c>
      <c r="K61" s="191"/>
      <c r="L61" s="191"/>
      <c r="M61" s="191"/>
      <c r="N61" s="191"/>
      <c r="O61" s="191"/>
      <c r="P61" s="196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s="64" customFormat="1" ht="13.5" customHeight="1" x14ac:dyDescent="0.25">
      <c r="A62" s="54"/>
      <c r="B62" s="211"/>
      <c r="C62" s="191"/>
      <c r="D62" s="191"/>
      <c r="E62" s="191"/>
      <c r="F62" s="70" t="s">
        <v>88</v>
      </c>
      <c r="G62" s="71">
        <f t="shared" ref="G62" si="57">IF(E59&lt;0.125,"NA",IF(0.125&lt;=E59,(0.8*E59)))</f>
        <v>0.17600000000000002</v>
      </c>
      <c r="H62" s="72"/>
      <c r="I62" s="73"/>
      <c r="J62" s="74">
        <v>0.65900000000000003</v>
      </c>
      <c r="K62" s="191"/>
      <c r="L62" s="191"/>
      <c r="M62" s="191"/>
      <c r="N62" s="191"/>
      <c r="O62" s="191"/>
      <c r="P62" s="196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s="64" customFormat="1" ht="13.5" customHeight="1" thickBot="1" x14ac:dyDescent="0.3">
      <c r="A63" s="54"/>
      <c r="B63" s="212"/>
      <c r="C63" s="192"/>
      <c r="D63" s="192"/>
      <c r="E63" s="192"/>
      <c r="F63" s="75" t="s">
        <v>89</v>
      </c>
      <c r="G63" s="76">
        <f t="shared" ref="G63" si="58">+E59</f>
        <v>0.22</v>
      </c>
      <c r="H63" s="77"/>
      <c r="I63" s="78"/>
      <c r="J63" s="79">
        <v>0.65400000000000003</v>
      </c>
      <c r="K63" s="192"/>
      <c r="L63" s="192"/>
      <c r="M63" s="192"/>
      <c r="N63" s="192"/>
      <c r="O63" s="192"/>
      <c r="P63" s="197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s="64" customFormat="1" ht="13.5" customHeight="1" x14ac:dyDescent="0.25">
      <c r="A64" s="54" t="s">
        <v>118</v>
      </c>
      <c r="B64" s="210">
        <v>10</v>
      </c>
      <c r="C64" s="213">
        <f>+C59+$N$12</f>
        <v>4.5999999999999996</v>
      </c>
      <c r="D64" s="190">
        <v>0.19600000000000001</v>
      </c>
      <c r="E64" s="190">
        <v>0.23100000000000001</v>
      </c>
      <c r="F64" s="65" t="s">
        <v>85</v>
      </c>
      <c r="G64" s="66">
        <v>0</v>
      </c>
      <c r="H64" s="67"/>
      <c r="I64" s="68"/>
      <c r="J64" s="69">
        <v>0.41299999999999998</v>
      </c>
      <c r="K64" s="190">
        <f t="shared" ref="K64" si="59">+IF(E64&lt;=0.12,(J66),(IF(E64&lt;0.16,((J65+2*J66+J67)/4),IF(E64&gt;=0.16,((J64+3*J65+2*J66+3*J67+J68)/10)))))</f>
        <v>0.60099999999999998</v>
      </c>
      <c r="L64" s="190">
        <f t="shared" ref="L64" si="60">ROUND(+(D59+D64)/2*(C64-C59),3)</f>
        <v>8.5000000000000006E-2</v>
      </c>
      <c r="M64" s="190">
        <f t="shared" ref="M64" si="61">ROUND(+K64*L64,4)</f>
        <v>5.11E-2</v>
      </c>
      <c r="N64" s="193">
        <f t="shared" ref="N64" si="62">ROUND(+M64/$M$113*100,2)</f>
        <v>7.22</v>
      </c>
      <c r="O64" s="194"/>
      <c r="P64" s="195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s="64" customFormat="1" ht="13.5" customHeight="1" x14ac:dyDescent="0.25">
      <c r="A65" s="54"/>
      <c r="B65" s="211"/>
      <c r="C65" s="191"/>
      <c r="D65" s="191"/>
      <c r="E65" s="191"/>
      <c r="F65" s="70" t="s">
        <v>86</v>
      </c>
      <c r="G65" s="71">
        <f t="shared" ref="G65" si="63">IF(E64&lt;0.125,"NA",IF(0.125&lt;=E64,(0.2*E64)))</f>
        <v>4.6200000000000005E-2</v>
      </c>
      <c r="H65" s="72"/>
      <c r="I65" s="73"/>
      <c r="J65" s="74">
        <v>0.5</v>
      </c>
      <c r="K65" s="191"/>
      <c r="L65" s="191"/>
      <c r="M65" s="191"/>
      <c r="N65" s="191"/>
      <c r="O65" s="191"/>
      <c r="P65" s="196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s="64" customFormat="1" ht="13.5" customHeight="1" x14ac:dyDescent="0.25">
      <c r="A66" s="54"/>
      <c r="B66" s="211"/>
      <c r="C66" s="191"/>
      <c r="D66" s="191"/>
      <c r="E66" s="191"/>
      <c r="F66" s="70" t="s">
        <v>87</v>
      </c>
      <c r="G66" s="71">
        <f t="shared" ref="G66" si="64">+E64*0.4</f>
        <v>9.240000000000001E-2</v>
      </c>
      <c r="H66" s="72"/>
      <c r="I66" s="73"/>
      <c r="J66" s="74">
        <v>0.63300000000000001</v>
      </c>
      <c r="K66" s="191"/>
      <c r="L66" s="191"/>
      <c r="M66" s="191"/>
      <c r="N66" s="191"/>
      <c r="O66" s="191"/>
      <c r="P66" s="196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s="64" customFormat="1" ht="13.5" customHeight="1" x14ac:dyDescent="0.25">
      <c r="A67" s="54"/>
      <c r="B67" s="211"/>
      <c r="C67" s="191"/>
      <c r="D67" s="191"/>
      <c r="E67" s="191"/>
      <c r="F67" s="70" t="s">
        <v>88</v>
      </c>
      <c r="G67" s="71">
        <f t="shared" ref="G67" si="65">IF(E64&lt;0.125,"NA",IF(0.125&lt;=E64,(0.8*E64)))</f>
        <v>0.18480000000000002</v>
      </c>
      <c r="H67" s="72"/>
      <c r="I67" s="73"/>
      <c r="J67" s="74">
        <v>0.71</v>
      </c>
      <c r="K67" s="191"/>
      <c r="L67" s="191"/>
      <c r="M67" s="191"/>
      <c r="N67" s="191"/>
      <c r="O67" s="191"/>
      <c r="P67" s="196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s="64" customFormat="1" ht="13.5" customHeight="1" thickBot="1" x14ac:dyDescent="0.3">
      <c r="A68" s="54"/>
      <c r="B68" s="212"/>
      <c r="C68" s="192"/>
      <c r="D68" s="192"/>
      <c r="E68" s="192"/>
      <c r="F68" s="75" t="s">
        <v>89</v>
      </c>
      <c r="G68" s="76">
        <f t="shared" ref="G68" si="66">+E64</f>
        <v>0.23100000000000001</v>
      </c>
      <c r="H68" s="77"/>
      <c r="I68" s="78"/>
      <c r="J68" s="79">
        <v>0.70099999999999996</v>
      </c>
      <c r="K68" s="192"/>
      <c r="L68" s="192"/>
      <c r="M68" s="192"/>
      <c r="N68" s="192"/>
      <c r="O68" s="192"/>
      <c r="P68" s="197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s="64" customFormat="1" ht="13.5" customHeight="1" x14ac:dyDescent="0.25">
      <c r="A69" s="54"/>
      <c r="B69" s="210">
        <f>+B64+1</f>
        <v>11</v>
      </c>
      <c r="C69" s="213">
        <f>+C64+$N$12</f>
        <v>5</v>
      </c>
      <c r="D69" s="190">
        <v>0.20200000000000001</v>
      </c>
      <c r="E69" s="190">
        <v>0.17699999999999999</v>
      </c>
      <c r="F69" s="65" t="s">
        <v>85</v>
      </c>
      <c r="G69" s="66">
        <v>0</v>
      </c>
      <c r="H69" s="67"/>
      <c r="I69" s="68"/>
      <c r="J69" s="69">
        <v>0.53800000000000003</v>
      </c>
      <c r="K69" s="190">
        <f t="shared" ref="K69" si="67">+IF(E69&lt;=0.12,(J71),(IF(E69&lt;0.16,((J70+2*J71+J72)/4),IF(E69&gt;=0.16,((J69+3*J70+2*J71+3*J72+J73)/10)))))</f>
        <v>0.54879999999999995</v>
      </c>
      <c r="L69" s="190">
        <f t="shared" ref="L69" si="68">ROUND(+(D64+D69)/2*(C69-C64),3)</f>
        <v>0.08</v>
      </c>
      <c r="M69" s="190">
        <f t="shared" ref="M69" si="69">ROUND(+K69*L69,4)</f>
        <v>4.3900000000000002E-2</v>
      </c>
      <c r="N69" s="193">
        <f t="shared" ref="N69" si="70">ROUND(+M69/$M$113*100,2)</f>
        <v>6.2</v>
      </c>
      <c r="O69" s="194"/>
      <c r="P69" s="195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s="64" customFormat="1" ht="13.5" customHeight="1" x14ac:dyDescent="0.25">
      <c r="A70" s="54"/>
      <c r="B70" s="211"/>
      <c r="C70" s="191"/>
      <c r="D70" s="191"/>
      <c r="E70" s="191"/>
      <c r="F70" s="70" t="s">
        <v>86</v>
      </c>
      <c r="G70" s="71">
        <f t="shared" ref="G70" si="71">IF(E69&lt;0.125,"NA",IF(0.125&lt;=E69,(0.2*E69)))</f>
        <v>3.5400000000000001E-2</v>
      </c>
      <c r="H70" s="72"/>
      <c r="I70" s="73"/>
      <c r="J70" s="74">
        <v>0.52800000000000002</v>
      </c>
      <c r="K70" s="191"/>
      <c r="L70" s="191"/>
      <c r="M70" s="191"/>
      <c r="N70" s="191"/>
      <c r="O70" s="191"/>
      <c r="P70" s="196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s="64" customFormat="1" ht="13.5" customHeight="1" x14ac:dyDescent="0.25">
      <c r="A71" s="54"/>
      <c r="B71" s="211"/>
      <c r="C71" s="191"/>
      <c r="D71" s="191"/>
      <c r="E71" s="191"/>
      <c r="F71" s="70" t="s">
        <v>87</v>
      </c>
      <c r="G71" s="71">
        <f t="shared" ref="G71" si="72">+E69*0.4</f>
        <v>7.0800000000000002E-2</v>
      </c>
      <c r="H71" s="72"/>
      <c r="I71" s="73"/>
      <c r="J71" s="74">
        <v>0.50800000000000001</v>
      </c>
      <c r="K71" s="191"/>
      <c r="L71" s="191"/>
      <c r="M71" s="191"/>
      <c r="N71" s="191"/>
      <c r="O71" s="191"/>
      <c r="P71" s="196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s="64" customFormat="1" ht="13.5" customHeight="1" x14ac:dyDescent="0.25">
      <c r="A72" s="54"/>
      <c r="B72" s="211"/>
      <c r="C72" s="191"/>
      <c r="D72" s="191"/>
      <c r="E72" s="191"/>
      <c r="F72" s="70" t="s">
        <v>88</v>
      </c>
      <c r="G72" s="71">
        <f t="shared" ref="G72" si="73">IF(E69&lt;0.125,"NA",IF(0.125&lt;=E69,(0.8*E69)))</f>
        <v>0.1416</v>
      </c>
      <c r="H72" s="72"/>
      <c r="I72" s="73"/>
      <c r="J72" s="74">
        <v>0.58699999999999997</v>
      </c>
      <c r="K72" s="191"/>
      <c r="L72" s="191"/>
      <c r="M72" s="191"/>
      <c r="N72" s="191"/>
      <c r="O72" s="191"/>
      <c r="P72" s="196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s="64" customFormat="1" ht="13.5" customHeight="1" thickBot="1" x14ac:dyDescent="0.3">
      <c r="A73" s="54"/>
      <c r="B73" s="212"/>
      <c r="C73" s="192"/>
      <c r="D73" s="192"/>
      <c r="E73" s="192"/>
      <c r="F73" s="75" t="s">
        <v>89</v>
      </c>
      <c r="G73" s="76">
        <f t="shared" ref="G73" si="74">+E69</f>
        <v>0.17699999999999999</v>
      </c>
      <c r="H73" s="77"/>
      <c r="I73" s="78"/>
      <c r="J73" s="79">
        <v>0.58899999999999997</v>
      </c>
      <c r="K73" s="192"/>
      <c r="L73" s="192"/>
      <c r="M73" s="192"/>
      <c r="N73" s="192"/>
      <c r="O73" s="192"/>
      <c r="P73" s="197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s="64" customFormat="1" ht="13.5" customHeight="1" x14ac:dyDescent="0.25">
      <c r="A74" s="54"/>
      <c r="B74" s="210">
        <f>+B69+1</f>
        <v>12</v>
      </c>
      <c r="C74" s="213">
        <f>+C69+$N$12</f>
        <v>5.4</v>
      </c>
      <c r="D74" s="190">
        <v>0.14099999999999999</v>
      </c>
      <c r="E74" s="190">
        <v>0.159</v>
      </c>
      <c r="F74" s="65" t="s">
        <v>85</v>
      </c>
      <c r="G74" s="66">
        <v>0</v>
      </c>
      <c r="H74" s="67"/>
      <c r="I74" s="68"/>
      <c r="J74" s="69">
        <v>0.38800000000000001</v>
      </c>
      <c r="K74" s="190">
        <f t="shared" ref="K74" si="75">+IF(E74&lt;=0.12,(J76),(IF(E74&lt;0.16,((J75+2*J76+J77)/4),IF(E74&gt;=0.16,((J74+3*J75+2*J76+3*J77+J78)/10)))))</f>
        <v>0.52324999999999999</v>
      </c>
      <c r="L74" s="190">
        <f t="shared" ref="L74" si="76">ROUND(+(D69+D74)/2*(C74-C69),3)</f>
        <v>6.9000000000000006E-2</v>
      </c>
      <c r="M74" s="190">
        <f t="shared" ref="M74" si="77">ROUND(+K74*L74,4)</f>
        <v>3.61E-2</v>
      </c>
      <c r="N74" s="193">
        <f t="shared" ref="N74" si="78">ROUND(+M74/$M$113*100,2)</f>
        <v>5.0999999999999996</v>
      </c>
      <c r="O74" s="194"/>
      <c r="P74" s="195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s="64" customFormat="1" ht="13.5" customHeight="1" x14ac:dyDescent="0.25">
      <c r="A75" s="54"/>
      <c r="B75" s="211"/>
      <c r="C75" s="191"/>
      <c r="D75" s="191"/>
      <c r="E75" s="191"/>
      <c r="F75" s="70" t="s">
        <v>86</v>
      </c>
      <c r="G75" s="71">
        <f t="shared" ref="G75" si="79">IF(E74&lt;0.125,"NA",IF(0.125&lt;=E74,(0.2*E74)))</f>
        <v>3.1800000000000002E-2</v>
      </c>
      <c r="H75" s="72"/>
      <c r="I75" s="73"/>
      <c r="J75" s="74">
        <v>0.42899999999999999</v>
      </c>
      <c r="K75" s="191"/>
      <c r="L75" s="191"/>
      <c r="M75" s="191"/>
      <c r="N75" s="191"/>
      <c r="O75" s="191"/>
      <c r="P75" s="196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s="64" customFormat="1" ht="13.5" customHeight="1" x14ac:dyDescent="0.25">
      <c r="A76" s="54"/>
      <c r="B76" s="211"/>
      <c r="C76" s="191"/>
      <c r="D76" s="191"/>
      <c r="E76" s="191"/>
      <c r="F76" s="70" t="s">
        <v>87</v>
      </c>
      <c r="G76" s="71">
        <f t="shared" ref="G76" si="80">+E74*0.4</f>
        <v>6.3600000000000004E-2</v>
      </c>
      <c r="H76" s="72"/>
      <c r="I76" s="73"/>
      <c r="J76" s="74">
        <v>0.51800000000000002</v>
      </c>
      <c r="K76" s="191"/>
      <c r="L76" s="191"/>
      <c r="M76" s="191"/>
      <c r="N76" s="191"/>
      <c r="O76" s="191"/>
      <c r="P76" s="196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s="64" customFormat="1" ht="13.5" customHeight="1" x14ac:dyDescent="0.25">
      <c r="A77" s="54"/>
      <c r="B77" s="211"/>
      <c r="C77" s="191"/>
      <c r="D77" s="191"/>
      <c r="E77" s="191"/>
      <c r="F77" s="70" t="s">
        <v>88</v>
      </c>
      <c r="G77" s="71">
        <f t="shared" ref="G77" si="81">IF(E74&lt;0.125,"NA",IF(0.125&lt;=E74,(0.8*E74)))</f>
        <v>0.12720000000000001</v>
      </c>
      <c r="H77" s="72"/>
      <c r="I77" s="73"/>
      <c r="J77" s="74">
        <v>0.628</v>
      </c>
      <c r="K77" s="191"/>
      <c r="L77" s="191"/>
      <c r="M77" s="191"/>
      <c r="N77" s="191"/>
      <c r="O77" s="191"/>
      <c r="P77" s="196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s="64" customFormat="1" ht="13.5" customHeight="1" thickBot="1" x14ac:dyDescent="0.3">
      <c r="A78" s="54"/>
      <c r="B78" s="212"/>
      <c r="C78" s="192"/>
      <c r="D78" s="192"/>
      <c r="E78" s="192"/>
      <c r="F78" s="75" t="s">
        <v>89</v>
      </c>
      <c r="G78" s="76">
        <f t="shared" ref="G78" si="82">+E74</f>
        <v>0.159</v>
      </c>
      <c r="H78" s="77"/>
      <c r="I78" s="78"/>
      <c r="J78" s="79">
        <v>0.628</v>
      </c>
      <c r="K78" s="192"/>
      <c r="L78" s="192"/>
      <c r="M78" s="192"/>
      <c r="N78" s="192"/>
      <c r="O78" s="192"/>
      <c r="P78" s="197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s="64" customFormat="1" ht="13.5" customHeight="1" x14ac:dyDescent="0.25">
      <c r="A79" s="54"/>
      <c r="B79" s="210">
        <f t="shared" ref="B79" si="83">+B74+1</f>
        <v>13</v>
      </c>
      <c r="C79" s="213">
        <f>+C74+$N$12</f>
        <v>5.8000000000000007</v>
      </c>
      <c r="D79" s="190">
        <v>0.13</v>
      </c>
      <c r="E79" s="190">
        <v>0.124</v>
      </c>
      <c r="F79" s="65" t="s">
        <v>85</v>
      </c>
      <c r="G79" s="66">
        <v>0</v>
      </c>
      <c r="H79" s="67"/>
      <c r="I79" s="68"/>
      <c r="J79" s="69">
        <v>0.45200000000000001</v>
      </c>
      <c r="K79" s="190">
        <f t="shared" ref="K79" si="84">+IF(E79&lt;=0.12,(J81),(IF(E79&lt;0.16,((J80+2*J81+J82)/4),IF(E79&gt;=0.16,((J79+3*J80+2*J81+3*J82+J83)/10)))))</f>
        <v>0.68225000000000002</v>
      </c>
      <c r="L79" s="190">
        <f t="shared" ref="L79" si="85">ROUND(+(D74+D79)/2*(C79-C74),3)</f>
        <v>5.3999999999999999E-2</v>
      </c>
      <c r="M79" s="190">
        <f t="shared" ref="M79" si="86">ROUND(+K79*L79,4)</f>
        <v>3.6799999999999999E-2</v>
      </c>
      <c r="N79" s="193">
        <f t="shared" ref="N79" si="87">ROUND(+M79/$M$113*100,2)</f>
        <v>5.2</v>
      </c>
      <c r="O79" s="194"/>
      <c r="P79" s="195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s="64" customFormat="1" ht="13.5" customHeight="1" x14ac:dyDescent="0.25">
      <c r="A80" s="54"/>
      <c r="B80" s="211"/>
      <c r="C80" s="191"/>
      <c r="D80" s="191"/>
      <c r="E80" s="191"/>
      <c r="F80" s="70" t="s">
        <v>86</v>
      </c>
      <c r="G80" s="71" t="str">
        <f t="shared" ref="G80" si="88">IF(E79&lt;0.125,"NA",IF(0.125&lt;=E79,(0.2*E79)))</f>
        <v>NA</v>
      </c>
      <c r="H80" s="72"/>
      <c r="I80" s="73"/>
      <c r="J80" s="74">
        <v>0.61</v>
      </c>
      <c r="K80" s="191"/>
      <c r="L80" s="191"/>
      <c r="M80" s="191"/>
      <c r="N80" s="191"/>
      <c r="O80" s="191"/>
      <c r="P80" s="196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s="64" customFormat="1" ht="13.5" customHeight="1" x14ac:dyDescent="0.25">
      <c r="A81" s="54"/>
      <c r="B81" s="211"/>
      <c r="C81" s="191"/>
      <c r="D81" s="191"/>
      <c r="E81" s="191"/>
      <c r="F81" s="70" t="s">
        <v>87</v>
      </c>
      <c r="G81" s="71">
        <f t="shared" ref="G81" si="89">+E79*0.4</f>
        <v>4.9600000000000005E-2</v>
      </c>
      <c r="H81" s="72"/>
      <c r="I81" s="73"/>
      <c r="J81" s="74">
        <v>0.56100000000000005</v>
      </c>
      <c r="K81" s="191"/>
      <c r="L81" s="191"/>
      <c r="M81" s="191"/>
      <c r="N81" s="191"/>
      <c r="O81" s="191"/>
      <c r="P81" s="196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s="64" customFormat="1" ht="13.5" customHeight="1" x14ac:dyDescent="0.25">
      <c r="A82" s="54"/>
      <c r="B82" s="211"/>
      <c r="C82" s="191"/>
      <c r="D82" s="191"/>
      <c r="E82" s="191"/>
      <c r="F82" s="70" t="s">
        <v>88</v>
      </c>
      <c r="G82" s="71" t="str">
        <f t="shared" ref="G82" si="90">IF(E79&lt;0.125,"NA",IF(0.125&lt;=E79,(0.8*E79)))</f>
        <v>NA</v>
      </c>
      <c r="H82" s="72"/>
      <c r="I82" s="73"/>
      <c r="J82" s="74">
        <v>0.997</v>
      </c>
      <c r="K82" s="191"/>
      <c r="L82" s="191"/>
      <c r="M82" s="191"/>
      <c r="N82" s="191"/>
      <c r="O82" s="191"/>
      <c r="P82" s="196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s="64" customFormat="1" ht="13.5" customHeight="1" thickBot="1" x14ac:dyDescent="0.3">
      <c r="A83" s="54"/>
      <c r="B83" s="212"/>
      <c r="C83" s="192"/>
      <c r="D83" s="192"/>
      <c r="E83" s="192"/>
      <c r="F83" s="75" t="s">
        <v>89</v>
      </c>
      <c r="G83" s="76">
        <f t="shared" ref="G83" si="91">+E79</f>
        <v>0.124</v>
      </c>
      <c r="H83" s="77"/>
      <c r="I83" s="78"/>
      <c r="J83" s="79">
        <v>0.52100000000000002</v>
      </c>
      <c r="K83" s="192"/>
      <c r="L83" s="192"/>
      <c r="M83" s="192"/>
      <c r="N83" s="192"/>
      <c r="O83" s="192"/>
      <c r="P83" s="197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s="64" customFormat="1" ht="13.5" customHeight="1" x14ac:dyDescent="0.25">
      <c r="A84" s="54"/>
      <c r="B84" s="210">
        <f t="shared" ref="B84" si="92">+B79+1</f>
        <v>14</v>
      </c>
      <c r="C84" s="213">
        <f>+C79+$N$12</f>
        <v>6.2000000000000011</v>
      </c>
      <c r="D84" s="190">
        <v>0.14000000000000001</v>
      </c>
      <c r="E84" s="190">
        <v>0.12</v>
      </c>
      <c r="F84" s="65" t="s">
        <v>85</v>
      </c>
      <c r="G84" s="66">
        <v>0</v>
      </c>
      <c r="H84" s="67"/>
      <c r="I84" s="68"/>
      <c r="J84" s="69">
        <v>0.52600000000000002</v>
      </c>
      <c r="K84" s="190">
        <f t="shared" ref="K84" si="93">+IF(E84&lt;=0.12,(J86),(IF(E84&lt;0.16,((J85+2*J86+J87)/4),IF(E84&gt;=0.16,((J84+3*J85+2*J86+3*J87+J88)/10)))))</f>
        <v>0.58699999999999997</v>
      </c>
      <c r="L84" s="190">
        <f t="shared" ref="L84" si="94">ROUND(+(D79+D84)/2*(C84-C79),3)</f>
        <v>5.3999999999999999E-2</v>
      </c>
      <c r="M84" s="190">
        <f t="shared" ref="M84" si="95">ROUND(+K84*L84,4)</f>
        <v>3.1699999999999999E-2</v>
      </c>
      <c r="N84" s="193">
        <f t="shared" ref="N84" si="96">ROUND(+M84/$M$113*100,2)</f>
        <v>4.4800000000000004</v>
      </c>
      <c r="O84" s="194"/>
      <c r="P84" s="195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s="64" customFormat="1" ht="13.5" customHeight="1" x14ac:dyDescent="0.25">
      <c r="A85" s="54"/>
      <c r="B85" s="211"/>
      <c r="C85" s="191"/>
      <c r="D85" s="191"/>
      <c r="E85" s="191"/>
      <c r="F85" s="70" t="s">
        <v>86</v>
      </c>
      <c r="G85" s="71" t="str">
        <f t="shared" ref="G85" si="97">IF(E84&lt;0.125,"NA",IF(0.125&lt;=E84,(0.2*E84)))</f>
        <v>NA</v>
      </c>
      <c r="H85" s="72"/>
      <c r="I85" s="73"/>
      <c r="J85" s="74">
        <v>0.53</v>
      </c>
      <c r="K85" s="191"/>
      <c r="L85" s="191"/>
      <c r="M85" s="191"/>
      <c r="N85" s="191"/>
      <c r="O85" s="191"/>
      <c r="P85" s="196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s="64" customFormat="1" ht="13.5" customHeight="1" x14ac:dyDescent="0.25">
      <c r="A86" s="54"/>
      <c r="B86" s="211"/>
      <c r="C86" s="191"/>
      <c r="D86" s="191"/>
      <c r="E86" s="191"/>
      <c r="F86" s="70" t="s">
        <v>87</v>
      </c>
      <c r="G86" s="71">
        <f t="shared" ref="G86" si="98">+E84*0.4</f>
        <v>4.8000000000000001E-2</v>
      </c>
      <c r="H86" s="72"/>
      <c r="I86" s="73"/>
      <c r="J86" s="74">
        <v>0.58699999999999997</v>
      </c>
      <c r="K86" s="191"/>
      <c r="L86" s="191"/>
      <c r="M86" s="191"/>
      <c r="N86" s="191"/>
      <c r="O86" s="191"/>
      <c r="P86" s="196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s="64" customFormat="1" ht="13.5" customHeight="1" x14ac:dyDescent="0.25">
      <c r="A87" s="54"/>
      <c r="B87" s="211"/>
      <c r="C87" s="191"/>
      <c r="D87" s="191"/>
      <c r="E87" s="191"/>
      <c r="F87" s="70" t="s">
        <v>88</v>
      </c>
      <c r="G87" s="71" t="str">
        <f t="shared" ref="G87" si="99">IF(E84&lt;0.125,"NA",IF(0.125&lt;=E84,(0.8*E84)))</f>
        <v>NA</v>
      </c>
      <c r="H87" s="72"/>
      <c r="I87" s="73"/>
      <c r="J87" s="74">
        <v>0.59099999999999997</v>
      </c>
      <c r="K87" s="191"/>
      <c r="L87" s="191"/>
      <c r="M87" s="191"/>
      <c r="N87" s="191"/>
      <c r="O87" s="191"/>
      <c r="P87" s="196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s="64" customFormat="1" ht="13.5" customHeight="1" thickBot="1" x14ac:dyDescent="0.3">
      <c r="A88" s="54"/>
      <c r="B88" s="212"/>
      <c r="C88" s="192"/>
      <c r="D88" s="192"/>
      <c r="E88" s="192"/>
      <c r="F88" s="75" t="s">
        <v>89</v>
      </c>
      <c r="G88" s="76">
        <f t="shared" ref="G88" si="100">+E84</f>
        <v>0.12</v>
      </c>
      <c r="H88" s="77"/>
      <c r="I88" s="78"/>
      <c r="J88" s="79">
        <v>0.54600000000000004</v>
      </c>
      <c r="K88" s="192"/>
      <c r="L88" s="192"/>
      <c r="M88" s="192"/>
      <c r="N88" s="192"/>
      <c r="O88" s="192"/>
      <c r="P88" s="197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s="64" customFormat="1" ht="13.5" customHeight="1" x14ac:dyDescent="0.25">
      <c r="A89" s="54"/>
      <c r="B89" s="210">
        <f t="shared" ref="B89" si="101">+B84+1</f>
        <v>15</v>
      </c>
      <c r="C89" s="213">
        <f>+C84+0.3</f>
        <v>6.5000000000000009</v>
      </c>
      <c r="D89" s="190">
        <v>0</v>
      </c>
      <c r="E89" s="190">
        <v>0.19</v>
      </c>
      <c r="F89" s="65" t="s">
        <v>85</v>
      </c>
      <c r="G89" s="66">
        <v>0</v>
      </c>
      <c r="H89" s="67"/>
      <c r="I89" s="68"/>
      <c r="J89" s="69">
        <v>0.318</v>
      </c>
      <c r="K89" s="190">
        <f t="shared" ref="K89" si="102">+IF(E89&lt;=0.12,(J91),(IF(E89&lt;0.16,((J90+2*J91+J92)/4),IF(E89&gt;=0.16,((J89+3*J90+2*J91+3*J92+J93)/10)))))</f>
        <v>0.39410000000000001</v>
      </c>
      <c r="L89" s="190">
        <f t="shared" ref="L89" si="103">ROUND(+(D84+D89)/2*(C89-C84),3)</f>
        <v>2.1000000000000001E-2</v>
      </c>
      <c r="M89" s="190">
        <f t="shared" ref="M89" si="104">ROUND(+K89*L89,4)</f>
        <v>8.3000000000000001E-3</v>
      </c>
      <c r="N89" s="193">
        <f t="shared" ref="N89" si="105">ROUND(+M89/$M$113*100,2)</f>
        <v>1.17</v>
      </c>
      <c r="O89" s="194"/>
      <c r="P89" s="195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s="64" customFormat="1" ht="13.5" customHeight="1" x14ac:dyDescent="0.25">
      <c r="A90" s="54"/>
      <c r="B90" s="211"/>
      <c r="C90" s="191"/>
      <c r="D90" s="191"/>
      <c r="E90" s="191"/>
      <c r="F90" s="70" t="s">
        <v>86</v>
      </c>
      <c r="G90" s="71">
        <f t="shared" ref="G90" si="106">IF(E89&lt;0.125,"NA",IF(0.125&lt;=E89,(0.2*E89)))</f>
        <v>3.8000000000000006E-2</v>
      </c>
      <c r="H90" s="72"/>
      <c r="I90" s="73"/>
      <c r="J90" s="74">
        <v>0.27300000000000002</v>
      </c>
      <c r="K90" s="191"/>
      <c r="L90" s="191"/>
      <c r="M90" s="191"/>
      <c r="N90" s="191"/>
      <c r="O90" s="191"/>
      <c r="P90" s="196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s="64" customFormat="1" ht="13.5" customHeight="1" x14ac:dyDescent="0.25">
      <c r="A91" s="54"/>
      <c r="B91" s="211"/>
      <c r="C91" s="191"/>
      <c r="D91" s="191"/>
      <c r="E91" s="191"/>
      <c r="F91" s="70" t="s">
        <v>87</v>
      </c>
      <c r="G91" s="71">
        <f t="shared" ref="G91" si="107">+E89*0.4</f>
        <v>7.6000000000000012E-2</v>
      </c>
      <c r="H91" s="72"/>
      <c r="I91" s="73"/>
      <c r="J91" s="74">
        <v>0.30099999999999999</v>
      </c>
      <c r="K91" s="191"/>
      <c r="L91" s="191"/>
      <c r="M91" s="191"/>
      <c r="N91" s="191"/>
      <c r="O91" s="191"/>
      <c r="P91" s="196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s="64" customFormat="1" ht="13.5" customHeight="1" x14ac:dyDescent="0.25">
      <c r="A92" s="54"/>
      <c r="B92" s="211"/>
      <c r="C92" s="191"/>
      <c r="D92" s="191"/>
      <c r="E92" s="191"/>
      <c r="F92" s="70" t="s">
        <v>88</v>
      </c>
      <c r="G92" s="71">
        <f t="shared" ref="G92" si="108">IF(E89&lt;0.125,"NA",IF(0.125&lt;=E89,(0.8*E89)))</f>
        <v>0.15200000000000002</v>
      </c>
      <c r="H92" s="72"/>
      <c r="I92" s="73"/>
      <c r="J92" s="74">
        <v>0.54900000000000004</v>
      </c>
      <c r="K92" s="191"/>
      <c r="L92" s="191"/>
      <c r="M92" s="191"/>
      <c r="N92" s="191"/>
      <c r="O92" s="191"/>
      <c r="P92" s="196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s="64" customFormat="1" ht="13.5" customHeight="1" thickBot="1" x14ac:dyDescent="0.3">
      <c r="A93" s="54"/>
      <c r="B93" s="212"/>
      <c r="C93" s="192"/>
      <c r="D93" s="192"/>
      <c r="E93" s="192"/>
      <c r="F93" s="75" t="s">
        <v>89</v>
      </c>
      <c r="G93" s="76">
        <f t="shared" ref="G93" si="109">+E89</f>
        <v>0.19</v>
      </c>
      <c r="H93" s="77"/>
      <c r="I93" s="78"/>
      <c r="J93" s="79">
        <v>0.55500000000000005</v>
      </c>
      <c r="K93" s="192"/>
      <c r="L93" s="192"/>
      <c r="M93" s="192"/>
      <c r="N93" s="192"/>
      <c r="O93" s="192"/>
      <c r="P93" s="197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s="3" customFormat="1" ht="14.1" customHeight="1" x14ac:dyDescent="0.2">
      <c r="B94" s="198" t="s">
        <v>28</v>
      </c>
      <c r="C94" s="201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3"/>
    </row>
    <row r="95" spans="1:26" s="3" customFormat="1" ht="14.1" customHeight="1" x14ac:dyDescent="0.2">
      <c r="B95" s="199"/>
      <c r="C95" s="204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6"/>
    </row>
    <row r="96" spans="1:26" s="3" customFormat="1" ht="14.1" customHeight="1" x14ac:dyDescent="0.2">
      <c r="B96" s="199"/>
      <c r="C96" s="204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6"/>
    </row>
    <row r="97" spans="1:26" s="3" customFormat="1" ht="14.1" customHeight="1" x14ac:dyDescent="0.2">
      <c r="B97" s="199"/>
      <c r="C97" s="204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6"/>
    </row>
    <row r="98" spans="1:26" s="3" customFormat="1" ht="14.1" customHeight="1" x14ac:dyDescent="0.2">
      <c r="B98" s="199"/>
      <c r="C98" s="204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6"/>
    </row>
    <row r="99" spans="1:26" s="3" customFormat="1" ht="14.1" customHeight="1" thickBot="1" x14ac:dyDescent="0.25">
      <c r="B99" s="200"/>
      <c r="C99" s="207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9"/>
    </row>
    <row r="100" spans="1:26" s="3" customFormat="1" ht="28.5" customHeight="1" thickBot="1" x14ac:dyDescent="0.25">
      <c r="A100" s="80"/>
      <c r="B100" s="81" t="s">
        <v>90</v>
      </c>
      <c r="C100" s="177" t="s">
        <v>91</v>
      </c>
      <c r="D100" s="177"/>
      <c r="E100" s="177"/>
      <c r="F100" s="177"/>
      <c r="G100" s="177"/>
      <c r="H100" s="178"/>
      <c r="I100" s="179"/>
      <c r="J100" s="81" t="s">
        <v>92</v>
      </c>
      <c r="K100" s="177" t="s">
        <v>93</v>
      </c>
      <c r="L100" s="177"/>
      <c r="M100" s="177"/>
      <c r="N100" s="177"/>
      <c r="O100" s="177"/>
      <c r="P100" s="178"/>
    </row>
    <row r="101" spans="1:26" s="3" customFormat="1" ht="28.5" customHeight="1" thickBot="1" x14ac:dyDescent="0.25">
      <c r="B101" s="82" t="s">
        <v>94</v>
      </c>
      <c r="C101" s="181" t="s">
        <v>95</v>
      </c>
      <c r="D101" s="181"/>
      <c r="E101" s="181"/>
      <c r="F101" s="181"/>
      <c r="G101" s="181"/>
      <c r="H101" s="182"/>
      <c r="I101" s="180"/>
      <c r="J101" s="82" t="s">
        <v>96</v>
      </c>
      <c r="K101" s="181" t="s">
        <v>97</v>
      </c>
      <c r="L101" s="181"/>
      <c r="M101" s="181"/>
      <c r="N101" s="181"/>
      <c r="O101" s="181"/>
      <c r="P101" s="182"/>
    </row>
    <row r="102" spans="1:26" s="19" customFormat="1" ht="13.5" customHeight="1" x14ac:dyDescent="0.25">
      <c r="A102" s="83"/>
      <c r="B102" s="183">
        <f>+B49</f>
        <v>7</v>
      </c>
      <c r="C102" s="186">
        <f>+C44</f>
        <v>2.9999999999999996</v>
      </c>
      <c r="D102" s="188">
        <f>+D44</f>
        <v>0.316</v>
      </c>
      <c r="E102" s="188">
        <f>+E49</f>
        <v>0.35899999999999999</v>
      </c>
      <c r="F102" s="84" t="s">
        <v>85</v>
      </c>
      <c r="G102" s="84">
        <v>0.01</v>
      </c>
      <c r="H102" s="85"/>
      <c r="I102" s="86"/>
      <c r="J102" s="87">
        <v>0.154</v>
      </c>
      <c r="K102" s="189">
        <f>+AVERAGE(J102:J112)</f>
        <v>0.51781818181818184</v>
      </c>
      <c r="L102" s="168">
        <f>ROUND(+(D102+D107)/2*(C107-C102),3)</f>
        <v>0.14000000000000001</v>
      </c>
      <c r="M102" s="171">
        <f>ROUND(+K102*L102,4)</f>
        <v>7.2499999999999995E-2</v>
      </c>
      <c r="N102" s="168">
        <f>ROUND(+M102/$M$113*100,2)</f>
        <v>10.25</v>
      </c>
      <c r="O102" s="168"/>
      <c r="P102" s="172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s="19" customFormat="1" ht="13.5" customHeight="1" x14ac:dyDescent="0.25">
      <c r="A103" s="83"/>
      <c r="B103" s="184"/>
      <c r="C103" s="169"/>
      <c r="D103" s="169"/>
      <c r="E103" s="169"/>
      <c r="F103" s="89" t="s">
        <v>98</v>
      </c>
      <c r="G103" s="90">
        <f>+E102*0.1</f>
        <v>3.5900000000000001E-2</v>
      </c>
      <c r="H103" s="91"/>
      <c r="I103" s="92"/>
      <c r="J103" s="93">
        <v>0.27700000000000002</v>
      </c>
      <c r="K103" s="169"/>
      <c r="L103" s="169"/>
      <c r="M103" s="169"/>
      <c r="N103" s="169"/>
      <c r="O103" s="169"/>
      <c r="P103" s="173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s="19" customFormat="1" ht="13.5" customHeight="1" x14ac:dyDescent="0.25">
      <c r="A104" s="83"/>
      <c r="B104" s="184"/>
      <c r="C104" s="169"/>
      <c r="D104" s="169"/>
      <c r="E104" s="169"/>
      <c r="F104" s="89" t="s">
        <v>99</v>
      </c>
      <c r="G104" s="90">
        <f>+E102*0.2</f>
        <v>7.1800000000000003E-2</v>
      </c>
      <c r="H104" s="91"/>
      <c r="I104" s="92"/>
      <c r="J104" s="93">
        <v>0.49299999999999999</v>
      </c>
      <c r="K104" s="169"/>
      <c r="L104" s="169"/>
      <c r="M104" s="169"/>
      <c r="N104" s="169"/>
      <c r="O104" s="169"/>
      <c r="P104" s="173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s="19" customFormat="1" ht="13.5" customHeight="1" x14ac:dyDescent="0.25">
      <c r="A105" s="83"/>
      <c r="B105" s="184"/>
      <c r="C105" s="169"/>
      <c r="D105" s="169"/>
      <c r="E105" s="169"/>
      <c r="F105" s="89" t="s">
        <v>100</v>
      </c>
      <c r="G105" s="90">
        <f>+E102*0.3</f>
        <v>0.10769999999999999</v>
      </c>
      <c r="H105" s="91"/>
      <c r="I105" s="92"/>
      <c r="J105" s="93">
        <v>0.47499999999999998</v>
      </c>
      <c r="K105" s="169"/>
      <c r="L105" s="169"/>
      <c r="M105" s="169"/>
      <c r="N105" s="169"/>
      <c r="O105" s="169"/>
      <c r="P105" s="173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s="19" customFormat="1" ht="13.5" customHeight="1" x14ac:dyDescent="0.25">
      <c r="A106" s="83"/>
      <c r="B106" s="184"/>
      <c r="C106" s="187"/>
      <c r="D106" s="187"/>
      <c r="E106" s="169"/>
      <c r="F106" s="89" t="s">
        <v>101</v>
      </c>
      <c r="G106" s="90">
        <f>+E102*0.4</f>
        <v>0.14360000000000001</v>
      </c>
      <c r="H106" s="91"/>
      <c r="I106" s="92"/>
      <c r="J106" s="93">
        <v>0.442</v>
      </c>
      <c r="K106" s="169"/>
      <c r="L106" s="169"/>
      <c r="M106" s="169"/>
      <c r="N106" s="169"/>
      <c r="O106" s="169"/>
      <c r="P106" s="173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s="19" customFormat="1" ht="13.5" customHeight="1" x14ac:dyDescent="0.25">
      <c r="A107" s="83"/>
      <c r="B107" s="184"/>
      <c r="C107" s="175">
        <f>+C49</f>
        <v>3.3999999999999995</v>
      </c>
      <c r="D107" s="176">
        <f>+D49</f>
        <v>0.38200000000000001</v>
      </c>
      <c r="E107" s="169"/>
      <c r="F107" s="89" t="s">
        <v>29</v>
      </c>
      <c r="G107" s="90">
        <f>+E102*0.5</f>
        <v>0.17949999999999999</v>
      </c>
      <c r="H107" s="91"/>
      <c r="I107" s="92"/>
      <c r="J107" s="93">
        <v>0.51300000000000001</v>
      </c>
      <c r="K107" s="169"/>
      <c r="L107" s="169"/>
      <c r="M107" s="169"/>
      <c r="N107" s="169"/>
      <c r="O107" s="169"/>
      <c r="P107" s="173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s="19" customFormat="1" ht="13.5" customHeight="1" x14ac:dyDescent="0.25">
      <c r="A108" s="83"/>
      <c r="B108" s="184"/>
      <c r="C108" s="169"/>
      <c r="D108" s="169"/>
      <c r="E108" s="169"/>
      <c r="F108" s="89" t="s">
        <v>102</v>
      </c>
      <c r="G108" s="90">
        <f>+E102*0.6</f>
        <v>0.21539999999999998</v>
      </c>
      <c r="H108" s="91"/>
      <c r="I108" s="92"/>
      <c r="J108" s="93">
        <v>0.53600000000000003</v>
      </c>
      <c r="K108" s="169"/>
      <c r="L108" s="169"/>
      <c r="M108" s="169"/>
      <c r="N108" s="169"/>
      <c r="O108" s="169"/>
      <c r="P108" s="173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s="19" customFormat="1" ht="13.5" customHeight="1" x14ac:dyDescent="0.25">
      <c r="A109" s="83"/>
      <c r="B109" s="184"/>
      <c r="C109" s="169"/>
      <c r="D109" s="169"/>
      <c r="E109" s="169"/>
      <c r="F109" s="89" t="s">
        <v>103</v>
      </c>
      <c r="G109" s="90">
        <f>+E102*0.7</f>
        <v>0.25129999999999997</v>
      </c>
      <c r="H109" s="91"/>
      <c r="I109" s="92"/>
      <c r="J109" s="93">
        <v>0.57299999999999995</v>
      </c>
      <c r="K109" s="169"/>
      <c r="L109" s="169"/>
      <c r="M109" s="169"/>
      <c r="N109" s="169"/>
      <c r="O109" s="169"/>
      <c r="P109" s="173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s="19" customFormat="1" ht="13.5" customHeight="1" x14ac:dyDescent="0.25">
      <c r="A110" s="83"/>
      <c r="B110" s="184"/>
      <c r="C110" s="169"/>
      <c r="D110" s="169"/>
      <c r="E110" s="169"/>
      <c r="F110" s="89" t="s">
        <v>104</v>
      </c>
      <c r="G110" s="90">
        <f>+E102*0.8</f>
        <v>0.28720000000000001</v>
      </c>
      <c r="H110" s="91"/>
      <c r="I110" s="92"/>
      <c r="J110" s="93">
        <v>0.753</v>
      </c>
      <c r="K110" s="169"/>
      <c r="L110" s="169"/>
      <c r="M110" s="169"/>
      <c r="N110" s="169"/>
      <c r="O110" s="169"/>
      <c r="P110" s="173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s="19" customFormat="1" ht="13.5" customHeight="1" x14ac:dyDescent="0.25">
      <c r="A111" s="83"/>
      <c r="B111" s="184"/>
      <c r="C111" s="169"/>
      <c r="D111" s="169"/>
      <c r="E111" s="169"/>
      <c r="F111" s="89" t="s">
        <v>105</v>
      </c>
      <c r="G111" s="90">
        <f>+E102*0.9</f>
        <v>0.3231</v>
      </c>
      <c r="H111" s="91"/>
      <c r="I111" s="92"/>
      <c r="J111" s="93">
        <v>0.77800000000000002</v>
      </c>
      <c r="K111" s="169"/>
      <c r="L111" s="169"/>
      <c r="M111" s="169"/>
      <c r="N111" s="169"/>
      <c r="O111" s="169"/>
      <c r="P111" s="173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s="19" customFormat="1" ht="15.75" thickBot="1" x14ac:dyDescent="0.3">
      <c r="A112" s="83"/>
      <c r="B112" s="185"/>
      <c r="C112" s="170"/>
      <c r="D112" s="170"/>
      <c r="E112" s="170"/>
      <c r="F112" s="94" t="s">
        <v>30</v>
      </c>
      <c r="G112" s="94">
        <f>+E102</f>
        <v>0.35899999999999999</v>
      </c>
      <c r="H112" s="95"/>
      <c r="I112" s="96"/>
      <c r="J112" s="97">
        <v>0.70199999999999996</v>
      </c>
      <c r="K112" s="170"/>
      <c r="L112" s="170"/>
      <c r="M112" s="170"/>
      <c r="N112" s="170"/>
      <c r="O112" s="170"/>
      <c r="P112" s="174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16" s="3" customFormat="1" ht="12.75" x14ac:dyDescent="0.2">
      <c r="A113" s="11"/>
      <c r="B113" s="156" t="s">
        <v>31</v>
      </c>
      <c r="C113" s="156"/>
      <c r="D113" s="156"/>
      <c r="E113" s="156"/>
      <c r="F113" s="156"/>
      <c r="G113" s="156"/>
      <c r="H113" s="156"/>
      <c r="I113" s="156"/>
      <c r="J113" s="156"/>
      <c r="K113" s="16">
        <f>ROUND(+M113/L113,3)</f>
        <v>0.49</v>
      </c>
      <c r="L113" s="15">
        <f>SUM(L19:L112)</f>
        <v>1.4449999999999998</v>
      </c>
      <c r="M113" s="14">
        <f>SUM(M19:M112)</f>
        <v>0.7075999999999999</v>
      </c>
      <c r="N113" s="12">
        <f>ROUND(SUM(N19:N112),0)</f>
        <v>100</v>
      </c>
      <c r="O113" s="158" t="s">
        <v>32</v>
      </c>
      <c r="P113" s="160"/>
    </row>
    <row r="114" spans="1:16" s="3" customFormat="1" ht="15" customHeight="1" thickBot="1" x14ac:dyDescent="0.25">
      <c r="A114" s="11"/>
      <c r="B114" s="157"/>
      <c r="C114" s="157"/>
      <c r="D114" s="157"/>
      <c r="E114" s="157"/>
      <c r="F114" s="157"/>
      <c r="G114" s="157"/>
      <c r="H114" s="157"/>
      <c r="I114" s="157"/>
      <c r="J114" s="157"/>
      <c r="K114" s="13" t="s">
        <v>33</v>
      </c>
      <c r="L114" s="13" t="s">
        <v>49</v>
      </c>
      <c r="M114" s="13" t="s">
        <v>50</v>
      </c>
      <c r="N114" s="13" t="s">
        <v>34</v>
      </c>
      <c r="O114" s="159"/>
      <c r="P114" s="161"/>
    </row>
    <row r="115" spans="1:16" ht="15" customHeight="1" thickBot="1" x14ac:dyDescent="0.3">
      <c r="A115" s="5"/>
      <c r="B115" s="162" t="s">
        <v>106</v>
      </c>
      <c r="C115" s="163"/>
      <c r="D115" s="163"/>
      <c r="E115" s="163"/>
      <c r="F115" s="164"/>
      <c r="G115" s="162" t="s">
        <v>107</v>
      </c>
      <c r="H115" s="163"/>
      <c r="I115" s="163"/>
      <c r="J115" s="163"/>
      <c r="K115" s="164"/>
      <c r="L115" s="165" t="s">
        <v>52</v>
      </c>
      <c r="M115" s="166"/>
      <c r="N115" s="166"/>
      <c r="O115" s="166"/>
      <c r="P115" s="167"/>
    </row>
    <row r="116" spans="1:16" ht="15" customHeight="1" x14ac:dyDescent="0.25">
      <c r="A116" s="5"/>
      <c r="B116" s="126"/>
      <c r="C116" s="127"/>
      <c r="D116" s="127"/>
      <c r="E116" s="127"/>
      <c r="F116" s="128"/>
      <c r="G116" s="126"/>
      <c r="H116" s="127"/>
      <c r="I116" s="127"/>
      <c r="J116" s="127"/>
      <c r="K116" s="128"/>
      <c r="L116" s="135" t="s">
        <v>108</v>
      </c>
      <c r="M116" s="136"/>
      <c r="N116" s="136"/>
      <c r="O116" s="137">
        <f>+AVERAGE(E18:E93)</f>
        <v>0.24779999999999996</v>
      </c>
      <c r="P116" s="138"/>
    </row>
    <row r="117" spans="1:16" ht="15" customHeight="1" thickBot="1" x14ac:dyDescent="0.3">
      <c r="A117" s="5"/>
      <c r="B117" s="129"/>
      <c r="C117" s="130"/>
      <c r="D117" s="130"/>
      <c r="E117" s="130"/>
      <c r="F117" s="131"/>
      <c r="G117" s="129"/>
      <c r="H117" s="130"/>
      <c r="I117" s="130"/>
      <c r="J117" s="130"/>
      <c r="K117" s="131"/>
      <c r="L117" s="139" t="s">
        <v>109</v>
      </c>
      <c r="M117" s="140"/>
      <c r="N117" s="140"/>
      <c r="O117" s="141">
        <f>+MAX(E18:E93)</f>
        <v>0.35899999999999999</v>
      </c>
      <c r="P117" s="142"/>
    </row>
    <row r="118" spans="1:16" ht="18.600000000000001" customHeight="1" x14ac:dyDescent="0.25">
      <c r="A118" s="6"/>
      <c r="B118" s="129"/>
      <c r="C118" s="130"/>
      <c r="D118" s="130"/>
      <c r="E118" s="130"/>
      <c r="F118" s="131"/>
      <c r="G118" s="129"/>
      <c r="H118" s="130"/>
      <c r="I118" s="130"/>
      <c r="J118" s="130"/>
      <c r="K118" s="131"/>
      <c r="L118" s="143" t="s">
        <v>119</v>
      </c>
      <c r="M118" s="144"/>
      <c r="N118" s="144"/>
      <c r="O118" s="144"/>
      <c r="P118" s="145"/>
    </row>
    <row r="119" spans="1:16" ht="61.5" customHeight="1" x14ac:dyDescent="0.25">
      <c r="A119" s="10"/>
      <c r="B119" s="129"/>
      <c r="C119" s="130"/>
      <c r="D119" s="130"/>
      <c r="E119" s="130"/>
      <c r="F119" s="131"/>
      <c r="G119" s="129"/>
      <c r="H119" s="130"/>
      <c r="I119" s="130"/>
      <c r="J119" s="130"/>
      <c r="K119" s="131"/>
      <c r="L119" s="146"/>
      <c r="M119" s="147"/>
      <c r="N119" s="147"/>
      <c r="O119" s="147"/>
      <c r="P119" s="148"/>
    </row>
    <row r="120" spans="1:16" ht="15" customHeight="1" thickBot="1" x14ac:dyDescent="0.3">
      <c r="A120" s="5"/>
      <c r="B120" s="129"/>
      <c r="C120" s="130"/>
      <c r="D120" s="130"/>
      <c r="E120" s="130"/>
      <c r="F120" s="131"/>
      <c r="G120" s="129"/>
      <c r="H120" s="130"/>
      <c r="I120" s="130"/>
      <c r="J120" s="130"/>
      <c r="K120" s="131"/>
      <c r="L120" s="149"/>
      <c r="M120" s="150"/>
      <c r="N120" s="150"/>
      <c r="O120" s="150"/>
      <c r="P120" s="151"/>
    </row>
    <row r="121" spans="1:16" ht="22.5" customHeight="1" thickBot="1" x14ac:dyDescent="0.3">
      <c r="A121" s="5"/>
      <c r="B121" s="129"/>
      <c r="C121" s="130"/>
      <c r="D121" s="130"/>
      <c r="E121" s="130"/>
      <c r="F121" s="131"/>
      <c r="G121" s="129"/>
      <c r="H121" s="130"/>
      <c r="I121" s="130"/>
      <c r="J121" s="130"/>
      <c r="K121" s="131"/>
      <c r="L121" s="152" t="s">
        <v>35</v>
      </c>
      <c r="M121" s="153"/>
      <c r="N121" s="153"/>
      <c r="O121" s="153"/>
      <c r="P121" s="98">
        <v>3.15</v>
      </c>
    </row>
    <row r="122" spans="1:16" ht="32.25" customHeight="1" thickBot="1" x14ac:dyDescent="0.3">
      <c r="A122" s="5"/>
      <c r="B122" s="132"/>
      <c r="C122" s="133"/>
      <c r="D122" s="133"/>
      <c r="E122" s="133"/>
      <c r="F122" s="134"/>
      <c r="G122" s="132"/>
      <c r="H122" s="133"/>
      <c r="I122" s="133"/>
      <c r="J122" s="133"/>
      <c r="K122" s="134"/>
      <c r="L122" s="154" t="s">
        <v>51</v>
      </c>
      <c r="M122" s="155"/>
      <c r="N122" s="155"/>
      <c r="O122" s="155"/>
      <c r="P122" s="98" t="s">
        <v>120</v>
      </c>
    </row>
    <row r="123" spans="1:16" ht="23.45" customHeight="1" thickBot="1" x14ac:dyDescent="0.3">
      <c r="A123" s="7"/>
      <c r="B123" s="320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0"/>
      <c r="O123" s="320"/>
      <c r="P123" s="320"/>
    </row>
    <row r="124" spans="1:16" ht="15.75" thickBot="1" x14ac:dyDescent="0.3">
      <c r="A124" s="115" t="s">
        <v>36</v>
      </c>
      <c r="B124" s="321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2"/>
    </row>
    <row r="125" spans="1:16" ht="159" customHeight="1" thickBot="1" x14ac:dyDescent="0.3">
      <c r="A125" s="4"/>
      <c r="B125" s="323"/>
      <c r="C125" s="324"/>
      <c r="D125" s="324"/>
      <c r="E125" s="324"/>
      <c r="F125" s="325"/>
      <c r="G125" s="323"/>
      <c r="H125" s="324"/>
      <c r="I125" s="324"/>
      <c r="J125" s="324"/>
      <c r="K125" s="325"/>
      <c r="L125" s="323"/>
      <c r="M125" s="324"/>
      <c r="N125" s="324"/>
      <c r="O125" s="324"/>
      <c r="P125" s="325"/>
    </row>
    <row r="126" spans="1:16" ht="21.75" customHeight="1" thickBot="1" x14ac:dyDescent="0.3">
      <c r="A126" s="4"/>
      <c r="B126" s="308" t="s">
        <v>54</v>
      </c>
      <c r="C126" s="309"/>
      <c r="D126" s="309"/>
      <c r="E126" s="309"/>
      <c r="F126" s="310"/>
      <c r="G126" s="308" t="s">
        <v>121</v>
      </c>
      <c r="H126" s="309"/>
      <c r="I126" s="309"/>
      <c r="J126" s="309"/>
      <c r="K126" s="310"/>
      <c r="L126" s="308" t="s">
        <v>122</v>
      </c>
      <c r="M126" s="309"/>
      <c r="N126" s="309"/>
      <c r="O126" s="309"/>
      <c r="P126" s="310"/>
    </row>
    <row r="127" spans="1:16" s="9" customFormat="1" ht="16.899999999999999" customHeight="1" thickBot="1" x14ac:dyDescent="0.3">
      <c r="A127" s="8"/>
      <c r="B127" s="313"/>
      <c r="C127" s="313"/>
      <c r="D127" s="313"/>
      <c r="E127" s="313"/>
      <c r="F127" s="313"/>
      <c r="G127" s="313"/>
      <c r="H127" s="313"/>
      <c r="I127" s="313"/>
      <c r="J127" s="313"/>
      <c r="K127" s="313"/>
      <c r="L127" s="313"/>
      <c r="M127" s="313"/>
      <c r="N127" s="313"/>
      <c r="O127" s="313"/>
      <c r="P127" s="314"/>
    </row>
    <row r="128" spans="1:16" s="3" customFormat="1" ht="15.75" customHeight="1" thickBot="1" x14ac:dyDescent="0.25">
      <c r="A128" s="315" t="s">
        <v>37</v>
      </c>
      <c r="B128" s="316"/>
      <c r="C128" s="317"/>
      <c r="D128" s="318"/>
      <c r="E128" s="316"/>
      <c r="F128" s="316"/>
      <c r="G128" s="316"/>
      <c r="H128" s="316"/>
      <c r="I128" s="317"/>
      <c r="J128" s="318" t="s">
        <v>38</v>
      </c>
      <c r="K128" s="317"/>
      <c r="L128" s="318"/>
      <c r="M128" s="316"/>
      <c r="N128" s="316"/>
      <c r="O128" s="316"/>
      <c r="P128" s="319"/>
    </row>
  </sheetData>
  <mergeCells count="25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9:M93"/>
    <mergeCell ref="N89:N93"/>
    <mergeCell ref="O89:O93"/>
    <mergeCell ref="P89:P93"/>
    <mergeCell ref="B94:B99"/>
    <mergeCell ref="C94:P99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C100:H100"/>
    <mergeCell ref="I100:I101"/>
    <mergeCell ref="K100:P100"/>
    <mergeCell ref="C101:H101"/>
    <mergeCell ref="K101:P101"/>
    <mergeCell ref="B102:B112"/>
    <mergeCell ref="C102:C106"/>
    <mergeCell ref="D102:D106"/>
    <mergeCell ref="E102:E112"/>
    <mergeCell ref="K102:K112"/>
    <mergeCell ref="B113:J114"/>
    <mergeCell ref="O113:O114"/>
    <mergeCell ref="P113:P114"/>
    <mergeCell ref="B115:F115"/>
    <mergeCell ref="G115:K115"/>
    <mergeCell ref="L115:P115"/>
    <mergeCell ref="L102:L112"/>
    <mergeCell ref="M102:M112"/>
    <mergeCell ref="N102:N112"/>
    <mergeCell ref="O102:O112"/>
    <mergeCell ref="P102:P112"/>
    <mergeCell ref="C107:C112"/>
    <mergeCell ref="D107:D112"/>
    <mergeCell ref="B116:F122"/>
    <mergeCell ref="G116:K122"/>
    <mergeCell ref="L116:N116"/>
    <mergeCell ref="O116:P116"/>
    <mergeCell ref="L117:N117"/>
    <mergeCell ref="O117:P117"/>
    <mergeCell ref="L118:P120"/>
    <mergeCell ref="L121:O121"/>
    <mergeCell ref="L122:O122"/>
    <mergeCell ref="B127:P127"/>
    <mergeCell ref="A128:C128"/>
    <mergeCell ref="D128:I128"/>
    <mergeCell ref="J128:K128"/>
    <mergeCell ref="L128:P128"/>
    <mergeCell ref="B123:P123"/>
    <mergeCell ref="A124:P124"/>
    <mergeCell ref="B125:F125"/>
    <mergeCell ref="G125:K125"/>
    <mergeCell ref="L125:P125"/>
    <mergeCell ref="B126:F126"/>
    <mergeCell ref="G126:K126"/>
    <mergeCell ref="L126:P126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2019-05-16T20:54:42Z</dcterms:modified>
</cp:coreProperties>
</file>