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74" r:id="rId2"/>
    <sheet name="Aforo 2" sheetId="75" r:id="rId3"/>
    <sheet name="Aforo 3" sheetId="76" r:id="rId4"/>
    <sheet name="Aforo 4" sheetId="77" r:id="rId5"/>
  </sheets>
  <externalReferences>
    <externalReference r:id="rId6"/>
    <externalReference r:id="rId7"/>
  </externalReferences>
  <definedNames>
    <definedName name="_xlnm.Print_Area" localSheetId="1">'Aforo 1'!$B$1:$P$103</definedName>
    <definedName name="_xlnm.Print_Area" localSheetId="2">'Aforo 2'!$B$1:$P$128</definedName>
    <definedName name="_xlnm.Print_Area" localSheetId="3">'Aforo 3'!$B$1:$P$123</definedName>
    <definedName name="_xlnm.Print_Area" localSheetId="4">'Aforo 4'!$B$1:$P$103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2" i="77" l="1"/>
  <c r="O91" i="77"/>
  <c r="G87" i="77"/>
  <c r="G86" i="77"/>
  <c r="G85" i="77"/>
  <c r="G84" i="77"/>
  <c r="G83" i="77"/>
  <c r="G82" i="77"/>
  <c r="G81" i="77"/>
  <c r="G80" i="77"/>
  <c r="G79" i="77"/>
  <c r="G78" i="77"/>
  <c r="G68" i="77"/>
  <c r="G67" i="77"/>
  <c r="G66" i="77"/>
  <c r="G65" i="77"/>
  <c r="K64" i="77"/>
  <c r="G63" i="77"/>
  <c r="G62" i="77"/>
  <c r="G61" i="77"/>
  <c r="G60" i="77"/>
  <c r="K59" i="77"/>
  <c r="G58" i="77"/>
  <c r="G57" i="77"/>
  <c r="G56" i="77"/>
  <c r="G55" i="77"/>
  <c r="K54" i="77"/>
  <c r="G53" i="77"/>
  <c r="G52" i="77"/>
  <c r="G51" i="77"/>
  <c r="G50" i="77"/>
  <c r="K49" i="77"/>
  <c r="G48" i="77"/>
  <c r="G47" i="77"/>
  <c r="G46" i="77"/>
  <c r="G45" i="77"/>
  <c r="K44" i="77"/>
  <c r="G43" i="77"/>
  <c r="G42" i="77"/>
  <c r="G41" i="77"/>
  <c r="G40" i="77"/>
  <c r="K39" i="77"/>
  <c r="G38" i="77"/>
  <c r="G37" i="77"/>
  <c r="G36" i="77"/>
  <c r="G35" i="77"/>
  <c r="K34" i="77"/>
  <c r="G33" i="77"/>
  <c r="G32" i="77"/>
  <c r="G31" i="77"/>
  <c r="G30" i="77"/>
  <c r="K29" i="77"/>
  <c r="G28" i="77"/>
  <c r="G27" i="77"/>
  <c r="G26" i="77"/>
  <c r="G25" i="77"/>
  <c r="K24" i="77"/>
  <c r="C24" i="77"/>
  <c r="L24" i="77" s="1"/>
  <c r="G23" i="77"/>
  <c r="G22" i="77"/>
  <c r="G21" i="77"/>
  <c r="G20" i="77"/>
  <c r="L19" i="77"/>
  <c r="K19" i="77"/>
  <c r="M19" i="77" s="1"/>
  <c r="M24" i="77" l="1"/>
  <c r="C29" i="77"/>
  <c r="L29" i="77" l="1"/>
  <c r="C34" i="77"/>
  <c r="L34" i="77" l="1"/>
  <c r="M34" i="77" s="1"/>
  <c r="C39" i="77"/>
  <c r="M29" i="77"/>
  <c r="C44" i="77" l="1"/>
  <c r="L39" i="77"/>
  <c r="M39" i="77" l="1"/>
  <c r="C49" i="77"/>
  <c r="L44" i="77"/>
  <c r="M44" i="77" s="1"/>
  <c r="L49" i="77" l="1"/>
  <c r="M49" i="77" s="1"/>
  <c r="C54" i="77"/>
  <c r="L54" i="77" l="1"/>
  <c r="M54" i="77" s="1"/>
  <c r="C59" i="77"/>
  <c r="C64" i="77" l="1"/>
  <c r="L64" i="77" s="1"/>
  <c r="L59" i="77"/>
  <c r="M59" i="77" s="1"/>
  <c r="M64" i="77" l="1"/>
  <c r="L88" i="77"/>
  <c r="N64" i="77" l="1"/>
  <c r="M88" i="77"/>
  <c r="K88" i="77" l="1"/>
  <c r="N19" i="77"/>
  <c r="N24" i="77"/>
  <c r="N29" i="77"/>
  <c r="N34" i="77"/>
  <c r="N39" i="77"/>
  <c r="N44" i="77"/>
  <c r="N49" i="77"/>
  <c r="N54" i="77"/>
  <c r="N59" i="77"/>
  <c r="N88" i="77" l="1"/>
  <c r="O112" i="76" l="1"/>
  <c r="O111" i="76"/>
  <c r="G107" i="76"/>
  <c r="G106" i="76"/>
  <c r="G105" i="76"/>
  <c r="G104" i="76"/>
  <c r="G103" i="76"/>
  <c r="G102" i="76"/>
  <c r="G101" i="76"/>
  <c r="G100" i="76"/>
  <c r="G99" i="76"/>
  <c r="G98" i="76"/>
  <c r="G88" i="76"/>
  <c r="G87" i="76"/>
  <c r="G86" i="76"/>
  <c r="G85" i="76"/>
  <c r="K84" i="76"/>
  <c r="G83" i="76"/>
  <c r="G82" i="76"/>
  <c r="G81" i="76"/>
  <c r="G80" i="76"/>
  <c r="K79" i="76"/>
  <c r="B79" i="76"/>
  <c r="B84" i="76" s="1"/>
  <c r="G78" i="76"/>
  <c r="G77" i="76"/>
  <c r="G76" i="76"/>
  <c r="G75" i="76"/>
  <c r="K74" i="76"/>
  <c r="B74" i="76"/>
  <c r="G73" i="76"/>
  <c r="G72" i="76"/>
  <c r="G71" i="76"/>
  <c r="G70" i="76"/>
  <c r="K69" i="76"/>
  <c r="G68" i="76"/>
  <c r="G67" i="76"/>
  <c r="G66" i="76"/>
  <c r="G65" i="76"/>
  <c r="K64" i="76"/>
  <c r="G63" i="76"/>
  <c r="G62" i="76"/>
  <c r="G61" i="76"/>
  <c r="G60" i="76"/>
  <c r="K59" i="76"/>
  <c r="G58" i="76"/>
  <c r="G57" i="76"/>
  <c r="G56" i="76"/>
  <c r="G55" i="76"/>
  <c r="K54" i="76"/>
  <c r="G53" i="76"/>
  <c r="G52" i="76"/>
  <c r="G51" i="76"/>
  <c r="G50" i="76"/>
  <c r="K49" i="76"/>
  <c r="G48" i="76"/>
  <c r="G47" i="76"/>
  <c r="G46" i="76"/>
  <c r="G45" i="76"/>
  <c r="K44" i="76"/>
  <c r="G43" i="76"/>
  <c r="G42" i="76"/>
  <c r="G41" i="76"/>
  <c r="G40" i="76"/>
  <c r="K39" i="76"/>
  <c r="G38" i="76"/>
  <c r="G37" i="76"/>
  <c r="G36" i="76"/>
  <c r="G35" i="76"/>
  <c r="K34" i="76"/>
  <c r="G33" i="76"/>
  <c r="G32" i="76"/>
  <c r="G31" i="76"/>
  <c r="G30" i="76"/>
  <c r="K29" i="76"/>
  <c r="G28" i="76"/>
  <c r="G27" i="76"/>
  <c r="G26" i="76"/>
  <c r="G25" i="76"/>
  <c r="K24" i="76"/>
  <c r="G23" i="76"/>
  <c r="G22" i="76"/>
  <c r="G21" i="76"/>
  <c r="G20" i="76"/>
  <c r="K19" i="76"/>
  <c r="C18" i="76"/>
  <c r="C19" i="76" s="1"/>
  <c r="C24" i="76" l="1"/>
  <c r="L19" i="76"/>
  <c r="L24" i="76" l="1"/>
  <c r="M24" i="76" s="1"/>
  <c r="C29" i="76"/>
  <c r="M19" i="76"/>
  <c r="L29" i="76" l="1"/>
  <c r="M29" i="76" s="1"/>
  <c r="C34" i="76"/>
  <c r="C39" i="76" l="1"/>
  <c r="L34" i="76"/>
  <c r="M34" i="76" s="1"/>
  <c r="C44" i="76" l="1"/>
  <c r="L39" i="76"/>
  <c r="M39" i="76" l="1"/>
  <c r="L44" i="76"/>
  <c r="M44" i="76" s="1"/>
  <c r="C49" i="76"/>
  <c r="L49" i="76" l="1"/>
  <c r="M49" i="76" s="1"/>
  <c r="C54" i="76"/>
  <c r="C59" i="76" l="1"/>
  <c r="L54" i="76"/>
  <c r="M54" i="76" s="1"/>
  <c r="C64" i="76" l="1"/>
  <c r="L59" i="76"/>
  <c r="M59" i="76" s="1"/>
  <c r="L64" i="76" l="1"/>
  <c r="M64" i="76" s="1"/>
  <c r="C69" i="76"/>
  <c r="C74" i="76" l="1"/>
  <c r="L69" i="76"/>
  <c r="M69" i="76" s="1"/>
  <c r="C79" i="76" l="1"/>
  <c r="L74" i="76"/>
  <c r="M74" i="76" s="1"/>
  <c r="C84" i="76" l="1"/>
  <c r="L84" i="76" s="1"/>
  <c r="L79" i="76"/>
  <c r="M79" i="76" s="1"/>
  <c r="M84" i="76" l="1"/>
  <c r="L108" i="76"/>
  <c r="M108" i="76" l="1"/>
  <c r="K108" i="76" l="1"/>
  <c r="N19" i="76"/>
  <c r="N24" i="76"/>
  <c r="N29" i="76"/>
  <c r="N34" i="76"/>
  <c r="N44" i="76"/>
  <c r="N39" i="76"/>
  <c r="N49" i="76"/>
  <c r="N54" i="76"/>
  <c r="N59" i="76"/>
  <c r="N64" i="76"/>
  <c r="N69" i="76"/>
  <c r="N74" i="76"/>
  <c r="N79" i="76"/>
  <c r="N84" i="76"/>
  <c r="N108" i="76" l="1"/>
  <c r="U125" i="75" l="1"/>
  <c r="O117" i="75"/>
  <c r="O116" i="75"/>
  <c r="G112" i="75"/>
  <c r="G111" i="75"/>
  <c r="G110" i="75"/>
  <c r="G109" i="75"/>
  <c r="G108" i="75"/>
  <c r="G107" i="75"/>
  <c r="G106" i="75"/>
  <c r="G105" i="75"/>
  <c r="G104" i="75"/>
  <c r="G103" i="75"/>
  <c r="G93" i="75"/>
  <c r="G92" i="75"/>
  <c r="G91" i="75"/>
  <c r="G90" i="75"/>
  <c r="K89" i="75"/>
  <c r="G88" i="75"/>
  <c r="G87" i="75"/>
  <c r="G86" i="75"/>
  <c r="G85" i="75"/>
  <c r="K84" i="75"/>
  <c r="G83" i="75"/>
  <c r="G82" i="75"/>
  <c r="G81" i="75"/>
  <c r="G80" i="75"/>
  <c r="K79" i="75"/>
  <c r="G78" i="75"/>
  <c r="G77" i="75"/>
  <c r="G76" i="75"/>
  <c r="G75" i="75"/>
  <c r="K74" i="75"/>
  <c r="G73" i="75"/>
  <c r="G72" i="75"/>
  <c r="G71" i="75"/>
  <c r="G70" i="75"/>
  <c r="K69" i="75"/>
  <c r="G68" i="75"/>
  <c r="G67" i="75"/>
  <c r="G66" i="75"/>
  <c r="G65" i="75"/>
  <c r="K64" i="75"/>
  <c r="B64" i="75"/>
  <c r="B69" i="75" s="1"/>
  <c r="B74" i="75" s="1"/>
  <c r="B79" i="75" s="1"/>
  <c r="B84" i="75" s="1"/>
  <c r="B89" i="75" s="1"/>
  <c r="G63" i="75"/>
  <c r="G62" i="75"/>
  <c r="G61" i="75"/>
  <c r="G60" i="75"/>
  <c r="K59" i="75"/>
  <c r="G58" i="75"/>
  <c r="G57" i="75"/>
  <c r="G56" i="75"/>
  <c r="G55" i="75"/>
  <c r="K54" i="75"/>
  <c r="G53" i="75"/>
  <c r="G52" i="75"/>
  <c r="G51" i="75"/>
  <c r="G50" i="75"/>
  <c r="K49" i="75"/>
  <c r="G48" i="75"/>
  <c r="G47" i="75"/>
  <c r="G46" i="75"/>
  <c r="G45" i="75"/>
  <c r="K44" i="75"/>
  <c r="G43" i="75"/>
  <c r="G42" i="75"/>
  <c r="G41" i="75"/>
  <c r="G40" i="75"/>
  <c r="K39" i="75"/>
  <c r="G38" i="75"/>
  <c r="G37" i="75"/>
  <c r="G36" i="75"/>
  <c r="G35" i="75"/>
  <c r="K34" i="75"/>
  <c r="G33" i="75"/>
  <c r="G32" i="75"/>
  <c r="G31" i="75"/>
  <c r="G30" i="75"/>
  <c r="K29" i="75"/>
  <c r="G28" i="75"/>
  <c r="G27" i="75"/>
  <c r="G26" i="75"/>
  <c r="G25" i="75"/>
  <c r="K24" i="75"/>
  <c r="G23" i="75"/>
  <c r="G22" i="75"/>
  <c r="G21" i="75"/>
  <c r="G20" i="75"/>
  <c r="K19" i="75"/>
  <c r="C18" i="75"/>
  <c r="C19" i="75" s="1"/>
  <c r="K12" i="75"/>
  <c r="E12" i="75"/>
  <c r="K11" i="75"/>
  <c r="E11" i="75"/>
  <c r="L9" i="75"/>
  <c r="L19" i="75" l="1"/>
  <c r="M19" i="75" s="1"/>
  <c r="C24" i="75"/>
  <c r="L24" i="75" l="1"/>
  <c r="M24" i="75" s="1"/>
  <c r="C29" i="75"/>
  <c r="L29" i="75" l="1"/>
  <c r="M29" i="75" s="1"/>
  <c r="C34" i="75"/>
  <c r="C39" i="75" l="1"/>
  <c r="L34" i="75"/>
  <c r="M34" i="75" s="1"/>
  <c r="L39" i="75" l="1"/>
  <c r="M39" i="75" s="1"/>
  <c r="C44" i="75"/>
  <c r="L44" i="75" l="1"/>
  <c r="M44" i="75" s="1"/>
  <c r="C49" i="75"/>
  <c r="L49" i="75" l="1"/>
  <c r="M49" i="75" s="1"/>
  <c r="C54" i="75"/>
  <c r="C59" i="75" l="1"/>
  <c r="L54" i="75"/>
  <c r="M54" i="75" s="1"/>
  <c r="L59" i="75" l="1"/>
  <c r="M59" i="75" s="1"/>
  <c r="C64" i="75"/>
  <c r="C69" i="75" l="1"/>
  <c r="L64" i="75"/>
  <c r="M64" i="75" s="1"/>
  <c r="C74" i="75" l="1"/>
  <c r="L69" i="75"/>
  <c r="M69" i="75" s="1"/>
  <c r="C79" i="75" l="1"/>
  <c r="L74" i="75"/>
  <c r="M74" i="75" s="1"/>
  <c r="C84" i="75" l="1"/>
  <c r="L79" i="75"/>
  <c r="M79" i="75" s="1"/>
  <c r="C89" i="75" l="1"/>
  <c r="L89" i="75" s="1"/>
  <c r="L84" i="75"/>
  <c r="M84" i="75" s="1"/>
  <c r="M89" i="75" l="1"/>
  <c r="L113" i="75"/>
  <c r="M113" i="75" l="1"/>
  <c r="K113" i="75" l="1"/>
  <c r="N19" i="75"/>
  <c r="N24" i="75"/>
  <c r="N29" i="75"/>
  <c r="N34" i="75"/>
  <c r="N39" i="75"/>
  <c r="N44" i="75"/>
  <c r="N49" i="75"/>
  <c r="N54" i="75"/>
  <c r="N59" i="75"/>
  <c r="N64" i="75"/>
  <c r="N69" i="75"/>
  <c r="N74" i="75"/>
  <c r="N79" i="75"/>
  <c r="N84" i="75"/>
  <c r="N89" i="75"/>
  <c r="N113" i="75" l="1"/>
  <c r="O92" i="74" l="1"/>
  <c r="O91" i="74"/>
  <c r="G87" i="74"/>
  <c r="G86" i="74"/>
  <c r="G85" i="74"/>
  <c r="G84" i="74"/>
  <c r="G83" i="74"/>
  <c r="G82" i="74"/>
  <c r="G81" i="74"/>
  <c r="G80" i="74"/>
  <c r="G79" i="74"/>
  <c r="G78" i="74"/>
  <c r="G68" i="74"/>
  <c r="G67" i="74"/>
  <c r="G66" i="74"/>
  <c r="G65" i="74"/>
  <c r="L64" i="74"/>
  <c r="K64" i="74"/>
  <c r="M64" i="74" s="1"/>
  <c r="G63" i="74"/>
  <c r="G62" i="74"/>
  <c r="G61" i="74"/>
  <c r="G60" i="74"/>
  <c r="L59" i="74"/>
  <c r="K59" i="74"/>
  <c r="M59" i="74" s="1"/>
  <c r="G58" i="74"/>
  <c r="G57" i="74"/>
  <c r="G56" i="74"/>
  <c r="G55" i="74"/>
  <c r="L54" i="74"/>
  <c r="K54" i="74"/>
  <c r="M54" i="74" s="1"/>
  <c r="G53" i="74"/>
  <c r="G52" i="74"/>
  <c r="G51" i="74"/>
  <c r="G50" i="74"/>
  <c r="L49" i="74"/>
  <c r="K49" i="74"/>
  <c r="M49" i="74" s="1"/>
  <c r="G48" i="74"/>
  <c r="G47" i="74"/>
  <c r="G46" i="74"/>
  <c r="G45" i="74"/>
  <c r="L44" i="74"/>
  <c r="K44" i="74"/>
  <c r="M44" i="74" s="1"/>
  <c r="G43" i="74"/>
  <c r="G42" i="74"/>
  <c r="G41" i="74"/>
  <c r="G40" i="74"/>
  <c r="L39" i="74"/>
  <c r="K39" i="74"/>
  <c r="M39" i="74" s="1"/>
  <c r="G38" i="74"/>
  <c r="G37" i="74"/>
  <c r="G36" i="74"/>
  <c r="G35" i="74"/>
  <c r="L34" i="74"/>
  <c r="K34" i="74"/>
  <c r="M34" i="74" s="1"/>
  <c r="G33" i="74"/>
  <c r="G32" i="74"/>
  <c r="G31" i="74"/>
  <c r="G30" i="74"/>
  <c r="L29" i="74"/>
  <c r="K29" i="74"/>
  <c r="M29" i="74" s="1"/>
  <c r="G28" i="74"/>
  <c r="G27" i="74"/>
  <c r="G26" i="74"/>
  <c r="G25" i="74"/>
  <c r="L24" i="74"/>
  <c r="K24" i="74"/>
  <c r="M24" i="74" s="1"/>
  <c r="G23" i="74"/>
  <c r="G22" i="74"/>
  <c r="G21" i="74"/>
  <c r="G20" i="74"/>
  <c r="L19" i="74"/>
  <c r="L88" i="74" s="1"/>
  <c r="K19" i="74"/>
  <c r="M19" i="74" s="1"/>
  <c r="C18" i="74"/>
  <c r="N12" i="74"/>
  <c r="K12" i="74"/>
  <c r="E12" i="74"/>
  <c r="K11" i="74"/>
  <c r="E11" i="74"/>
  <c r="N24" i="74" l="1"/>
  <c r="M88" i="74"/>
  <c r="K88" i="74" s="1"/>
  <c r="N39" i="74"/>
  <c r="N64" i="74"/>
  <c r="N59" i="74" l="1"/>
  <c r="N44" i="74"/>
  <c r="N19" i="74"/>
  <c r="N49" i="74"/>
  <c r="N34" i="74"/>
  <c r="N54" i="74"/>
  <c r="N29" i="74"/>
  <c r="N88" i="74" l="1"/>
</calcChain>
</file>

<file path=xl/sharedStrings.xml><?xml version="1.0" encoding="utf-8"?>
<sst xmlns="http://schemas.openxmlformats.org/spreadsheetml/2006/main" count="682" uniqueCount="120">
  <si>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</si>
  <si>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</si>
  <si>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</si>
  <si>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</si>
  <si>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</si>
  <si>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</si>
  <si>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</si>
  <si>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</si>
  <si>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</si>
  <si>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</si>
  <si>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</si>
  <si>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</si>
  <si>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</si>
  <si>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</si>
  <si>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</si>
  <si>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</si>
  <si>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</si>
  <si>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</si>
  <si>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</si>
  <si>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</si>
  <si>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</si>
  <si>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</si>
  <si>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</si>
  <si>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</si>
  <si>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</si>
  <si>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</si>
  <si>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</si>
  <si>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</si>
  <si>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</si>
  <si>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</si>
  <si>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</si>
  <si>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</si>
  <si>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</si>
  <si>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</si>
  <si>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</si>
  <si>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</si>
  <si>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</si>
  <si>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</si>
  <si>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</si>
  <si>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</si>
  <si>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</si>
  <si>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</si>
  <si>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</si>
  <si>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</si>
  <si>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</si>
  <si>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</si>
  <si>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</si>
  <si>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</si>
  <si>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</si>
  <si>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</si>
  <si>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</si>
  <si>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</si>
  <si>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Medida de la temperatura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</si>
  <si>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</si>
  <si>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</si>
  <si>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</si>
  <si>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</si>
  <si>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</si>
  <si>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</si>
  <si>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</si>
  <si>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</si>
  <si>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</si>
  <si>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</si>
  <si>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</si>
  <si>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</si>
  <si>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</si>
  <si>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</si>
  <si>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</si>
  <si>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</si>
  <si>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</si>
  <si>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</si>
  <si>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</si>
  <si>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</si>
  <si>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</si>
  <si>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</si>
  <si>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</si>
  <si>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</si>
  <si>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</si>
  <si>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</si>
  <si>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</si>
  <si>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</si>
  <si>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</si>
  <si>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</si>
  <si>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</si>
  <si>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</si>
  <si>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</si>
  <si>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</si>
  <si>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</si>
  <si>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</si>
  <si>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</si>
  <si>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</si>
  <si>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</si>
  <si>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</si>
  <si>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</si>
  <si>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</si>
  <si>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</si>
  <si>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</si>
  <si>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</si>
  <si>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</si>
  <si>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</si>
  <si>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</si>
  <si>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</si>
  <si>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</si>
  <si>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</si>
  <si>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</si>
  <si>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t>Detalle del aforo</t>
  </si>
  <si>
    <t>QUBRADA PALOGRANDE - TERMINAL DE TRANSPORTES</t>
  </si>
  <si>
    <t>N 5° 3' 3.88"</t>
  </si>
  <si>
    <t>W 75° 30' 25.33"</t>
  </si>
  <si>
    <t>CALIDO</t>
  </si>
  <si>
    <r>
      <t xml:space="preserve">Qt = </t>
    </r>
    <r>
      <rPr>
        <sz val="10"/>
        <color theme="1"/>
        <rFont val="Calibri"/>
        <family val="2"/>
      </rPr>
      <t>ΣQi</t>
    </r>
  </si>
  <si>
    <t>Durante la jornada de aforo se determinó el perfil de la sección de aforo, se midió la altura del nivel del agua al sensor . Teniendo en cuenta las observaciones de los asesores del GTA de Ingeniería Hidráulica y Ambiental los aforos se realizaron así: Si y &lt; 0.12m se toma la velocidad a 0.6 de h. Si y&gt;=0.12m se toman velocidades a 0,2 - 0,6 y 0,8 de y</t>
  </si>
  <si>
    <t>QUEBRADA PALOGRANDE - TERMINAL DE TRANSPORTES</t>
  </si>
  <si>
    <t>Como la altura maxima es inferior a 0.125 m, el calculo de Vx no aplica</t>
  </si>
  <si>
    <t>QUEBRADA PALOGRANDE TERMINAL DE TRANSPORTES</t>
  </si>
  <si>
    <t>Calido</t>
  </si>
  <si>
    <t xml:space="preserve">QUEBRADA PALOGRANDE-TERMINAL DE TRANSPORTES </t>
  </si>
  <si>
    <t>Soleado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</si>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</sst>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60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Font="1" applyBorder="1"/>
    <xf numFmtId="0" fontId="0" fillId="0" borderId="0" xfId="0" applyFont="1" applyAlignment="1"/>
    <xf numFmtId="0" fontId="2" fillId="0" borderId="41" xfId="0" applyFont="1" applyBorder="1"/>
    <xf numFmtId="0" fontId="2" fillId="0" borderId="48" xfId="0" applyFont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15" fillId="5" borderId="51" xfId="0" applyFont="1" applyFill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41" xfId="0" applyFont="1" applyFill="1" applyBorder="1" applyAlignment="1">
      <alignment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vertical="center"/>
    </xf>
    <xf numFmtId="0" fontId="15" fillId="0" borderId="5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58" xfId="0" applyFont="1" applyFill="1" applyBorder="1" applyAlignment="1">
      <alignment horizontal="center" vertical="center"/>
    </xf>
    <xf numFmtId="0" fontId="2" fillId="0" borderId="64" xfId="0" applyFont="1" applyFill="1" applyBorder="1" applyAlignment="1">
      <alignment horizontal="center" vertical="center"/>
    </xf>
    <xf numFmtId="0" fontId="19" fillId="0" borderId="74" xfId="0" applyFont="1" applyFill="1" applyBorder="1" applyAlignment="1">
      <alignment vertical="top" wrapText="1"/>
    </xf>
    <xf numFmtId="0" fontId="19" fillId="0" borderId="58" xfId="0" applyFont="1" applyFill="1" applyBorder="1" applyAlignment="1">
      <alignment horizontal="center" vertical="top" wrapText="1"/>
    </xf>
    <xf numFmtId="0" fontId="19" fillId="0" borderId="77" xfId="0" applyFont="1" applyFill="1" applyBorder="1" applyAlignment="1">
      <alignment horizontal="center"/>
    </xf>
    <xf numFmtId="0" fontId="17" fillId="0" borderId="88" xfId="0" applyFont="1" applyFill="1" applyBorder="1" applyAlignment="1">
      <alignment horizontal="center" vertical="top"/>
    </xf>
    <xf numFmtId="0" fontId="22" fillId="7" borderId="0" xfId="0" applyFont="1" applyFill="1" applyBorder="1" applyAlignment="1">
      <alignment horizontal="left" vertical="center" wrapText="1"/>
    </xf>
    <xf numFmtId="0" fontId="18" fillId="6" borderId="80" xfId="0" applyFont="1" applyFill="1" applyBorder="1" applyAlignment="1">
      <alignment horizontal="center" vertical="center"/>
    </xf>
    <xf numFmtId="0" fontId="18" fillId="6" borderId="97" xfId="0" applyFont="1" applyFill="1" applyBorder="1" applyAlignment="1">
      <alignment vertical="center"/>
    </xf>
    <xf numFmtId="0" fontId="18" fillId="6" borderId="97" xfId="0" applyFont="1" applyFill="1" applyBorder="1" applyAlignment="1">
      <alignment horizontal="center" vertical="center"/>
    </xf>
    <xf numFmtId="0" fontId="18" fillId="6" borderId="58" xfId="0" applyFont="1" applyFill="1" applyBorder="1" applyAlignment="1">
      <alignment horizontal="center" vertical="center"/>
    </xf>
    <xf numFmtId="0" fontId="2" fillId="0" borderId="91" xfId="0" applyFont="1" applyBorder="1"/>
    <xf numFmtId="0" fontId="18" fillId="6" borderId="91" xfId="0" applyFont="1" applyFill="1" applyBorder="1" applyAlignment="1">
      <alignment vertical="center"/>
    </xf>
    <xf numFmtId="0" fontId="18" fillId="6" borderId="100" xfId="0" applyFont="1" applyFill="1" applyBorder="1" applyAlignment="1">
      <alignment horizontal="center" vertical="center"/>
    </xf>
    <xf numFmtId="0" fontId="18" fillId="6" borderId="87" xfId="0" applyFont="1" applyFill="1" applyBorder="1" applyAlignment="1">
      <alignment horizontal="center" vertical="center"/>
    </xf>
    <xf numFmtId="0" fontId="24" fillId="0" borderId="0" xfId="0" applyFont="1" applyFill="1"/>
    <xf numFmtId="0" fontId="18" fillId="0" borderId="79" xfId="0" applyFont="1" applyFill="1" applyBorder="1" applyAlignment="1">
      <alignment horizontal="center" vertical="center" wrapText="1"/>
    </xf>
    <xf numFmtId="0" fontId="2" fillId="0" borderId="95" xfId="0" applyFont="1" applyFill="1" applyBorder="1" applyAlignment="1">
      <alignment horizontal="center" vertical="center" wrapText="1"/>
    </xf>
    <xf numFmtId="0" fontId="18" fillId="0" borderId="95" xfId="0" applyFont="1" applyFill="1" applyBorder="1" applyAlignment="1">
      <alignment horizontal="center" vertical="center"/>
    </xf>
    <xf numFmtId="0" fontId="12" fillId="0" borderId="95" xfId="0" applyFont="1" applyFill="1" applyBorder="1" applyAlignment="1">
      <alignment horizontal="center"/>
    </xf>
    <xf numFmtId="2" fontId="14" fillId="0" borderId="95" xfId="0" applyNumberFormat="1" applyFont="1" applyFill="1" applyBorder="1" applyAlignment="1">
      <alignment vertical="center"/>
    </xf>
    <xf numFmtId="164" fontId="14" fillId="0" borderId="95" xfId="0" applyNumberFormat="1" applyFont="1" applyFill="1" applyBorder="1" applyAlignment="1">
      <alignment vertical="center"/>
    </xf>
    <xf numFmtId="0" fontId="18" fillId="0" borderId="10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0" fontId="2" fillId="0" borderId="97" xfId="0" applyFont="1" applyFill="1" applyBorder="1"/>
    <xf numFmtId="164" fontId="14" fillId="0" borderId="97" xfId="0" applyNumberFormat="1" applyFont="1" applyFill="1" applyBorder="1" applyAlignment="1">
      <alignment horizontal="center" vertical="center"/>
    </xf>
    <xf numFmtId="0" fontId="12" fillId="0" borderId="102" xfId="0" applyFont="1" applyFill="1" applyBorder="1" applyAlignment="1">
      <alignment horizontal="center"/>
    </xf>
    <xf numFmtId="2" fontId="14" fillId="0" borderId="102" xfId="0" applyNumberFormat="1" applyFont="1" applyFill="1" applyBorder="1" applyAlignment="1">
      <alignment horizontal="center" vertical="center"/>
    </xf>
    <xf numFmtId="2" fontId="14" fillId="0" borderId="102" xfId="0" applyNumberFormat="1" applyFont="1" applyFill="1" applyBorder="1" applyAlignment="1">
      <alignment vertical="center"/>
    </xf>
    <xf numFmtId="0" fontId="2" fillId="0" borderId="102" xfId="0" applyFont="1" applyFill="1" applyBorder="1"/>
    <xf numFmtId="164" fontId="14" fillId="0" borderId="102" xfId="0" applyNumberFormat="1" applyFont="1" applyFill="1" applyBorder="1" applyAlignment="1">
      <alignment horizontal="center" vertical="center"/>
    </xf>
    <xf numFmtId="0" fontId="12" fillId="0" borderId="105" xfId="0" applyFont="1" applyFill="1" applyBorder="1" applyAlignment="1">
      <alignment horizontal="center"/>
    </xf>
    <xf numFmtId="2" fontId="14" fillId="0" borderId="105" xfId="0" applyNumberFormat="1" applyFont="1" applyFill="1" applyBorder="1" applyAlignment="1">
      <alignment horizontal="center" vertical="center"/>
    </xf>
    <xf numFmtId="2" fontId="14" fillId="0" borderId="105" xfId="0" applyNumberFormat="1" applyFont="1" applyFill="1" applyBorder="1" applyAlignment="1">
      <alignment vertical="center"/>
    </xf>
    <xf numFmtId="0" fontId="2" fillId="0" borderId="105" xfId="0" applyFont="1" applyFill="1" applyBorder="1"/>
    <xf numFmtId="164" fontId="14" fillId="0" borderId="105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08" xfId="0" applyFont="1" applyFill="1" applyBorder="1" applyAlignment="1">
      <alignment vertical="center" wrapText="1"/>
    </xf>
    <xf numFmtId="0" fontId="24" fillId="0" borderId="41" xfId="0" applyFont="1" applyBorder="1"/>
    <xf numFmtId="2" fontId="14" fillId="10" borderId="112" xfId="0" applyNumberFormat="1" applyFont="1" applyFill="1" applyBorder="1" applyAlignment="1">
      <alignment horizontal="center" vertical="center"/>
    </xf>
    <xf numFmtId="2" fontId="14" fillId="10" borderId="112" xfId="0" applyNumberFormat="1" applyFont="1" applyFill="1" applyBorder="1" applyAlignment="1">
      <alignment horizontal="center"/>
    </xf>
    <xf numFmtId="164" fontId="2" fillId="10" borderId="112" xfId="0" applyNumberFormat="1" applyFont="1" applyFill="1" applyBorder="1" applyAlignment="1">
      <alignment horizontal="center"/>
    </xf>
    <xf numFmtId="164" fontId="2" fillId="9" borderId="112" xfId="0" applyNumberFormat="1" applyFont="1" applyFill="1" applyBorder="1" applyAlignment="1">
      <alignment horizontal="center"/>
    </xf>
    <xf numFmtId="0" fontId="24" fillId="0" borderId="0" xfId="0" applyFont="1"/>
    <xf numFmtId="0" fontId="14" fillId="10" borderId="102" xfId="0" applyFont="1" applyFill="1" applyBorder="1" applyAlignment="1">
      <alignment horizontal="center"/>
    </xf>
    <xf numFmtId="2" fontId="14" fillId="10" borderId="102" xfId="0" applyNumberFormat="1" applyFont="1" applyFill="1" applyBorder="1" applyAlignment="1">
      <alignment horizontal="center" vertical="center"/>
    </xf>
    <xf numFmtId="2" fontId="14" fillId="10" borderId="102" xfId="0" applyNumberFormat="1" applyFont="1" applyFill="1" applyBorder="1" applyAlignment="1">
      <alignment horizontal="center"/>
    </xf>
    <xf numFmtId="164" fontId="2" fillId="10" borderId="102" xfId="0" applyNumberFormat="1" applyFont="1" applyFill="1" applyBorder="1" applyAlignment="1">
      <alignment horizontal="center"/>
    </xf>
    <xf numFmtId="164" fontId="2" fillId="9" borderId="102" xfId="0" applyNumberFormat="1" applyFont="1" applyFill="1" applyBorder="1" applyAlignment="1">
      <alignment horizontal="center"/>
    </xf>
    <xf numFmtId="2" fontId="14" fillId="10" borderId="119" xfId="0" applyNumberFormat="1" applyFont="1" applyFill="1" applyBorder="1" applyAlignment="1">
      <alignment horizontal="center" vertical="center"/>
    </xf>
    <xf numFmtId="2" fontId="14" fillId="10" borderId="119" xfId="0" applyNumberFormat="1" applyFont="1" applyFill="1" applyBorder="1" applyAlignment="1">
      <alignment horizontal="center"/>
    </xf>
    <xf numFmtId="164" fontId="2" fillId="10" borderId="119" xfId="0" applyNumberFormat="1" applyFont="1" applyFill="1" applyBorder="1" applyAlignment="1">
      <alignment horizontal="center"/>
    </xf>
    <xf numFmtId="164" fontId="2" fillId="11" borderId="119" xfId="0" applyNumberFormat="1" applyFont="1" applyFill="1" applyBorder="1" applyAlignment="1">
      <alignment horizontal="center"/>
    </xf>
    <xf numFmtId="164" fontId="14" fillId="0" borderId="95" xfId="0" applyNumberFormat="1" applyFont="1" applyFill="1" applyBorder="1" applyAlignment="1">
      <alignment horizontal="center" vertical="center"/>
    </xf>
    <xf numFmtId="2" fontId="14" fillId="0" borderId="95" xfId="0" applyNumberFormat="1" applyFont="1" applyFill="1" applyBorder="1" applyAlignment="1">
      <alignment horizontal="center" vertical="center"/>
    </xf>
    <xf numFmtId="0" fontId="15" fillId="0" borderId="67" xfId="0" applyFont="1" applyFill="1" applyBorder="1" applyAlignment="1">
      <alignment horizontal="center" vertical="center"/>
    </xf>
    <xf numFmtId="0" fontId="15" fillId="0" borderId="67" xfId="0" applyFont="1" applyFill="1" applyBorder="1" applyAlignment="1">
      <alignment horizontal="center" vertical="top" wrapText="1"/>
    </xf>
    <xf numFmtId="0" fontId="15" fillId="0" borderId="84" xfId="0" applyFont="1" applyFill="1" applyBorder="1" applyAlignment="1">
      <alignment horizontal="center" vertical="center" wrapText="1"/>
    </xf>
    <xf numFmtId="20" fontId="15" fillId="0" borderId="87" xfId="0" applyNumberFormat="1" applyFont="1" applyFill="1" applyBorder="1" applyAlignment="1">
      <alignment horizontal="center" vertical="top"/>
    </xf>
    <xf numFmtId="0" fontId="15" fillId="0" borderId="88" xfId="0" applyFont="1" applyFill="1" applyBorder="1" applyAlignment="1">
      <alignment horizontal="center" vertical="top"/>
    </xf>
    <xf numFmtId="0" fontId="15" fillId="0" borderId="77" xfId="0" applyFont="1" applyFill="1" applyBorder="1" applyAlignment="1">
      <alignment horizontal="center" vertical="center"/>
    </xf>
    <xf numFmtId="0" fontId="15" fillId="0" borderId="91" xfId="0" applyFont="1" applyFill="1" applyBorder="1" applyAlignment="1">
      <alignment horizontal="center" vertical="center"/>
    </xf>
    <xf numFmtId="164" fontId="18" fillId="5" borderId="123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21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2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7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46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11" xfId="0" applyFont="1" applyFill="1" applyBorder="1" applyAlignment="1">
      <alignment horizontal="center" vertical="center"/>
    </xf>
    <xf numFmtId="0" fontId="14" fillId="3" borderId="98" xfId="0" applyFont="1" applyFill="1" applyBorder="1"/>
    <xf numFmtId="0" fontId="14" fillId="3" borderId="118" xfId="0" applyFont="1" applyFill="1" applyBorder="1"/>
    <xf numFmtId="166" fontId="14" fillId="10" borderId="111" xfId="0" applyNumberFormat="1" applyFont="1" applyFill="1" applyBorder="1" applyAlignment="1">
      <alignment horizontal="center" vertical="center"/>
    </xf>
    <xf numFmtId="0" fontId="14" fillId="10" borderId="113" xfId="0" applyFont="1" applyFill="1" applyBorder="1" applyAlignment="1">
      <alignment horizontal="center" vertical="center"/>
    </xf>
    <xf numFmtId="0" fontId="14" fillId="3" borderId="115" xfId="0" applyFont="1" applyFill="1" applyBorder="1"/>
    <xf numFmtId="0" fontId="14" fillId="3" borderId="120" xfId="0" applyFont="1" applyFill="1" applyBorder="1"/>
    <xf numFmtId="2" fontId="14" fillId="9" borderId="100" xfId="0" applyNumberFormat="1" applyFont="1" applyFill="1" applyBorder="1" applyAlignment="1">
      <alignment horizontal="center" vertical="center"/>
    </xf>
    <xf numFmtId="164" fontId="14" fillId="9" borderId="100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10" xfId="0" applyFont="1" applyFill="1" applyBorder="1" applyAlignment="1">
      <alignment horizontal="center" vertical="center"/>
    </xf>
    <xf numFmtId="0" fontId="14" fillId="3" borderId="114" xfId="0" applyFont="1" applyFill="1" applyBorder="1"/>
    <xf numFmtId="0" fontId="14" fillId="3" borderId="117" xfId="0" applyFont="1" applyFill="1" applyBorder="1"/>
    <xf numFmtId="2" fontId="14" fillId="9" borderId="111" xfId="0" applyNumberFormat="1" applyFont="1" applyFill="1" applyBorder="1" applyAlignment="1">
      <alignment horizontal="center" vertical="center"/>
    </xf>
    <xf numFmtId="0" fontId="14" fillId="3" borderId="116" xfId="0" applyFont="1" applyFill="1" applyBorder="1"/>
    <xf numFmtId="164" fontId="14" fillId="9" borderId="111" xfId="0" applyNumberFormat="1" applyFont="1" applyFill="1" applyBorder="1" applyAlignment="1">
      <alignment horizontal="center" vertical="center"/>
    </xf>
    <xf numFmtId="164" fontId="14" fillId="10" borderId="111" xfId="0" applyNumberFormat="1" applyFont="1" applyFill="1" applyBorder="1" applyAlignment="1">
      <alignment horizontal="center" vertical="center"/>
    </xf>
    <xf numFmtId="164" fontId="14" fillId="0" borderId="95" xfId="0" applyNumberFormat="1" applyFont="1" applyFill="1" applyBorder="1" applyAlignment="1">
      <alignment horizontal="center" vertical="center"/>
    </xf>
    <xf numFmtId="0" fontId="14" fillId="0" borderId="98" xfId="0" applyFont="1" applyFill="1" applyBorder="1"/>
    <xf numFmtId="0" fontId="14" fillId="0" borderId="104" xfId="0" applyFont="1" applyFill="1" applyBorder="1"/>
    <xf numFmtId="165" fontId="14" fillId="0" borderId="95" xfId="0" applyNumberFormat="1" applyFont="1" applyFill="1" applyBorder="1" applyAlignment="1">
      <alignment horizontal="center" vertical="center"/>
    </xf>
    <xf numFmtId="0" fontId="14" fillId="0" borderId="95" xfId="0" applyFont="1" applyFill="1" applyBorder="1" applyAlignment="1">
      <alignment horizontal="center" vertical="center"/>
    </xf>
    <xf numFmtId="0" fontId="14" fillId="0" borderId="101" xfId="0" applyFont="1" applyFill="1" applyBorder="1" applyAlignment="1">
      <alignment horizontal="center" vertical="center"/>
    </xf>
    <xf numFmtId="0" fontId="14" fillId="0" borderId="103" xfId="0" applyFont="1" applyFill="1" applyBorder="1"/>
    <xf numFmtId="0" fontId="14" fillId="0" borderId="106" xfId="0" applyFont="1" applyFill="1" applyBorder="1"/>
    <xf numFmtId="0" fontId="4" fillId="8" borderId="107" xfId="0" applyFont="1" applyFill="1" applyBorder="1" applyAlignment="1">
      <alignment horizontal="center" vertical="center" textRotation="90"/>
    </xf>
    <xf numFmtId="0" fontId="4" fillId="8" borderId="108" xfId="0" applyFont="1" applyFill="1" applyBorder="1" applyAlignment="1">
      <alignment horizontal="center" vertical="center" textRotation="90"/>
    </xf>
    <xf numFmtId="0" fontId="4" fillId="8" borderId="109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9" xfId="0" applyFont="1" applyFill="1" applyBorder="1" applyAlignment="1">
      <alignment horizontal="center" vertical="center"/>
    </xf>
    <xf numFmtId="0" fontId="14" fillId="0" borderId="76" xfId="0" applyFont="1" applyFill="1" applyBorder="1"/>
    <xf numFmtId="0" fontId="14" fillId="0" borderId="83" xfId="0" applyFont="1" applyFill="1" applyBorder="1"/>
    <xf numFmtId="2" fontId="14" fillId="0" borderId="95" xfId="0" applyNumberFormat="1" applyFont="1" applyFill="1" applyBorder="1" applyAlignment="1">
      <alignment horizontal="center" vertical="center"/>
    </xf>
    <xf numFmtId="0" fontId="14" fillId="7" borderId="46" xfId="0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horizontal="center"/>
    </xf>
    <xf numFmtId="0" fontId="14" fillId="7" borderId="46" xfId="0" applyFont="1" applyFill="1" applyBorder="1" applyAlignment="1">
      <alignment horizontal="center"/>
    </xf>
    <xf numFmtId="0" fontId="14" fillId="0" borderId="46" xfId="0" applyFont="1" applyBorder="1"/>
    <xf numFmtId="0" fontId="14" fillId="0" borderId="47" xfId="0" applyFont="1" applyBorder="1"/>
    <xf numFmtId="0" fontId="18" fillId="6" borderId="79" xfId="0" applyFont="1" applyFill="1" applyBorder="1" applyAlignment="1">
      <alignment horizontal="center" vertical="center" wrapText="1"/>
    </xf>
    <xf numFmtId="0" fontId="14" fillId="0" borderId="76" xfId="0" applyFont="1" applyBorder="1"/>
    <xf numFmtId="0" fontId="18" fillId="6" borderId="95" xfId="0" applyFont="1" applyFill="1" applyBorder="1" applyAlignment="1">
      <alignment horizontal="center" vertical="center" wrapText="1"/>
    </xf>
    <xf numFmtId="0" fontId="14" fillId="0" borderId="98" xfId="0" applyFont="1" applyBorder="1"/>
    <xf numFmtId="0" fontId="18" fillId="6" borderId="95" xfId="0" applyFont="1" applyFill="1" applyBorder="1" applyAlignment="1">
      <alignment horizontal="center" vertical="center"/>
    </xf>
    <xf numFmtId="0" fontId="18" fillId="6" borderId="55" xfId="0" applyFont="1" applyFill="1" applyBorder="1" applyAlignment="1">
      <alignment horizontal="center" vertical="center"/>
    </xf>
    <xf numFmtId="0" fontId="14" fillId="0" borderId="43" xfId="0" applyFont="1" applyBorder="1"/>
    <xf numFmtId="0" fontId="14" fillId="0" borderId="81" xfId="0" applyFont="1" applyBorder="1"/>
    <xf numFmtId="0" fontId="14" fillId="0" borderId="0" xfId="0" applyFont="1" applyBorder="1"/>
    <xf numFmtId="0" fontId="18" fillId="6" borderId="96" xfId="0" applyFont="1" applyFill="1" applyBorder="1" applyAlignment="1">
      <alignment horizontal="center" vertical="center" wrapText="1"/>
    </xf>
    <xf numFmtId="0" fontId="14" fillId="0" borderId="99" xfId="0" applyFont="1" applyBorder="1"/>
    <xf numFmtId="0" fontId="18" fillId="6" borderId="42" xfId="0" applyFont="1" applyFill="1" applyBorder="1" applyAlignment="1">
      <alignment horizontal="center" vertical="center" textRotation="90" wrapText="1"/>
    </xf>
    <xf numFmtId="0" fontId="14" fillId="0" borderId="93" xfId="0" applyFont="1" applyBorder="1"/>
    <xf numFmtId="0" fontId="14" fillId="0" borderId="45" xfId="0" applyFont="1" applyBorder="1"/>
    <xf numFmtId="0" fontId="14" fillId="0" borderId="42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14" fillId="0" borderId="43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/>
    </xf>
    <xf numFmtId="0" fontId="14" fillId="7" borderId="93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4" xfId="0" applyFont="1" applyBorder="1"/>
    <xf numFmtId="0" fontId="14" fillId="7" borderId="45" xfId="0" applyFont="1" applyFill="1" applyBorder="1" applyAlignment="1">
      <alignment horizontal="center" vertical="center" wrapText="1"/>
    </xf>
    <xf numFmtId="0" fontId="2" fillId="0" borderId="86" xfId="0" applyFont="1" applyFill="1" applyBorder="1" applyAlignment="1">
      <alignment horizontal="center" vertical="center" wrapText="1"/>
    </xf>
    <xf numFmtId="0" fontId="14" fillId="0" borderId="89" xfId="0" applyFont="1" applyFill="1" applyBorder="1"/>
    <xf numFmtId="0" fontId="2" fillId="0" borderId="65" xfId="0" applyFont="1" applyFill="1" applyBorder="1" applyAlignment="1">
      <alignment horizontal="center" vertical="center"/>
    </xf>
    <xf numFmtId="0" fontId="14" fillId="0" borderId="66" xfId="0" applyFont="1" applyFill="1" applyBorder="1"/>
    <xf numFmtId="0" fontId="2" fillId="0" borderId="65" xfId="0" applyFont="1" applyFill="1" applyBorder="1" applyAlignment="1">
      <alignment horizontal="center"/>
    </xf>
    <xf numFmtId="0" fontId="2" fillId="0" borderId="65" xfId="0" applyFont="1" applyFill="1" applyBorder="1" applyAlignment="1">
      <alignment horizontal="center" vertical="top"/>
    </xf>
    <xf numFmtId="0" fontId="15" fillId="0" borderId="65" xfId="0" applyFont="1" applyFill="1" applyBorder="1" applyAlignment="1">
      <alignment horizontal="center" vertical="center" wrapText="1"/>
    </xf>
    <xf numFmtId="0" fontId="16" fillId="0" borderId="92" xfId="0" applyFont="1" applyFill="1" applyBorder="1"/>
    <xf numFmtId="0" fontId="2" fillId="0" borderId="84" xfId="0" applyFont="1" applyFill="1" applyBorder="1" applyAlignment="1">
      <alignment horizontal="center" vertical="center"/>
    </xf>
    <xf numFmtId="0" fontId="2" fillId="0" borderId="86" xfId="0" applyFont="1" applyFill="1" applyBorder="1" applyAlignment="1">
      <alignment horizontal="center" vertical="center"/>
    </xf>
    <xf numFmtId="0" fontId="14" fillId="0" borderId="78" xfId="0" applyFont="1" applyFill="1" applyBorder="1"/>
    <xf numFmtId="0" fontId="2" fillId="0" borderId="86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top"/>
    </xf>
    <xf numFmtId="0" fontId="14" fillId="0" borderId="57" xfId="0" applyFont="1" applyFill="1" applyBorder="1"/>
    <xf numFmtId="0" fontId="15" fillId="0" borderId="68" xfId="0" applyFont="1" applyFill="1" applyBorder="1" applyAlignment="1">
      <alignment horizontal="center"/>
    </xf>
    <xf numFmtId="0" fontId="16" fillId="0" borderId="68" xfId="0" applyFont="1" applyFill="1" applyBorder="1"/>
    <xf numFmtId="0" fontId="19" fillId="0" borderId="69" xfId="0" applyFont="1" applyFill="1" applyBorder="1" applyAlignment="1">
      <alignment horizontal="center"/>
    </xf>
    <xf numFmtId="0" fontId="16" fillId="0" borderId="70" xfId="0" applyFont="1" applyFill="1" applyBorder="1"/>
    <xf numFmtId="0" fontId="16" fillId="0" borderId="71" xfId="0" applyFont="1" applyFill="1" applyBorder="1"/>
    <xf numFmtId="0" fontId="19" fillId="0" borderId="72" xfId="0" applyFont="1" applyFill="1" applyBorder="1" applyAlignment="1">
      <alignment horizontal="center"/>
    </xf>
    <xf numFmtId="0" fontId="16" fillId="0" borderId="73" xfId="0" applyFont="1" applyFill="1" applyBorder="1"/>
    <xf numFmtId="0" fontId="18" fillId="6" borderId="75" xfId="0" applyFont="1" applyFill="1" applyBorder="1" applyAlignment="1">
      <alignment horizontal="center" vertical="center" wrapText="1"/>
    </xf>
    <xf numFmtId="0" fontId="14" fillId="0" borderId="82" xfId="0" applyFont="1" applyBorder="1"/>
    <xf numFmtId="0" fontId="14" fillId="0" borderId="90" xfId="0" applyFont="1" applyBorder="1"/>
    <xf numFmtId="0" fontId="20" fillId="0" borderId="76" xfId="0" applyFont="1" applyFill="1" applyBorder="1" applyAlignment="1">
      <alignment horizontal="center" vertical="center" wrapText="1"/>
    </xf>
    <xf numFmtId="0" fontId="2" fillId="0" borderId="77" xfId="0" applyFont="1" applyFill="1" applyBorder="1" applyAlignment="1">
      <alignment horizontal="center" vertical="center"/>
    </xf>
    <xf numFmtId="0" fontId="20" fillId="0" borderId="79" xfId="0" applyFont="1" applyFill="1" applyBorder="1" applyAlignment="1">
      <alignment horizontal="center" vertical="center" wrapText="1"/>
    </xf>
    <xf numFmtId="0" fontId="2" fillId="0" borderId="80" xfId="0" applyFont="1" applyFill="1" applyBorder="1" applyAlignment="1">
      <alignment horizontal="center" vertical="center"/>
    </xf>
    <xf numFmtId="0" fontId="15" fillId="0" borderId="81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3" xfId="0" applyFont="1" applyFill="1" applyBorder="1"/>
    <xf numFmtId="0" fontId="16" fillId="0" borderId="44" xfId="0" applyFont="1" applyFill="1" applyBorder="1"/>
    <xf numFmtId="0" fontId="16" fillId="0" borderId="85" xfId="0" applyFont="1" applyFill="1" applyBorder="1"/>
    <xf numFmtId="0" fontId="16" fillId="0" borderId="46" xfId="0" applyFont="1" applyFill="1" applyBorder="1"/>
    <xf numFmtId="0" fontId="16" fillId="0" borderId="47" xfId="0" applyFont="1" applyFill="1" applyBorder="1"/>
    <xf numFmtId="0" fontId="2" fillId="0" borderId="53" xfId="0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vertical="center"/>
    </xf>
    <xf numFmtId="0" fontId="15" fillId="0" borderId="55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vertical="center"/>
    </xf>
    <xf numFmtId="0" fontId="16" fillId="0" borderId="44" xfId="0" applyFont="1" applyFill="1" applyBorder="1" applyAlignment="1">
      <alignment vertical="center"/>
    </xf>
    <xf numFmtId="0" fontId="17" fillId="0" borderId="55" xfId="0" applyFont="1" applyFill="1" applyBorder="1" applyAlignment="1">
      <alignment horizontal="center" vertical="center"/>
    </xf>
    <xf numFmtId="0" fontId="16" fillId="0" borderId="54" xfId="0" applyFont="1" applyFill="1" applyBorder="1" applyAlignment="1">
      <alignment vertical="center"/>
    </xf>
    <xf numFmtId="0" fontId="18" fillId="6" borderId="42" xfId="0" applyFont="1" applyFill="1" applyBorder="1" applyAlignment="1">
      <alignment horizontal="center" vertical="center" wrapText="1"/>
    </xf>
    <xf numFmtId="0" fontId="2" fillId="0" borderId="56" xfId="0" applyFont="1" applyFill="1" applyBorder="1" applyAlignment="1">
      <alignment horizontal="center"/>
    </xf>
    <xf numFmtId="0" fontId="2" fillId="0" borderId="59" xfId="0" applyFont="1" applyFill="1" applyBorder="1" applyAlignment="1">
      <alignment horizontal="center" vertical="center"/>
    </xf>
    <xf numFmtId="0" fontId="14" fillId="0" borderId="59" xfId="0" applyFont="1" applyFill="1" applyBorder="1"/>
    <xf numFmtId="0" fontId="2" fillId="0" borderId="60" xfId="0" applyFont="1" applyFill="1" applyBorder="1" applyAlignment="1">
      <alignment horizontal="center" vertical="center" wrapText="1"/>
    </xf>
    <xf numFmtId="0" fontId="14" fillId="0" borderId="61" xfId="0" applyFont="1" applyFill="1" applyBorder="1"/>
    <xf numFmtId="0" fontId="14" fillId="0" borderId="62" xfId="0" applyFont="1" applyFill="1" applyBorder="1"/>
    <xf numFmtId="0" fontId="2" fillId="0" borderId="59" xfId="0" applyFont="1" applyFill="1" applyBorder="1" applyAlignment="1">
      <alignment horizontal="center" vertical="center" wrapText="1"/>
    </xf>
    <xf numFmtId="0" fontId="14" fillId="0" borderId="63" xfId="0" applyFont="1" applyFill="1" applyBorder="1"/>
    <xf numFmtId="0" fontId="13" fillId="0" borderId="43" xfId="0" applyFont="1" applyBorder="1" applyAlignment="1">
      <alignment horizontal="center" wrapText="1"/>
    </xf>
    <xf numFmtId="14" fontId="15" fillId="0" borderId="49" xfId="0" applyNumberFormat="1" applyFont="1" applyFill="1" applyBorder="1" applyAlignment="1">
      <alignment horizontal="center" vertical="center"/>
    </xf>
    <xf numFmtId="0" fontId="16" fillId="0" borderId="50" xfId="0" applyFont="1" applyFill="1" applyBorder="1"/>
    <xf numFmtId="0" fontId="15" fillId="0" borderId="49" xfId="0" applyFont="1" applyBorder="1" applyAlignment="1">
      <alignment horizontal="center" vertical="center" wrapText="1"/>
    </xf>
    <xf numFmtId="0" fontId="16" fillId="0" borderId="50" xfId="0" applyFont="1" applyBorder="1"/>
    <xf numFmtId="0" fontId="16" fillId="0" borderId="52" xfId="0" applyFont="1" applyBorder="1"/>
    <xf numFmtId="0" fontId="14" fillId="4" borderId="132" xfId="0" applyFont="1" applyFill="1" applyBorder="1" applyAlignment="1">
      <alignment horizontal="center" wrapText="1"/>
    </xf>
    <xf numFmtId="0" fontId="14" fillId="4" borderId="133" xfId="0" applyFont="1" applyFill="1" applyBorder="1" applyAlignment="1">
      <alignment horizontal="center" wrapText="1"/>
    </xf>
    <xf numFmtId="0" fontId="14" fillId="4" borderId="134" xfId="0" applyFont="1" applyFill="1" applyBorder="1" applyAlignment="1">
      <alignment horizontal="center" wrapText="1"/>
    </xf>
    <xf numFmtId="164" fontId="14" fillId="13" borderId="33" xfId="0" applyNumberFormat="1" applyFont="1" applyFill="1" applyBorder="1" applyAlignment="1">
      <alignment horizontal="center"/>
    </xf>
    <xf numFmtId="164" fontId="14" fillId="13" borderId="135" xfId="0" applyNumberFormat="1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 wrapText="1"/>
    </xf>
    <xf numFmtId="0" fontId="14" fillId="4" borderId="124" xfId="0" applyFont="1" applyFill="1" applyBorder="1" applyAlignment="1">
      <alignment horizontal="center" wrapText="1"/>
    </xf>
    <xf numFmtId="0" fontId="14" fillId="4" borderId="126" xfId="0" applyFont="1" applyFill="1" applyBorder="1" applyAlignment="1">
      <alignment horizontal="center" wrapText="1"/>
    </xf>
    <xf numFmtId="0" fontId="14" fillId="13" borderId="34" xfId="0" applyFont="1" applyFill="1" applyBorder="1" applyAlignment="1">
      <alignment horizontal="center"/>
    </xf>
    <xf numFmtId="0" fontId="14" fillId="13" borderId="125" xfId="0" applyFont="1" applyFill="1" applyBorder="1" applyAlignment="1">
      <alignment horizontal="center"/>
    </xf>
    <xf numFmtId="0" fontId="0" fillId="0" borderId="13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9" xfId="0" applyFont="1" applyBorder="1" applyAlignment="1">
      <alignment horizontal="left" wrapText="1"/>
    </xf>
    <xf numFmtId="0" fontId="0" fillId="0" borderId="39" xfId="0" applyFont="1" applyBorder="1" applyAlignment="1">
      <alignment horizontal="left" wrapText="1"/>
    </xf>
    <xf numFmtId="0" fontId="0" fillId="0" borderId="137" xfId="0" applyFont="1" applyBorder="1" applyAlignment="1">
      <alignment horizontal="left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39" xfId="0" applyFont="1" applyFill="1" applyBorder="1" applyAlignment="1">
      <alignment horizontal="left" vertical="center" wrapText="1"/>
    </xf>
    <xf numFmtId="0" fontId="0" fillId="0" borderId="137" xfId="0" applyFont="1" applyFill="1" applyBorder="1" applyAlignment="1">
      <alignment horizontal="left" vertical="center" wrapText="1"/>
    </xf>
    <xf numFmtId="0" fontId="1" fillId="0" borderId="127" xfId="0" applyFont="1" applyBorder="1" applyAlignment="1">
      <alignment horizontal="center"/>
    </xf>
    <xf numFmtId="0" fontId="1" fillId="0" borderId="128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31" xfId="0" applyFont="1" applyBorder="1" applyAlignment="1">
      <alignment horizontal="center"/>
    </xf>
    <xf numFmtId="0" fontId="1" fillId="3" borderId="9" xfId="0" applyFont="1" applyFill="1" applyBorder="1" applyAlignment="1">
      <alignment horizontal="center" vertical="top"/>
    </xf>
    <xf numFmtId="0" fontId="1" fillId="3" borderId="39" xfId="0" applyFont="1" applyFill="1" applyBorder="1" applyAlignment="1">
      <alignment horizontal="center" vertical="top"/>
    </xf>
    <xf numFmtId="0" fontId="1" fillId="3" borderId="40" xfId="0" applyFont="1" applyFill="1" applyBorder="1" applyAlignment="1">
      <alignment horizontal="center" vertical="top"/>
    </xf>
    <xf numFmtId="0" fontId="1" fillId="0" borderId="132" xfId="0" applyFont="1" applyFill="1" applyBorder="1" applyAlignment="1">
      <alignment horizontal="center"/>
    </xf>
    <xf numFmtId="0" fontId="1" fillId="0" borderId="133" xfId="0" applyFont="1" applyFill="1" applyBorder="1" applyAlignment="1">
      <alignment horizontal="center"/>
    </xf>
    <xf numFmtId="0" fontId="1" fillId="0" borderId="134" xfId="0" applyFont="1" applyFill="1" applyBorder="1" applyAlignment="1">
      <alignment horizontal="center"/>
    </xf>
    <xf numFmtId="0" fontId="1" fillId="0" borderId="135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 vertical="center"/>
    </xf>
    <xf numFmtId="0" fontId="1" fillId="0" borderId="124" xfId="0" applyFont="1" applyFill="1" applyBorder="1" applyAlignment="1">
      <alignment horizontal="center" vertical="center"/>
    </xf>
    <xf numFmtId="0" fontId="1" fillId="0" borderId="12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25" xfId="0" applyFont="1" applyFill="1" applyBorder="1" applyAlignment="1">
      <alignment horizontal="center" vertical="center"/>
    </xf>
    <xf numFmtId="164" fontId="14" fillId="13" borderId="34" xfId="0" applyNumberFormat="1" applyFont="1" applyFill="1" applyBorder="1" applyAlignment="1">
      <alignment horizontal="center"/>
    </xf>
    <xf numFmtId="164" fontId="14" fillId="13" borderId="125" xfId="0" applyNumberFormat="1" applyFont="1" applyFill="1" applyBorder="1" applyAlignment="1">
      <alignment horizontal="center"/>
    </xf>
    <xf numFmtId="0" fontId="0" fillId="0" borderId="32" xfId="0" applyFont="1" applyBorder="1"/>
    <xf numFmtId="0" fontId="0" fillId="0" borderId="13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6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6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openxmlformats.org/officeDocument/2006/relationships/image" Target="../media/image12.pn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11.pn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7" Type="http://schemas.openxmlformats.org/officeDocument/2006/relationships/image" Target="../media/image12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11.pn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4.jpeg"/><Relationship Id="rId1" Type="http://schemas.openxmlformats.org/officeDocument/2006/relationships/image" Target="../media/image23.jpe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44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840941"/>
          <a:ext cx="5334000" cy="323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4507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224367</xdr:colOff>
      <xdr:row>91</xdr:row>
      <xdr:rowOff>63500</xdr:rowOff>
    </xdr:from>
    <xdr:to>
      <xdr:col>5</xdr:col>
      <xdr:colOff>484263</xdr:colOff>
      <xdr:row>96</xdr:row>
      <xdr:rowOff>18296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33892" y="1793240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239183</xdr:colOff>
      <xdr:row>91</xdr:row>
      <xdr:rowOff>6350</xdr:rowOff>
    </xdr:from>
    <xdr:to>
      <xdr:col>10</xdr:col>
      <xdr:colOff>388768</xdr:colOff>
      <xdr:row>95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44383" y="1787525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119062</xdr:colOff>
      <xdr:row>99</xdr:row>
      <xdr:rowOff>130968</xdr:rowOff>
    </xdr:from>
    <xdr:to>
      <xdr:col>3</xdr:col>
      <xdr:colOff>111749</xdr:colOff>
      <xdr:row>99</xdr:row>
      <xdr:rowOff>1930968</xdr:rowOff>
    </xdr:to>
    <xdr:pic>
      <xdr:nvPicPr>
        <xdr:cNvPr id="7" name="31 Imagen" descr="IMG_20171102_095815630_HDR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8587" y="20752593"/>
          <a:ext cx="134523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590531</xdr:colOff>
      <xdr:row>99</xdr:row>
      <xdr:rowOff>102375</xdr:rowOff>
    </xdr:from>
    <xdr:to>
      <xdr:col>5</xdr:col>
      <xdr:colOff>511781</xdr:colOff>
      <xdr:row>99</xdr:row>
      <xdr:rowOff>1902375</xdr:rowOff>
    </xdr:to>
    <xdr:pic>
      <xdr:nvPicPr>
        <xdr:cNvPr id="8" name="32 Imagen" descr="IMG_20171102_093455570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52606" y="20724000"/>
          <a:ext cx="1350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573843</xdr:colOff>
      <xdr:row>99</xdr:row>
      <xdr:rowOff>157125</xdr:rowOff>
    </xdr:from>
    <xdr:to>
      <xdr:col>15</xdr:col>
      <xdr:colOff>116343</xdr:colOff>
      <xdr:row>99</xdr:row>
      <xdr:rowOff>1957125</xdr:rowOff>
    </xdr:to>
    <xdr:pic>
      <xdr:nvPicPr>
        <xdr:cNvPr id="9" name="33 Imagen" descr="IMG_20171102_094255148_HDR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50918" y="20778750"/>
          <a:ext cx="24000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309562</xdr:colOff>
      <xdr:row>99</xdr:row>
      <xdr:rowOff>83344</xdr:rowOff>
    </xdr:from>
    <xdr:to>
      <xdr:col>8</xdr:col>
      <xdr:colOff>230812</xdr:colOff>
      <xdr:row>99</xdr:row>
      <xdr:rowOff>1883344</xdr:rowOff>
    </xdr:to>
    <xdr:pic>
      <xdr:nvPicPr>
        <xdr:cNvPr id="10" name="34 Imagen" descr="IMG_20171102_100321366_HDR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4762" y="20704969"/>
          <a:ext cx="135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476249</xdr:colOff>
      <xdr:row>99</xdr:row>
      <xdr:rowOff>130968</xdr:rowOff>
    </xdr:from>
    <xdr:to>
      <xdr:col>10</xdr:col>
      <xdr:colOff>397499</xdr:colOff>
      <xdr:row>99</xdr:row>
      <xdr:rowOff>1930968</xdr:rowOff>
    </xdr:to>
    <xdr:pic>
      <xdr:nvPicPr>
        <xdr:cNvPr id="11" name="35 Imagen" descr="IMG_20171102_094313663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410199" y="20752593"/>
          <a:ext cx="135000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3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9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0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1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280645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257175</xdr:rowOff>
    </xdr:to>
    <xdr:pic>
      <xdr:nvPicPr>
        <xdr:cNvPr id="2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99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8793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117</xdr:row>
      <xdr:rowOff>63500</xdr:rowOff>
    </xdr:from>
    <xdr:to>
      <xdr:col>5</xdr:col>
      <xdr:colOff>408063</xdr:colOff>
      <xdr:row>121</xdr:row>
      <xdr:rowOff>195070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2409150"/>
          <a:ext cx="3041196" cy="178891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117</xdr:row>
      <xdr:rowOff>63500</xdr:rowOff>
    </xdr:from>
    <xdr:to>
      <xdr:col>10</xdr:col>
      <xdr:colOff>445918</xdr:colOff>
      <xdr:row>121</xdr:row>
      <xdr:rowOff>195070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2409150"/>
          <a:ext cx="3007085" cy="178891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498075</xdr:colOff>
      <xdr:row>124</xdr:row>
      <xdr:rowOff>23850</xdr:rowOff>
    </xdr:from>
    <xdr:to>
      <xdr:col>9</xdr:col>
      <xdr:colOff>509325</xdr:colOff>
      <xdr:row>124</xdr:row>
      <xdr:rowOff>1943850</xdr:rowOff>
    </xdr:to>
    <xdr:pic>
      <xdr:nvPicPr>
        <xdr:cNvPr id="7" name="22 Imagen" descr="IMG_029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4477650" y="25171725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657600</xdr:colOff>
      <xdr:row>124</xdr:row>
      <xdr:rowOff>78600</xdr:rowOff>
    </xdr:from>
    <xdr:to>
      <xdr:col>4</xdr:col>
      <xdr:colOff>668850</xdr:colOff>
      <xdr:row>124</xdr:row>
      <xdr:rowOff>1998600</xdr:rowOff>
    </xdr:to>
    <xdr:pic>
      <xdr:nvPicPr>
        <xdr:cNvPr id="8" name="29 Imagen" descr="IMG_025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5400000">
          <a:off x="1065300" y="25226475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261900</xdr:colOff>
      <xdr:row>124</xdr:row>
      <xdr:rowOff>166650</xdr:rowOff>
    </xdr:from>
    <xdr:to>
      <xdr:col>14</xdr:col>
      <xdr:colOff>518775</xdr:colOff>
      <xdr:row>124</xdr:row>
      <xdr:rowOff>1966650</xdr:rowOff>
    </xdr:to>
    <xdr:pic>
      <xdr:nvPicPr>
        <xdr:cNvPr id="9" name="30 Imagen" descr="IMG_0258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338975" y="25074525"/>
          <a:ext cx="240000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94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7936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112</xdr:row>
      <xdr:rowOff>63500</xdr:rowOff>
    </xdr:from>
    <xdr:to>
      <xdr:col>5</xdr:col>
      <xdr:colOff>408063</xdr:colOff>
      <xdr:row>116</xdr:row>
      <xdr:rowOff>185545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1551900"/>
          <a:ext cx="3041196" cy="177939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112</xdr:row>
      <xdr:rowOff>63500</xdr:rowOff>
    </xdr:from>
    <xdr:to>
      <xdr:col>10</xdr:col>
      <xdr:colOff>445918</xdr:colOff>
      <xdr:row>116</xdr:row>
      <xdr:rowOff>185545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1551900"/>
          <a:ext cx="3007085" cy="177939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303544</xdr:colOff>
      <xdr:row>119</xdr:row>
      <xdr:rowOff>83737</xdr:rowOff>
    </xdr:from>
    <xdr:to>
      <xdr:col>5</xdr:col>
      <xdr:colOff>568269</xdr:colOff>
      <xdr:row>119</xdr:row>
      <xdr:rowOff>1883737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244" y="24134362"/>
          <a:ext cx="2407850" cy="1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443655</xdr:colOff>
      <xdr:row>119</xdr:row>
      <xdr:rowOff>38407</xdr:rowOff>
    </xdr:from>
    <xdr:to>
      <xdr:col>9</xdr:col>
      <xdr:colOff>460138</xdr:colOff>
      <xdr:row>119</xdr:row>
      <xdr:rowOff>1958407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425847" y="24326415"/>
          <a:ext cx="1920000" cy="1445233"/>
        </a:xfrm>
        <a:prstGeom prst="rect">
          <a:avLst/>
        </a:prstGeom>
      </xdr:spPr>
    </xdr:pic>
    <xdr:clientData/>
  </xdr:twoCellAnchor>
  <xdr:twoCellAnchor editAs="oneCell">
    <xdr:from>
      <xdr:col>11</xdr:col>
      <xdr:colOff>669890</xdr:colOff>
      <xdr:row>119</xdr:row>
      <xdr:rowOff>136071</xdr:rowOff>
    </xdr:from>
    <xdr:to>
      <xdr:col>15</xdr:col>
      <xdr:colOff>222857</xdr:colOff>
      <xdr:row>119</xdr:row>
      <xdr:rowOff>1936071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6965" y="24186696"/>
          <a:ext cx="2410467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676737</xdr:colOff>
      <xdr:row>74</xdr:row>
      <xdr:rowOff>117738</xdr:rowOff>
    </xdr:from>
    <xdr:ext cx="275765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81937" y="14614788"/>
          <a:ext cx="27576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91</xdr:row>
      <xdr:rowOff>27781</xdr:rowOff>
    </xdr:from>
    <xdr:to>
      <xdr:col>5</xdr:col>
      <xdr:colOff>408063</xdr:colOff>
      <xdr:row>95</xdr:row>
      <xdr:rowOff>270709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896681"/>
          <a:ext cx="3041196" cy="180502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91</xdr:row>
      <xdr:rowOff>39687</xdr:rowOff>
    </xdr:from>
    <xdr:to>
      <xdr:col>10</xdr:col>
      <xdr:colOff>281694</xdr:colOff>
      <xdr:row>95</xdr:row>
      <xdr:rowOff>282615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7908587"/>
          <a:ext cx="3004786" cy="180502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645350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645350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VIVIANA%20AFORO%2000\Q.%20PALOGRANDE\JORNADA%201\Quebrada%20Palogrande%20-%20Terminal%20(J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VIVIANA%20AFORO%2000\Q.%20PALOGRANDE\JORNADA%202\Quebrada%20Palogrande%20-%20Terminal(J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Eleccion_Seccion_Aforo"/>
      <sheetName val="Perfil"/>
      <sheetName val="AFORO "/>
      <sheetName val="Viscocidad Cinematica"/>
    </sheetNames>
    <sheetDataSet>
      <sheetData sheetId="0"/>
      <sheetData sheetId="1">
        <row r="6">
          <cell r="I6" t="str">
            <v>N 5°3'3.88"</v>
          </cell>
        </row>
      </sheetData>
      <sheetData sheetId="2">
        <row r="7">
          <cell r="I7">
            <v>0.36805555555555558</v>
          </cell>
        </row>
        <row r="8">
          <cell r="I8">
            <v>0.43402777777777773</v>
          </cell>
          <cell r="P8">
            <v>0.3</v>
          </cell>
        </row>
        <row r="9">
          <cell r="O9">
            <v>18</v>
          </cell>
        </row>
        <row r="10">
          <cell r="O10">
            <v>0.3888888888888889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a llena"/>
      <sheetName val="Perfil"/>
      <sheetName val="AFORO"/>
      <sheetName val="Viscocidad Cinematica"/>
    </sheetNames>
    <sheetDataSet>
      <sheetData sheetId="0"/>
      <sheetData sheetId="1">
        <row r="5">
          <cell r="C5">
            <v>43062</v>
          </cell>
        </row>
      </sheetData>
      <sheetData sheetId="2">
        <row r="6">
          <cell r="P6">
            <v>1881</v>
          </cell>
        </row>
        <row r="9">
          <cell r="L9" t="str">
            <v>CALIDO</v>
          </cell>
        </row>
        <row r="11">
          <cell r="E11">
            <v>0.36180555555555555</v>
          </cell>
          <cell r="K11">
            <v>17</v>
          </cell>
        </row>
        <row r="12">
          <cell r="E12">
            <v>0.40625</v>
          </cell>
          <cell r="K12">
            <v>0.3666666666666667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5"/>
  <sheetViews>
    <sheetView zoomScale="85" zoomScaleNormal="85" workbookViewId="0">
      <selection activeCell="A38" sqref="A38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9" t="s">
        <v>39</v>
      </c>
      <c r="C2" s="99"/>
      <c r="D2" s="99"/>
      <c r="E2" s="99"/>
      <c r="F2" s="99"/>
      <c r="G2" s="99"/>
      <c r="H2" s="99"/>
      <c r="I2" s="99"/>
      <c r="J2" s="99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0"/>
      <c r="D4" s="100"/>
      <c r="E4" s="100"/>
      <c r="F4" s="100"/>
      <c r="G4" s="100"/>
      <c r="H4" s="100"/>
      <c r="I4" s="100"/>
      <c r="J4" s="106"/>
    </row>
    <row r="5" spans="2:10" x14ac:dyDescent="0.25">
      <c r="B5" s="104"/>
      <c r="C5" s="100"/>
      <c r="D5" s="100"/>
      <c r="E5" s="100"/>
      <c r="F5" s="100"/>
      <c r="G5" s="100"/>
      <c r="H5" s="100"/>
      <c r="I5" s="100"/>
      <c r="J5" s="106"/>
    </row>
    <row r="6" spans="2:10" x14ac:dyDescent="0.25">
      <c r="B6" s="104"/>
      <c r="C6" s="100"/>
      <c r="D6" s="100"/>
      <c r="E6" s="100"/>
      <c r="F6" s="100"/>
      <c r="G6" s="100"/>
      <c r="H6" s="100"/>
      <c r="I6" s="100"/>
      <c r="J6" s="106"/>
    </row>
    <row r="7" spans="2:10" x14ac:dyDescent="0.25">
      <c r="B7" s="104"/>
      <c r="C7" s="100"/>
      <c r="D7" s="100"/>
      <c r="E7" s="100"/>
      <c r="F7" s="100"/>
      <c r="G7" s="100"/>
      <c r="H7" s="100"/>
      <c r="I7" s="100"/>
      <c r="J7" s="106"/>
    </row>
    <row r="8" spans="2:10" x14ac:dyDescent="0.25">
      <c r="B8" s="104"/>
      <c r="C8" s="100"/>
      <c r="D8" s="100"/>
      <c r="E8" s="100"/>
      <c r="F8" s="100"/>
      <c r="G8" s="100"/>
      <c r="H8" s="100"/>
      <c r="I8" s="100"/>
      <c r="J8" s="106"/>
    </row>
    <row r="9" spans="2:10" x14ac:dyDescent="0.25">
      <c r="B9" s="104"/>
      <c r="C9" s="100"/>
      <c r="D9" s="100"/>
      <c r="E9" s="100"/>
      <c r="F9" s="100"/>
      <c r="G9" s="100"/>
      <c r="H9" s="100"/>
      <c r="I9" s="100"/>
      <c r="J9" s="106"/>
    </row>
    <row r="10" spans="2:10" x14ac:dyDescent="0.25">
      <c r="B10" s="104"/>
      <c r="C10" s="100"/>
      <c r="D10" s="100"/>
      <c r="E10" s="100"/>
      <c r="F10" s="100"/>
      <c r="G10" s="100"/>
      <c r="H10" s="100"/>
      <c r="I10" s="100"/>
      <c r="J10" s="106"/>
    </row>
    <row r="11" spans="2:10" x14ac:dyDescent="0.25">
      <c r="B11" s="104"/>
      <c r="C11" s="100"/>
      <c r="D11" s="100"/>
      <c r="E11" s="100"/>
      <c r="F11" s="100"/>
      <c r="G11" s="100"/>
      <c r="H11" s="100"/>
      <c r="I11" s="100"/>
      <c r="J11" s="106"/>
    </row>
    <row r="12" spans="2:10" x14ac:dyDescent="0.25">
      <c r="B12" s="104"/>
      <c r="C12" s="100"/>
      <c r="D12" s="100"/>
      <c r="E12" s="100"/>
      <c r="F12" s="100"/>
      <c r="G12" s="100"/>
      <c r="H12" s="100"/>
      <c r="I12" s="100"/>
      <c r="J12" s="106"/>
    </row>
    <row r="13" spans="2:10" x14ac:dyDescent="0.25">
      <c r="B13" s="104"/>
      <c r="C13" s="100"/>
      <c r="D13" s="100"/>
      <c r="E13" s="100"/>
      <c r="F13" s="100"/>
      <c r="G13" s="100"/>
      <c r="H13" s="100"/>
      <c r="I13" s="100"/>
      <c r="J13" s="106"/>
    </row>
    <row r="14" spans="2:10" x14ac:dyDescent="0.25">
      <c r="B14" s="104"/>
      <c r="C14" s="100"/>
      <c r="D14" s="100"/>
      <c r="E14" s="100"/>
      <c r="F14" s="100"/>
      <c r="G14" s="100"/>
      <c r="H14" s="100"/>
      <c r="I14" s="100"/>
      <c r="J14" s="106"/>
    </row>
    <row r="15" spans="2:10" x14ac:dyDescent="0.25">
      <c r="B15" s="104"/>
      <c r="C15" s="100"/>
      <c r="D15" s="100"/>
      <c r="E15" s="100"/>
      <c r="F15" s="100"/>
      <c r="G15" s="100"/>
      <c r="H15" s="100"/>
      <c r="I15" s="100"/>
      <c r="J15" s="106"/>
    </row>
    <row r="16" spans="2:10" x14ac:dyDescent="0.25">
      <c r="B16" s="104"/>
      <c r="C16" s="100"/>
      <c r="D16" s="100"/>
      <c r="E16" s="100"/>
      <c r="F16" s="100"/>
      <c r="G16" s="100"/>
      <c r="H16" s="100"/>
      <c r="I16" s="100"/>
      <c r="J16" s="106"/>
    </row>
    <row r="17" spans="2:10" x14ac:dyDescent="0.25">
      <c r="B17" s="104"/>
      <c r="C17" s="100"/>
      <c r="D17" s="100"/>
      <c r="E17" s="100"/>
      <c r="F17" s="100"/>
      <c r="G17" s="100"/>
      <c r="H17" s="100"/>
      <c r="I17" s="100"/>
      <c r="J17" s="106"/>
    </row>
    <row r="18" spans="2:10" x14ac:dyDescent="0.25">
      <c r="B18" s="104"/>
      <c r="C18" s="100"/>
      <c r="D18" s="100"/>
      <c r="E18" s="100"/>
      <c r="F18" s="100"/>
      <c r="G18" s="100"/>
      <c r="H18" s="100"/>
      <c r="I18" s="100"/>
      <c r="J18" s="106"/>
    </row>
    <row r="19" spans="2:10" x14ac:dyDescent="0.25">
      <c r="B19" s="104"/>
      <c r="C19" s="100"/>
      <c r="D19" s="100"/>
      <c r="E19" s="100"/>
      <c r="F19" s="100"/>
      <c r="G19" s="100"/>
      <c r="H19" s="100"/>
      <c r="I19" s="100"/>
      <c r="J19" s="106"/>
    </row>
    <row r="20" spans="2:10" x14ac:dyDescent="0.25">
      <c r="B20" s="104"/>
      <c r="C20" s="100"/>
      <c r="D20" s="100"/>
      <c r="E20" s="100"/>
      <c r="F20" s="100"/>
      <c r="G20" s="100"/>
      <c r="H20" s="100"/>
      <c r="I20" s="100"/>
      <c r="J20" s="106"/>
    </row>
    <row r="21" spans="2:10" x14ac:dyDescent="0.25">
      <c r="B21" s="104"/>
      <c r="C21" s="100"/>
      <c r="D21" s="100"/>
      <c r="E21" s="100"/>
      <c r="F21" s="100"/>
      <c r="G21" s="100"/>
      <c r="H21" s="100"/>
      <c r="I21" s="100"/>
      <c r="J21" s="106"/>
    </row>
    <row r="22" spans="2:10" x14ac:dyDescent="0.25">
      <c r="B22" s="104"/>
      <c r="C22" s="100"/>
      <c r="D22" s="100"/>
      <c r="E22" s="100"/>
      <c r="F22" s="100"/>
      <c r="G22" s="100"/>
      <c r="H22" s="100"/>
      <c r="I22" s="100"/>
      <c r="J22" s="106"/>
    </row>
    <row r="23" spans="2:10" x14ac:dyDescent="0.25">
      <c r="B23" s="104"/>
      <c r="C23" s="100"/>
      <c r="D23" s="100"/>
      <c r="E23" s="100"/>
      <c r="F23" s="100"/>
      <c r="G23" s="100"/>
      <c r="H23" s="100"/>
      <c r="I23" s="100"/>
      <c r="J23" s="106"/>
    </row>
    <row r="24" spans="2:10" ht="6.75" customHeight="1" x14ac:dyDescent="0.25">
      <c r="B24" s="105"/>
      <c r="C24" s="108"/>
      <c r="D24" s="108"/>
      <c r="E24" s="108"/>
      <c r="F24" s="108"/>
      <c r="G24" s="108"/>
      <c r="H24" s="108"/>
      <c r="I24" s="108"/>
      <c r="J24" s="107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99" t="s">
        <v>40</v>
      </c>
      <c r="C26" s="99"/>
      <c r="D26" s="99"/>
      <c r="E26" s="99"/>
      <c r="F26" s="99"/>
      <c r="G26" s="99"/>
      <c r="H26" s="99"/>
      <c r="I26" s="99"/>
      <c r="J26" s="99"/>
    </row>
    <row r="27" spans="2:10" ht="6.75" customHeight="1" x14ac:dyDescent="0.25">
      <c r="B27" s="101"/>
      <c r="C27" s="102"/>
      <c r="D27" s="102"/>
      <c r="E27" s="102"/>
      <c r="F27" s="102"/>
      <c r="G27" s="102"/>
      <c r="H27" s="102"/>
      <c r="I27" s="102"/>
      <c r="J27" s="103"/>
    </row>
    <row r="28" spans="2:10" x14ac:dyDescent="0.25">
      <c r="B28" s="104"/>
      <c r="C28" s="100"/>
      <c r="D28" s="100"/>
      <c r="E28" s="100"/>
      <c r="F28" s="100"/>
      <c r="G28" s="100"/>
      <c r="H28" s="100"/>
      <c r="I28" s="100"/>
      <c r="J28" s="106"/>
    </row>
    <row r="29" spans="2:10" x14ac:dyDescent="0.25">
      <c r="B29" s="104"/>
      <c r="C29" s="100"/>
      <c r="D29" s="100"/>
      <c r="E29" s="100"/>
      <c r="F29" s="100"/>
      <c r="G29" s="100"/>
      <c r="H29" s="100"/>
      <c r="I29" s="100"/>
      <c r="J29" s="106"/>
    </row>
    <row r="30" spans="2:10" x14ac:dyDescent="0.25">
      <c r="B30" s="104"/>
      <c r="C30" s="100"/>
      <c r="D30" s="100"/>
      <c r="E30" s="100"/>
      <c r="F30" s="100"/>
      <c r="G30" s="100"/>
      <c r="H30" s="100"/>
      <c r="I30" s="100"/>
      <c r="J30" s="106"/>
    </row>
    <row r="31" spans="2:10" x14ac:dyDescent="0.25">
      <c r="B31" s="104"/>
      <c r="C31" s="100"/>
      <c r="D31" s="100"/>
      <c r="E31" s="100"/>
      <c r="F31" s="100"/>
      <c r="G31" s="100"/>
      <c r="H31" s="100"/>
      <c r="I31" s="100"/>
      <c r="J31" s="106"/>
    </row>
    <row r="32" spans="2:10" x14ac:dyDescent="0.25">
      <c r="B32" s="104"/>
      <c r="C32" s="100"/>
      <c r="D32" s="100"/>
      <c r="E32" s="100"/>
      <c r="F32" s="100"/>
      <c r="G32" s="100"/>
      <c r="H32" s="100"/>
      <c r="I32" s="100"/>
      <c r="J32" s="106"/>
    </row>
    <row r="33" spans="2:10" x14ac:dyDescent="0.25">
      <c r="B33" s="104"/>
      <c r="C33" s="100"/>
      <c r="D33" s="100"/>
      <c r="E33" s="100"/>
      <c r="F33" s="100"/>
      <c r="G33" s="100"/>
      <c r="H33" s="100"/>
      <c r="I33" s="100"/>
      <c r="J33" s="106"/>
    </row>
    <row r="34" spans="2:10" x14ac:dyDescent="0.25">
      <c r="B34" s="104"/>
      <c r="C34" s="100"/>
      <c r="D34" s="100"/>
      <c r="E34" s="100"/>
      <c r="F34" s="100"/>
      <c r="G34" s="100"/>
      <c r="H34" s="100"/>
      <c r="I34" s="100"/>
      <c r="J34" s="106"/>
    </row>
    <row r="35" spans="2:10" x14ac:dyDescent="0.25">
      <c r="B35" s="104"/>
      <c r="C35" s="100"/>
      <c r="D35" s="100"/>
      <c r="E35" s="100"/>
      <c r="F35" s="100"/>
      <c r="G35" s="100"/>
      <c r="H35" s="100"/>
      <c r="I35" s="100"/>
      <c r="J35" s="106"/>
    </row>
    <row r="36" spans="2:10" x14ac:dyDescent="0.25">
      <c r="B36" s="104"/>
      <c r="C36" s="100"/>
      <c r="D36" s="100"/>
      <c r="E36" s="100"/>
      <c r="F36" s="100"/>
      <c r="G36" s="100"/>
      <c r="H36" s="100"/>
      <c r="I36" s="100"/>
      <c r="J36" s="106"/>
    </row>
    <row r="37" spans="2:10" x14ac:dyDescent="0.25">
      <c r="B37" s="104"/>
      <c r="C37" s="100"/>
      <c r="D37" s="100"/>
      <c r="E37" s="100"/>
      <c r="F37" s="100"/>
      <c r="G37" s="100"/>
      <c r="H37" s="100"/>
      <c r="I37" s="100"/>
      <c r="J37" s="106"/>
    </row>
    <row r="38" spans="2:10" x14ac:dyDescent="0.25">
      <c r="B38" s="104"/>
      <c r="C38" s="100"/>
      <c r="D38" s="100"/>
      <c r="E38" s="100"/>
      <c r="F38" s="100"/>
      <c r="G38" s="100"/>
      <c r="H38" s="100"/>
      <c r="I38" s="100"/>
      <c r="J38" s="106"/>
    </row>
    <row r="39" spans="2:10" x14ac:dyDescent="0.25">
      <c r="B39" s="104"/>
      <c r="C39" s="100"/>
      <c r="D39" s="100"/>
      <c r="E39" s="100"/>
      <c r="F39" s="100"/>
      <c r="G39" s="100"/>
      <c r="H39" s="100"/>
      <c r="I39" s="100"/>
      <c r="J39" s="106"/>
    </row>
    <row r="40" spans="2:10" x14ac:dyDescent="0.25">
      <c r="B40" s="104"/>
      <c r="C40" s="100"/>
      <c r="D40" s="100"/>
      <c r="E40" s="100"/>
      <c r="F40" s="100"/>
      <c r="G40" s="100"/>
      <c r="H40" s="100"/>
      <c r="I40" s="100"/>
      <c r="J40" s="106"/>
    </row>
    <row r="41" spans="2:10" x14ac:dyDescent="0.25">
      <c r="B41" s="104"/>
      <c r="C41" s="100"/>
      <c r="D41" s="100"/>
      <c r="E41" s="100"/>
      <c r="F41" s="100"/>
      <c r="G41" s="100"/>
      <c r="H41" s="100"/>
      <c r="I41" s="100"/>
      <c r="J41" s="106"/>
    </row>
    <row r="42" spans="2:10" x14ac:dyDescent="0.25">
      <c r="B42" s="104"/>
      <c r="C42" s="100"/>
      <c r="D42" s="100"/>
      <c r="E42" s="100"/>
      <c r="F42" s="100"/>
      <c r="G42" s="100"/>
      <c r="H42" s="100"/>
      <c r="I42" s="100"/>
      <c r="J42" s="106"/>
    </row>
    <row r="43" spans="2:10" x14ac:dyDescent="0.25">
      <c r="B43" s="104"/>
      <c r="C43" s="100"/>
      <c r="D43" s="100"/>
      <c r="E43" s="100"/>
      <c r="F43" s="100"/>
      <c r="G43" s="100"/>
      <c r="H43" s="100"/>
      <c r="I43" s="100"/>
      <c r="J43" s="106"/>
    </row>
    <row r="44" spans="2:10" x14ac:dyDescent="0.25">
      <c r="B44" s="104"/>
      <c r="C44" s="100"/>
      <c r="D44" s="100"/>
      <c r="E44" s="100"/>
      <c r="F44" s="100"/>
      <c r="G44" s="100"/>
      <c r="H44" s="100"/>
      <c r="I44" s="100"/>
      <c r="J44" s="106"/>
    </row>
    <row r="45" spans="2:10" ht="6.75" customHeight="1" x14ac:dyDescent="0.25">
      <c r="B45" s="105"/>
      <c r="C45" s="108"/>
      <c r="D45" s="108"/>
      <c r="E45" s="108"/>
      <c r="F45" s="108"/>
      <c r="G45" s="108"/>
      <c r="H45" s="108"/>
      <c r="I45" s="108"/>
      <c r="J45" s="107"/>
    </row>
  </sheetData>
  <mergeCells count="12">
    <mergeCell ref="B26:J26"/>
    <mergeCell ref="B27:J27"/>
    <mergeCell ref="B28:B45"/>
    <mergeCell ref="C28:I44"/>
    <mergeCell ref="J28:J45"/>
    <mergeCell ref="C45:I45"/>
    <mergeCell ref="B2:J2"/>
    <mergeCell ref="C4:I23"/>
    <mergeCell ref="B3:J3"/>
    <mergeCell ref="B4:B24"/>
    <mergeCell ref="J4:J24"/>
    <mergeCell ref="C24:I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3"/>
  <sheetViews>
    <sheetView tabSelected="1" view="pageBreakPreview" zoomScaleSheetLayoutView="100" zoomScalePageLayoutView="110" workbookViewId="0">
      <selection activeCell="A6" sqref="A6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45"/>
      <c r="B2" s="346"/>
      <c r="C2" s="347"/>
      <c r="D2" s="348"/>
      <c r="E2" s="349" t="s">
        <v>118</v>
      </c>
      <c r="F2" s="350"/>
      <c r="G2" s="350"/>
      <c r="H2" s="350"/>
      <c r="I2" s="350"/>
      <c r="J2" s="350"/>
      <c r="K2" s="350"/>
      <c r="L2" s="350"/>
      <c r="M2" s="350"/>
      <c r="N2" s="350"/>
      <c r="O2" s="351"/>
      <c r="P2" s="352"/>
    </row>
    <row r="3" spans="1:26" s="2" customFormat="1" ht="25.5" customHeight="1" thickBot="1" x14ac:dyDescent="0.3">
      <c r="A3" s="345"/>
      <c r="B3" s="353"/>
      <c r="C3" s="354"/>
      <c r="D3" s="355"/>
      <c r="E3" s="356"/>
      <c r="F3" s="357"/>
      <c r="G3" s="357"/>
      <c r="H3" s="357"/>
      <c r="I3" s="357"/>
      <c r="J3" s="357"/>
      <c r="K3" s="357"/>
      <c r="L3" s="357"/>
      <c r="M3" s="357"/>
      <c r="N3" s="357"/>
      <c r="O3" s="358"/>
      <c r="P3" s="35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43041</v>
      </c>
      <c r="D5" s="298"/>
      <c r="E5" s="22" t="s">
        <v>53</v>
      </c>
      <c r="F5" s="23">
        <v>1</v>
      </c>
      <c r="G5" s="24" t="s">
        <v>1</v>
      </c>
      <c r="H5" s="299" t="s">
        <v>119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106</v>
      </c>
      <c r="E6" s="283"/>
      <c r="F6" s="283"/>
      <c r="G6" s="283"/>
      <c r="H6" s="283"/>
      <c r="I6" s="284"/>
      <c r="J6" s="28" t="s">
        <v>3</v>
      </c>
      <c r="K6" s="285" t="s">
        <v>107</v>
      </c>
      <c r="L6" s="284"/>
      <c r="M6" s="285" t="s">
        <v>108</v>
      </c>
      <c r="N6" s="286"/>
      <c r="O6" s="29" t="s">
        <v>54</v>
      </c>
      <c r="P6" s="30">
        <v>1881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91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4"/>
    </row>
    <row r="9" spans="1:26" s="26" customFormat="1" ht="21.75" customHeight="1" x14ac:dyDescent="0.25">
      <c r="B9" s="266" t="s">
        <v>6</v>
      </c>
      <c r="C9" s="269" t="s">
        <v>62</v>
      </c>
      <c r="D9" s="270" t="s">
        <v>63</v>
      </c>
      <c r="E9" s="255"/>
      <c r="F9" s="35"/>
      <c r="G9" s="271" t="s">
        <v>7</v>
      </c>
      <c r="H9" s="272" t="s">
        <v>8</v>
      </c>
      <c r="I9" s="258"/>
      <c r="J9" s="36"/>
      <c r="K9" s="269" t="s">
        <v>64</v>
      </c>
      <c r="L9" s="273" t="s">
        <v>109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92" t="s">
        <v>4</v>
      </c>
      <c r="G10" s="212"/>
      <c r="H10" s="253" t="s">
        <v>9</v>
      </c>
      <c r="I10" s="248"/>
      <c r="J10" s="93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94">
        <f>+'[1]AFORO '!$I$7</f>
        <v>0.36805555555555558</v>
      </c>
      <c r="F11" s="256" t="s">
        <v>11</v>
      </c>
      <c r="G11" s="255"/>
      <c r="H11" s="37">
        <v>1.56</v>
      </c>
      <c r="I11" s="257" t="s">
        <v>12</v>
      </c>
      <c r="J11" s="258"/>
      <c r="K11" s="95">
        <f>+'[1]AFORO '!$O$9</f>
        <v>18</v>
      </c>
      <c r="L11" s="254" t="s">
        <v>13</v>
      </c>
      <c r="M11" s="255"/>
      <c r="N11" s="96">
        <v>3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94">
        <f>+'[1]AFORO '!$I$8</f>
        <v>0.43402777777777773</v>
      </c>
      <c r="F12" s="249" t="s">
        <v>15</v>
      </c>
      <c r="G12" s="248"/>
      <c r="H12" s="37">
        <v>1.56</v>
      </c>
      <c r="I12" s="250" t="s">
        <v>16</v>
      </c>
      <c r="J12" s="248"/>
      <c r="K12" s="94">
        <f>+'[1]AFORO '!$O$10</f>
        <v>0.3888888888888889</v>
      </c>
      <c r="L12" s="247" t="s">
        <v>17</v>
      </c>
      <c r="M12" s="248"/>
      <c r="N12" s="97">
        <f>+'[1]AFORO '!$P$8</f>
        <v>0.3</v>
      </c>
      <c r="O12" s="251">
        <v>0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 t="s">
        <v>70</v>
      </c>
      <c r="O13" s="234"/>
      <c r="P13" s="237"/>
      <c r="Q13" s="38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77</v>
      </c>
      <c r="I16" s="228" t="s">
        <v>78</v>
      </c>
      <c r="J16" s="39" t="s">
        <v>43</v>
      </c>
      <c r="K16" s="40"/>
      <c r="L16" s="41" t="s">
        <v>44</v>
      </c>
      <c r="M16" s="41" t="s">
        <v>45</v>
      </c>
      <c r="N16" s="41" t="s">
        <v>45</v>
      </c>
      <c r="O16" s="41" t="s">
        <v>46</v>
      </c>
      <c r="P16" s="42" t="s">
        <v>22</v>
      </c>
    </row>
    <row r="17" spans="1:26" s="26" customFormat="1" ht="21.75" customHeight="1" thickBot="1" x14ac:dyDescent="0.3">
      <c r="A17" s="43"/>
      <c r="B17" s="220"/>
      <c r="C17" s="222"/>
      <c r="D17" s="222"/>
      <c r="E17" s="222"/>
      <c r="F17" s="226"/>
      <c r="G17" s="227"/>
      <c r="H17" s="222"/>
      <c r="I17" s="229"/>
      <c r="J17" s="44" t="s">
        <v>23</v>
      </c>
      <c r="K17" s="45" t="s">
        <v>24</v>
      </c>
      <c r="L17" s="45" t="s">
        <v>47</v>
      </c>
      <c r="M17" s="45" t="s">
        <v>48</v>
      </c>
      <c r="N17" s="45" t="s">
        <v>25</v>
      </c>
      <c r="O17" s="45" t="s">
        <v>26</v>
      </c>
      <c r="P17" s="46" t="s">
        <v>27</v>
      </c>
    </row>
    <row r="18" spans="1:26" s="55" customFormat="1" ht="21.75" customHeight="1" thickBot="1" x14ac:dyDescent="0.3">
      <c r="A18" s="47"/>
      <c r="B18" s="48"/>
      <c r="C18" s="49">
        <f>+O12</f>
        <v>0</v>
      </c>
      <c r="D18" s="49">
        <v>0</v>
      </c>
      <c r="E18" s="50"/>
      <c r="F18" s="51"/>
      <c r="G18" s="90"/>
      <c r="H18" s="52"/>
      <c r="I18" s="53"/>
      <c r="J18" s="89"/>
      <c r="K18" s="50"/>
      <c r="L18" s="50"/>
      <c r="M18" s="50"/>
      <c r="N18" s="50"/>
      <c r="O18" s="50"/>
      <c r="P18" s="54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s="55" customFormat="1" ht="13.5" customHeight="1" x14ac:dyDescent="0.25">
      <c r="A19" s="47"/>
      <c r="B19" s="210">
        <v>1</v>
      </c>
      <c r="C19" s="213">
        <v>0.3</v>
      </c>
      <c r="D19" s="190">
        <v>3.5999999999999997E-2</v>
      </c>
      <c r="E19" s="190">
        <v>0.03</v>
      </c>
      <c r="F19" s="56" t="s">
        <v>79</v>
      </c>
      <c r="G19" s="57">
        <v>0</v>
      </c>
      <c r="H19" s="58"/>
      <c r="I19" s="59"/>
      <c r="J19" s="60"/>
      <c r="K19" s="190">
        <f>+IF(E19&lt;=0.12,(J21),(IF(E19&lt;0.16,((J20+2*J21+J22)/4),IF(E19&gt;=0.16,((J19+3*J20+2*J21+3*J22+J23)/10)))))</f>
        <v>0.08</v>
      </c>
      <c r="L19" s="190">
        <f>ROUND(+(D18+D19)/2*(C19-C18),3)</f>
        <v>5.0000000000000001E-3</v>
      </c>
      <c r="M19" s="190">
        <f>ROUND(+K19*L19,4)</f>
        <v>4.0000000000000002E-4</v>
      </c>
      <c r="N19" s="193">
        <f>ROUND(+M19/$M$88*100,2)</f>
        <v>0.37</v>
      </c>
      <c r="O19" s="194"/>
      <c r="P19" s="195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s="55" customFormat="1" ht="13.5" customHeight="1" x14ac:dyDescent="0.25">
      <c r="A20" s="47"/>
      <c r="B20" s="211"/>
      <c r="C20" s="191"/>
      <c r="D20" s="191"/>
      <c r="E20" s="191"/>
      <c r="F20" s="61" t="s">
        <v>80</v>
      </c>
      <c r="G20" s="62" t="str">
        <f>IF(E19&lt;0.125,"NA",IF(0.125&lt;=E19,(0.2*E19)))</f>
        <v>NA</v>
      </c>
      <c r="H20" s="63"/>
      <c r="I20" s="64"/>
      <c r="J20" s="65"/>
      <c r="K20" s="191"/>
      <c r="L20" s="191"/>
      <c r="M20" s="191"/>
      <c r="N20" s="191"/>
      <c r="O20" s="191"/>
      <c r="P20" s="196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s="55" customFormat="1" ht="13.5" customHeight="1" x14ac:dyDescent="0.25">
      <c r="A21" s="47"/>
      <c r="B21" s="211"/>
      <c r="C21" s="191"/>
      <c r="D21" s="191"/>
      <c r="E21" s="191"/>
      <c r="F21" s="61" t="s">
        <v>81</v>
      </c>
      <c r="G21" s="62">
        <f>+E19*0.4</f>
        <v>1.2E-2</v>
      </c>
      <c r="H21" s="63"/>
      <c r="I21" s="64"/>
      <c r="J21" s="65">
        <v>0.08</v>
      </c>
      <c r="K21" s="191"/>
      <c r="L21" s="191"/>
      <c r="M21" s="191"/>
      <c r="N21" s="191"/>
      <c r="O21" s="191"/>
      <c r="P21" s="196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s="55" customFormat="1" ht="13.5" customHeight="1" x14ac:dyDescent="0.25">
      <c r="A22" s="47"/>
      <c r="B22" s="211"/>
      <c r="C22" s="191"/>
      <c r="D22" s="191"/>
      <c r="E22" s="191"/>
      <c r="F22" s="61" t="s">
        <v>82</v>
      </c>
      <c r="G22" s="62" t="str">
        <f>IF(E19&lt;0.125,"NA",IF(0.125&lt;=E19,(0.8*E19)))</f>
        <v>NA</v>
      </c>
      <c r="H22" s="63"/>
      <c r="I22" s="64"/>
      <c r="J22" s="65"/>
      <c r="K22" s="191"/>
      <c r="L22" s="191"/>
      <c r="M22" s="191"/>
      <c r="N22" s="191"/>
      <c r="O22" s="191"/>
      <c r="P22" s="196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s="55" customFormat="1" ht="13.5" customHeight="1" thickBot="1" x14ac:dyDescent="0.3">
      <c r="A23" s="47"/>
      <c r="B23" s="212"/>
      <c r="C23" s="192"/>
      <c r="D23" s="192"/>
      <c r="E23" s="192"/>
      <c r="F23" s="66" t="s">
        <v>83</v>
      </c>
      <c r="G23" s="67">
        <f>+E19</f>
        <v>0.03</v>
      </c>
      <c r="H23" s="68"/>
      <c r="I23" s="69"/>
      <c r="J23" s="70"/>
      <c r="K23" s="192"/>
      <c r="L23" s="192"/>
      <c r="M23" s="192"/>
      <c r="N23" s="192"/>
      <c r="O23" s="192"/>
      <c r="P23" s="19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s="55" customFormat="1" ht="13.5" customHeight="1" x14ac:dyDescent="0.25">
      <c r="A24" s="47"/>
      <c r="B24" s="210">
        <v>2</v>
      </c>
      <c r="C24" s="213">
        <v>0.6</v>
      </c>
      <c r="D24" s="190">
        <v>3.5000000000000003E-2</v>
      </c>
      <c r="E24" s="190">
        <v>3.5000000000000003E-2</v>
      </c>
      <c r="F24" s="56" t="s">
        <v>79</v>
      </c>
      <c r="G24" s="57">
        <v>0</v>
      </c>
      <c r="H24" s="58"/>
      <c r="I24" s="59"/>
      <c r="J24" s="60"/>
      <c r="K24" s="190">
        <f>+IF(E24&lt;=0.12,(J26),(IF(E24&lt;0.16,((J25+2*J26+J27)/4),IF(E24&gt;=0.16,((J24+3*J25+2*J26+3*J27+J28)/10)))))</f>
        <v>0.77</v>
      </c>
      <c r="L24" s="190">
        <f>ROUND(+(D19+D24)/2*(C24-C19),3)</f>
        <v>1.0999999999999999E-2</v>
      </c>
      <c r="M24" s="190">
        <f>ROUND(+K24*L24,4)</f>
        <v>8.5000000000000006E-3</v>
      </c>
      <c r="N24" s="193">
        <f>ROUND(+M24/$M$88*100,2)</f>
        <v>7.86</v>
      </c>
      <c r="O24" s="194"/>
      <c r="P24" s="195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s="55" customFormat="1" ht="13.5" customHeight="1" x14ac:dyDescent="0.25">
      <c r="A25" s="47"/>
      <c r="B25" s="211"/>
      <c r="C25" s="191"/>
      <c r="D25" s="191"/>
      <c r="E25" s="191"/>
      <c r="F25" s="61" t="s">
        <v>80</v>
      </c>
      <c r="G25" s="62" t="str">
        <f t="shared" ref="G25" si="0">IF(E24&lt;0.125,"NA",IF(0.125&lt;=E24,(0.2*E24)))</f>
        <v>NA</v>
      </c>
      <c r="H25" s="63"/>
      <c r="I25" s="64"/>
      <c r="J25" s="65"/>
      <c r="K25" s="191"/>
      <c r="L25" s="191"/>
      <c r="M25" s="191"/>
      <c r="N25" s="191"/>
      <c r="O25" s="191"/>
      <c r="P25" s="196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s="55" customFormat="1" ht="13.5" customHeight="1" x14ac:dyDescent="0.25">
      <c r="A26" s="47"/>
      <c r="B26" s="211"/>
      <c r="C26" s="191"/>
      <c r="D26" s="191"/>
      <c r="E26" s="191"/>
      <c r="F26" s="61" t="s">
        <v>81</v>
      </c>
      <c r="G26" s="62">
        <f t="shared" ref="G26" si="1">+E24*0.4</f>
        <v>1.4000000000000002E-2</v>
      </c>
      <c r="H26" s="63"/>
      <c r="I26" s="64"/>
      <c r="J26" s="65">
        <v>0.77</v>
      </c>
      <c r="K26" s="191"/>
      <c r="L26" s="191"/>
      <c r="M26" s="191"/>
      <c r="N26" s="191"/>
      <c r="O26" s="191"/>
      <c r="P26" s="196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s="55" customFormat="1" ht="13.5" customHeight="1" x14ac:dyDescent="0.25">
      <c r="A27" s="47"/>
      <c r="B27" s="211"/>
      <c r="C27" s="191"/>
      <c r="D27" s="191"/>
      <c r="E27" s="191"/>
      <c r="F27" s="61" t="s">
        <v>82</v>
      </c>
      <c r="G27" s="62" t="str">
        <f t="shared" ref="G27" si="2">IF(E24&lt;0.125,"NA",IF(0.125&lt;=E24,(0.8*E24)))</f>
        <v>NA</v>
      </c>
      <c r="H27" s="63"/>
      <c r="I27" s="64"/>
      <c r="J27" s="65"/>
      <c r="K27" s="191"/>
      <c r="L27" s="191"/>
      <c r="M27" s="191"/>
      <c r="N27" s="191"/>
      <c r="O27" s="191"/>
      <c r="P27" s="196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s="55" customFormat="1" ht="13.5" customHeight="1" thickBot="1" x14ac:dyDescent="0.3">
      <c r="A28" s="47"/>
      <c r="B28" s="212"/>
      <c r="C28" s="192"/>
      <c r="D28" s="192"/>
      <c r="E28" s="192"/>
      <c r="F28" s="66" t="s">
        <v>83</v>
      </c>
      <c r="G28" s="67">
        <f t="shared" ref="G28" si="3">+E24</f>
        <v>3.5000000000000003E-2</v>
      </c>
      <c r="H28" s="68"/>
      <c r="I28" s="69"/>
      <c r="J28" s="70"/>
      <c r="K28" s="192"/>
      <c r="L28" s="192"/>
      <c r="M28" s="192"/>
      <c r="N28" s="192"/>
      <c r="O28" s="192"/>
      <c r="P28" s="19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s="55" customFormat="1" ht="13.5" customHeight="1" x14ac:dyDescent="0.25">
      <c r="A29" s="47"/>
      <c r="B29" s="210">
        <v>3</v>
      </c>
      <c r="C29" s="213">
        <v>0.89999999999999991</v>
      </c>
      <c r="D29" s="190">
        <v>5.5E-2</v>
      </c>
      <c r="E29" s="190">
        <v>4.4999999999999998E-2</v>
      </c>
      <c r="F29" s="56" t="s">
        <v>79</v>
      </c>
      <c r="G29" s="57">
        <v>0</v>
      </c>
      <c r="H29" s="58"/>
      <c r="I29" s="59"/>
      <c r="J29" s="60"/>
      <c r="K29" s="190">
        <f t="shared" ref="K29" si="4">+IF(E29&lt;=0.12,(J31),(IF(E29&lt;0.16,((J30+2*J31+J32)/4),IF(E29&gt;=0.16,((J29+3*J30+2*J31+3*J32+J33)/10)))))</f>
        <v>0.82</v>
      </c>
      <c r="L29" s="190">
        <f t="shared" ref="L29" si="5">ROUND(+(D24+D29)/2*(C29-C24),3)</f>
        <v>1.4E-2</v>
      </c>
      <c r="M29" s="190">
        <f t="shared" ref="M29" si="6">ROUND(+K29*L29,4)</f>
        <v>1.15E-2</v>
      </c>
      <c r="N29" s="193">
        <f t="shared" ref="N29" si="7">ROUND(+M29/$M$88*100,2)</f>
        <v>10.63</v>
      </c>
      <c r="O29" s="194"/>
      <c r="P29" s="195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s="55" customFormat="1" ht="13.5" customHeight="1" x14ac:dyDescent="0.25">
      <c r="A30" s="47"/>
      <c r="B30" s="211"/>
      <c r="C30" s="191"/>
      <c r="D30" s="191"/>
      <c r="E30" s="191"/>
      <c r="F30" s="61" t="s">
        <v>80</v>
      </c>
      <c r="G30" s="62" t="str">
        <f t="shared" ref="G30" si="8">IF(E29&lt;0.125,"NA",IF(0.125&lt;=E29,(0.2*E29)))</f>
        <v>NA</v>
      </c>
      <c r="H30" s="63"/>
      <c r="I30" s="64"/>
      <c r="J30" s="65"/>
      <c r="K30" s="191"/>
      <c r="L30" s="191"/>
      <c r="M30" s="191"/>
      <c r="N30" s="191"/>
      <c r="O30" s="191"/>
      <c r="P30" s="196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s="55" customFormat="1" ht="13.5" customHeight="1" x14ac:dyDescent="0.25">
      <c r="A31" s="47"/>
      <c r="B31" s="211"/>
      <c r="C31" s="191"/>
      <c r="D31" s="191"/>
      <c r="E31" s="191"/>
      <c r="F31" s="61" t="s">
        <v>81</v>
      </c>
      <c r="G31" s="62">
        <f t="shared" ref="G31" si="9">+E29*0.4</f>
        <v>1.7999999999999999E-2</v>
      </c>
      <c r="H31" s="63"/>
      <c r="I31" s="64"/>
      <c r="J31" s="65">
        <v>0.82</v>
      </c>
      <c r="K31" s="191"/>
      <c r="L31" s="191"/>
      <c r="M31" s="191"/>
      <c r="N31" s="191"/>
      <c r="O31" s="191"/>
      <c r="P31" s="196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s="55" customFormat="1" ht="13.5" customHeight="1" x14ac:dyDescent="0.25">
      <c r="A32" s="47"/>
      <c r="B32" s="211"/>
      <c r="C32" s="191"/>
      <c r="D32" s="191"/>
      <c r="E32" s="191"/>
      <c r="F32" s="61" t="s">
        <v>82</v>
      </c>
      <c r="G32" s="62" t="str">
        <f t="shared" ref="G32" si="10">IF(E29&lt;0.125,"NA",IF(0.125&lt;=E29,(0.8*E29)))</f>
        <v>NA</v>
      </c>
      <c r="H32" s="63"/>
      <c r="I32" s="64"/>
      <c r="J32" s="65"/>
      <c r="K32" s="191"/>
      <c r="L32" s="191"/>
      <c r="M32" s="191"/>
      <c r="N32" s="191"/>
      <c r="O32" s="191"/>
      <c r="P32" s="196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s="55" customFormat="1" ht="13.5" customHeight="1" thickBot="1" x14ac:dyDescent="0.3">
      <c r="A33" s="47"/>
      <c r="B33" s="212"/>
      <c r="C33" s="192"/>
      <c r="D33" s="192"/>
      <c r="E33" s="192"/>
      <c r="F33" s="66" t="s">
        <v>83</v>
      </c>
      <c r="G33" s="67">
        <f t="shared" ref="G33" si="11">+E29</f>
        <v>4.4999999999999998E-2</v>
      </c>
      <c r="H33" s="68"/>
      <c r="I33" s="69"/>
      <c r="J33" s="70"/>
      <c r="K33" s="192"/>
      <c r="L33" s="192"/>
      <c r="M33" s="192"/>
      <c r="N33" s="192"/>
      <c r="O33" s="192"/>
      <c r="P33" s="19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s="55" customFormat="1" ht="13.5" customHeight="1" x14ac:dyDescent="0.25">
      <c r="A34" s="47"/>
      <c r="B34" s="210">
        <v>4</v>
      </c>
      <c r="C34" s="213">
        <v>1.2</v>
      </c>
      <c r="D34" s="190">
        <v>5.1999999999999998E-2</v>
      </c>
      <c r="E34" s="190">
        <v>5.1999999999999998E-2</v>
      </c>
      <c r="F34" s="56" t="s">
        <v>79</v>
      </c>
      <c r="G34" s="57">
        <v>0</v>
      </c>
      <c r="H34" s="58"/>
      <c r="I34" s="59"/>
      <c r="J34" s="60"/>
      <c r="K34" s="190">
        <f t="shared" ref="K34" si="12">+IF(E34&lt;=0.12,(J36),(IF(E34&lt;0.16,((J35+2*J36+J37)/4),IF(E34&gt;=0.16,((J34+3*J35+2*J36+3*J37+J38)/10)))))</f>
        <v>0.92700000000000005</v>
      </c>
      <c r="L34" s="190">
        <f t="shared" ref="L34" si="13">ROUND(+(D29+D34)/2*(C34-C29),3)</f>
        <v>1.6E-2</v>
      </c>
      <c r="M34" s="190">
        <f t="shared" ref="M34" si="14">ROUND(+K34*L34,4)</f>
        <v>1.4800000000000001E-2</v>
      </c>
      <c r="N34" s="193">
        <f t="shared" ref="N34" si="15">ROUND(+M34/$M$88*100,2)</f>
        <v>13.68</v>
      </c>
      <c r="O34" s="194"/>
      <c r="P34" s="195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s="55" customFormat="1" ht="13.5" customHeight="1" x14ac:dyDescent="0.25">
      <c r="A35" s="47"/>
      <c r="B35" s="211"/>
      <c r="C35" s="191"/>
      <c r="D35" s="191"/>
      <c r="E35" s="191"/>
      <c r="F35" s="61" t="s">
        <v>80</v>
      </c>
      <c r="G35" s="62" t="str">
        <f t="shared" ref="G35" si="16">IF(E34&lt;0.125,"NA",IF(0.125&lt;=E34,(0.2*E34)))</f>
        <v>NA</v>
      </c>
      <c r="H35" s="63"/>
      <c r="I35" s="64"/>
      <c r="J35" s="65"/>
      <c r="K35" s="191"/>
      <c r="L35" s="191"/>
      <c r="M35" s="191"/>
      <c r="N35" s="191"/>
      <c r="O35" s="191"/>
      <c r="P35" s="196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s="55" customFormat="1" ht="13.5" customHeight="1" x14ac:dyDescent="0.25">
      <c r="A36" s="47"/>
      <c r="B36" s="211"/>
      <c r="C36" s="191"/>
      <c r="D36" s="191"/>
      <c r="E36" s="191"/>
      <c r="F36" s="61" t="s">
        <v>81</v>
      </c>
      <c r="G36" s="62">
        <f t="shared" ref="G36" si="17">+E34*0.4</f>
        <v>2.0799999999999999E-2</v>
      </c>
      <c r="H36" s="63"/>
      <c r="I36" s="64"/>
      <c r="J36" s="65">
        <v>0.92700000000000005</v>
      </c>
      <c r="K36" s="191"/>
      <c r="L36" s="191"/>
      <c r="M36" s="191"/>
      <c r="N36" s="191"/>
      <c r="O36" s="191"/>
      <c r="P36" s="196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s="55" customFormat="1" ht="13.5" customHeight="1" x14ac:dyDescent="0.25">
      <c r="A37" s="47"/>
      <c r="B37" s="211"/>
      <c r="C37" s="191"/>
      <c r="D37" s="191"/>
      <c r="E37" s="191"/>
      <c r="F37" s="61" t="s">
        <v>82</v>
      </c>
      <c r="G37" s="62" t="str">
        <f t="shared" ref="G37" si="18">IF(E34&lt;0.125,"NA",IF(0.125&lt;=E34,(0.8*E34)))</f>
        <v>NA</v>
      </c>
      <c r="H37" s="63"/>
      <c r="I37" s="64"/>
      <c r="J37" s="65"/>
      <c r="K37" s="191"/>
      <c r="L37" s="191"/>
      <c r="M37" s="191"/>
      <c r="N37" s="191"/>
      <c r="O37" s="191"/>
      <c r="P37" s="196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s="55" customFormat="1" ht="13.5" customHeight="1" thickBot="1" x14ac:dyDescent="0.3">
      <c r="A38" s="47"/>
      <c r="B38" s="212"/>
      <c r="C38" s="192"/>
      <c r="D38" s="192"/>
      <c r="E38" s="192"/>
      <c r="F38" s="66" t="s">
        <v>83</v>
      </c>
      <c r="G38" s="67">
        <f t="shared" ref="G38" si="19">+E34</f>
        <v>5.1999999999999998E-2</v>
      </c>
      <c r="H38" s="68"/>
      <c r="I38" s="69"/>
      <c r="J38" s="70"/>
      <c r="K38" s="192"/>
      <c r="L38" s="192"/>
      <c r="M38" s="192"/>
      <c r="N38" s="192"/>
      <c r="O38" s="192"/>
      <c r="P38" s="19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s="55" customFormat="1" ht="13.5" customHeight="1" x14ac:dyDescent="0.25">
      <c r="A39" s="47"/>
      <c r="B39" s="210">
        <v>5</v>
      </c>
      <c r="C39" s="213">
        <v>1.5</v>
      </c>
      <c r="D39" s="190">
        <v>5.6000000000000001E-2</v>
      </c>
      <c r="E39" s="190">
        <v>4.8000000000000001E-2</v>
      </c>
      <c r="F39" s="56" t="s">
        <v>79</v>
      </c>
      <c r="G39" s="57">
        <v>0</v>
      </c>
      <c r="H39" s="58"/>
      <c r="I39" s="59"/>
      <c r="J39" s="60"/>
      <c r="K39" s="190">
        <f t="shared" ref="K39" si="20">+IF(E39&lt;=0.12,(J41),(IF(E39&lt;0.16,((J40+2*J41+J42)/4),IF(E39&gt;=0.16,((J39+3*J40+2*J41+3*J42+J43)/10)))))</f>
        <v>1.0249999999999999</v>
      </c>
      <c r="L39" s="190">
        <f t="shared" ref="L39" si="21">ROUND(+(D34+D39)/2*(C39-C34),3)</f>
        <v>1.6E-2</v>
      </c>
      <c r="M39" s="190">
        <f t="shared" ref="M39" si="22">ROUND(+K39*L39,4)</f>
        <v>1.6400000000000001E-2</v>
      </c>
      <c r="N39" s="193">
        <f t="shared" ref="N39" si="23">ROUND(+M39/$M$88*100,2)</f>
        <v>15.16</v>
      </c>
      <c r="O39" s="194"/>
      <c r="P39" s="195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s="55" customFormat="1" ht="13.5" customHeight="1" x14ac:dyDescent="0.25">
      <c r="A40" s="47"/>
      <c r="B40" s="211"/>
      <c r="C40" s="191"/>
      <c r="D40" s="191"/>
      <c r="E40" s="191"/>
      <c r="F40" s="61" t="s">
        <v>80</v>
      </c>
      <c r="G40" s="62" t="str">
        <f t="shared" ref="G40" si="24">IF(E39&lt;0.125,"NA",IF(0.125&lt;=E39,(0.2*E39)))</f>
        <v>NA</v>
      </c>
      <c r="H40" s="63"/>
      <c r="I40" s="64"/>
      <c r="J40" s="65"/>
      <c r="K40" s="191"/>
      <c r="L40" s="191"/>
      <c r="M40" s="191"/>
      <c r="N40" s="191"/>
      <c r="O40" s="191"/>
      <c r="P40" s="196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s="55" customFormat="1" ht="13.5" customHeight="1" x14ac:dyDescent="0.25">
      <c r="A41" s="47"/>
      <c r="B41" s="211"/>
      <c r="C41" s="191"/>
      <c r="D41" s="191"/>
      <c r="E41" s="191"/>
      <c r="F41" s="61" t="s">
        <v>81</v>
      </c>
      <c r="G41" s="62">
        <f t="shared" ref="G41" si="25">+E39*0.4</f>
        <v>1.9200000000000002E-2</v>
      </c>
      <c r="H41" s="63"/>
      <c r="I41" s="64"/>
      <c r="J41" s="65">
        <v>1.0249999999999999</v>
      </c>
      <c r="K41" s="191"/>
      <c r="L41" s="191"/>
      <c r="M41" s="191"/>
      <c r="N41" s="191"/>
      <c r="O41" s="191"/>
      <c r="P41" s="196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s="55" customFormat="1" ht="13.5" customHeight="1" x14ac:dyDescent="0.25">
      <c r="A42" s="47"/>
      <c r="B42" s="211"/>
      <c r="C42" s="191"/>
      <c r="D42" s="191"/>
      <c r="E42" s="191"/>
      <c r="F42" s="61" t="s">
        <v>82</v>
      </c>
      <c r="G42" s="62" t="str">
        <f t="shared" ref="G42" si="26">IF(E39&lt;0.125,"NA",IF(0.125&lt;=E39,(0.8*E39)))</f>
        <v>NA</v>
      </c>
      <c r="H42" s="63"/>
      <c r="I42" s="64"/>
      <c r="J42" s="65"/>
      <c r="K42" s="191"/>
      <c r="L42" s="191"/>
      <c r="M42" s="191"/>
      <c r="N42" s="191"/>
      <c r="O42" s="191"/>
      <c r="P42" s="196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s="55" customFormat="1" ht="13.5" customHeight="1" thickBot="1" x14ac:dyDescent="0.3">
      <c r="A43" s="47"/>
      <c r="B43" s="212"/>
      <c r="C43" s="192"/>
      <c r="D43" s="192"/>
      <c r="E43" s="192"/>
      <c r="F43" s="66" t="s">
        <v>83</v>
      </c>
      <c r="G43" s="67">
        <f t="shared" ref="G43" si="27">+E39</f>
        <v>4.8000000000000001E-2</v>
      </c>
      <c r="H43" s="68"/>
      <c r="I43" s="69"/>
      <c r="J43" s="70"/>
      <c r="K43" s="192"/>
      <c r="L43" s="192"/>
      <c r="M43" s="192"/>
      <c r="N43" s="192"/>
      <c r="O43" s="192"/>
      <c r="P43" s="19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s="55" customFormat="1" ht="13.5" customHeight="1" x14ac:dyDescent="0.25">
      <c r="A44" s="47"/>
      <c r="B44" s="210">
        <v>6</v>
      </c>
      <c r="C44" s="213">
        <v>1.8</v>
      </c>
      <c r="D44" s="190">
        <v>6.3E-2</v>
      </c>
      <c r="E44" s="190">
        <v>0.05</v>
      </c>
      <c r="F44" s="56" t="s">
        <v>79</v>
      </c>
      <c r="G44" s="57">
        <v>0</v>
      </c>
      <c r="H44" s="58"/>
      <c r="I44" s="59"/>
      <c r="J44" s="60"/>
      <c r="K44" s="190">
        <f t="shared" ref="K44" si="28">+IF(E44&lt;=0.12,(J46),(IF(E44&lt;0.16,((J45+2*J46+J47)/4),IF(E44&gt;=0.16,((J44+3*J45+2*J46+3*J47+J48)/10)))))</f>
        <v>0.97499999999999998</v>
      </c>
      <c r="L44" s="190">
        <f t="shared" ref="L44" si="29">ROUND(+(D39+D44)/2*(C44-C39),3)</f>
        <v>1.7999999999999999E-2</v>
      </c>
      <c r="M44" s="190">
        <f t="shared" ref="M44" si="30">ROUND(+K44*L44,4)</f>
        <v>1.7600000000000001E-2</v>
      </c>
      <c r="N44" s="193">
        <f t="shared" ref="N44" si="31">ROUND(+M44/$M$88*100,2)</f>
        <v>16.27</v>
      </c>
      <c r="O44" s="194"/>
      <c r="P44" s="195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s="55" customFormat="1" ht="13.5" customHeight="1" x14ac:dyDescent="0.25">
      <c r="A45" s="47"/>
      <c r="B45" s="211"/>
      <c r="C45" s="191"/>
      <c r="D45" s="191"/>
      <c r="E45" s="191"/>
      <c r="F45" s="61" t="s">
        <v>80</v>
      </c>
      <c r="G45" s="62" t="str">
        <f t="shared" ref="G45" si="32">IF(E44&lt;0.125,"NA",IF(0.125&lt;=E44,(0.2*E44)))</f>
        <v>NA</v>
      </c>
      <c r="H45" s="63"/>
      <c r="I45" s="64"/>
      <c r="J45" s="65"/>
      <c r="K45" s="191"/>
      <c r="L45" s="191"/>
      <c r="M45" s="191"/>
      <c r="N45" s="191"/>
      <c r="O45" s="191"/>
      <c r="P45" s="196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s="55" customFormat="1" ht="13.5" customHeight="1" x14ac:dyDescent="0.25">
      <c r="A46" s="47"/>
      <c r="B46" s="211"/>
      <c r="C46" s="191"/>
      <c r="D46" s="191"/>
      <c r="E46" s="191"/>
      <c r="F46" s="61" t="s">
        <v>81</v>
      </c>
      <c r="G46" s="62">
        <f t="shared" ref="G46" si="33">+E44*0.4</f>
        <v>2.0000000000000004E-2</v>
      </c>
      <c r="H46" s="63"/>
      <c r="I46" s="64"/>
      <c r="J46" s="65">
        <v>0.97499999999999998</v>
      </c>
      <c r="K46" s="191"/>
      <c r="L46" s="191"/>
      <c r="M46" s="191"/>
      <c r="N46" s="191"/>
      <c r="O46" s="191"/>
      <c r="P46" s="196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s="55" customFormat="1" ht="13.5" customHeight="1" x14ac:dyDescent="0.25">
      <c r="A47" s="47"/>
      <c r="B47" s="211"/>
      <c r="C47" s="191"/>
      <c r="D47" s="191"/>
      <c r="E47" s="191"/>
      <c r="F47" s="61" t="s">
        <v>82</v>
      </c>
      <c r="G47" s="62" t="str">
        <f t="shared" ref="G47" si="34">IF(E44&lt;0.125,"NA",IF(0.125&lt;=E44,(0.8*E44)))</f>
        <v>NA</v>
      </c>
      <c r="H47" s="63"/>
      <c r="I47" s="64"/>
      <c r="J47" s="65"/>
      <c r="K47" s="191"/>
      <c r="L47" s="191"/>
      <c r="M47" s="191"/>
      <c r="N47" s="191"/>
      <c r="O47" s="191"/>
      <c r="P47" s="196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s="55" customFormat="1" ht="13.5" customHeight="1" thickBot="1" x14ac:dyDescent="0.3">
      <c r="A48" s="47"/>
      <c r="B48" s="212"/>
      <c r="C48" s="192"/>
      <c r="D48" s="192"/>
      <c r="E48" s="192"/>
      <c r="F48" s="66" t="s">
        <v>83</v>
      </c>
      <c r="G48" s="67">
        <f t="shared" ref="G48" si="35">+E44</f>
        <v>0.05</v>
      </c>
      <c r="H48" s="68"/>
      <c r="I48" s="69"/>
      <c r="J48" s="70"/>
      <c r="K48" s="192"/>
      <c r="L48" s="192"/>
      <c r="M48" s="192"/>
      <c r="N48" s="192"/>
      <c r="O48" s="192"/>
      <c r="P48" s="19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s="55" customFormat="1" ht="13.5" customHeight="1" x14ac:dyDescent="0.25">
      <c r="A49" s="47"/>
      <c r="B49" s="210">
        <v>7</v>
      </c>
      <c r="C49" s="213">
        <v>2.1</v>
      </c>
      <c r="D49" s="190">
        <v>5.5E-2</v>
      </c>
      <c r="E49" s="190">
        <v>5.5E-2</v>
      </c>
      <c r="F49" s="56" t="s">
        <v>79</v>
      </c>
      <c r="G49" s="57">
        <v>0</v>
      </c>
      <c r="H49" s="58"/>
      <c r="I49" s="59"/>
      <c r="J49" s="60"/>
      <c r="K49" s="190">
        <f t="shared" ref="K49" si="36">+IF(E49&lt;=0.12,(J51),(IF(E49&lt;0.16,((J50+2*J51+J52)/4),IF(E49&gt;=0.16,((J49+3*J50+2*J51+3*J52+J53)/10)))))</f>
        <v>0.82499999999999996</v>
      </c>
      <c r="L49" s="190">
        <f t="shared" ref="L49" si="37">ROUND(+(D44+D49)/2*(C49-C44),3)</f>
        <v>1.7999999999999999E-2</v>
      </c>
      <c r="M49" s="190">
        <f t="shared" ref="M49" si="38">ROUND(+K49*L49,4)</f>
        <v>1.49E-2</v>
      </c>
      <c r="N49" s="193">
        <f t="shared" ref="N49" si="39">ROUND(+M49/$M$88*100,2)</f>
        <v>13.77</v>
      </c>
      <c r="O49" s="194"/>
      <c r="P49" s="195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s="55" customFormat="1" ht="13.5" customHeight="1" x14ac:dyDescent="0.25">
      <c r="A50" s="47"/>
      <c r="B50" s="211"/>
      <c r="C50" s="191"/>
      <c r="D50" s="191"/>
      <c r="E50" s="191"/>
      <c r="F50" s="61" t="s">
        <v>80</v>
      </c>
      <c r="G50" s="62" t="str">
        <f t="shared" ref="G50" si="40">IF(E49&lt;0.125,"NA",IF(0.125&lt;=E49,(0.2*E49)))</f>
        <v>NA</v>
      </c>
      <c r="H50" s="63"/>
      <c r="I50" s="64"/>
      <c r="J50" s="65"/>
      <c r="K50" s="191"/>
      <c r="L50" s="191"/>
      <c r="M50" s="191"/>
      <c r="N50" s="191"/>
      <c r="O50" s="191"/>
      <c r="P50" s="196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s="55" customFormat="1" ht="13.5" customHeight="1" x14ac:dyDescent="0.25">
      <c r="A51" s="47"/>
      <c r="B51" s="211"/>
      <c r="C51" s="191"/>
      <c r="D51" s="191"/>
      <c r="E51" s="191"/>
      <c r="F51" s="61" t="s">
        <v>81</v>
      </c>
      <c r="G51" s="62">
        <f t="shared" ref="G51" si="41">+E49*0.4</f>
        <v>2.2000000000000002E-2</v>
      </c>
      <c r="H51" s="63"/>
      <c r="I51" s="64"/>
      <c r="J51" s="65">
        <v>0.82499999999999996</v>
      </c>
      <c r="K51" s="191"/>
      <c r="L51" s="191"/>
      <c r="M51" s="191"/>
      <c r="N51" s="191"/>
      <c r="O51" s="191"/>
      <c r="P51" s="196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s="55" customFormat="1" ht="13.5" customHeight="1" x14ac:dyDescent="0.25">
      <c r="A52" s="47"/>
      <c r="B52" s="211"/>
      <c r="C52" s="191"/>
      <c r="D52" s="191"/>
      <c r="E52" s="191"/>
      <c r="F52" s="61" t="s">
        <v>82</v>
      </c>
      <c r="G52" s="62" t="str">
        <f t="shared" ref="G52" si="42">IF(E49&lt;0.125,"NA",IF(0.125&lt;=E49,(0.8*E49)))</f>
        <v>NA</v>
      </c>
      <c r="H52" s="63"/>
      <c r="I52" s="64"/>
      <c r="J52" s="65"/>
      <c r="K52" s="191"/>
      <c r="L52" s="191"/>
      <c r="M52" s="191"/>
      <c r="N52" s="191"/>
      <c r="O52" s="191"/>
      <c r="P52" s="196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s="55" customFormat="1" ht="13.5" customHeight="1" thickBot="1" x14ac:dyDescent="0.3">
      <c r="A53" s="47"/>
      <c r="B53" s="212"/>
      <c r="C53" s="192"/>
      <c r="D53" s="192"/>
      <c r="E53" s="192"/>
      <c r="F53" s="66" t="s">
        <v>83</v>
      </c>
      <c r="G53" s="67">
        <f t="shared" ref="G53" si="43">+E49</f>
        <v>5.5E-2</v>
      </c>
      <c r="H53" s="68"/>
      <c r="I53" s="69"/>
      <c r="J53" s="70"/>
      <c r="K53" s="192"/>
      <c r="L53" s="192"/>
      <c r="M53" s="192"/>
      <c r="N53" s="192"/>
      <c r="O53" s="192"/>
      <c r="P53" s="19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s="55" customFormat="1" ht="13.5" customHeight="1" x14ac:dyDescent="0.25">
      <c r="A54" s="47"/>
      <c r="B54" s="210">
        <v>8</v>
      </c>
      <c r="C54" s="213">
        <v>2.4</v>
      </c>
      <c r="D54" s="190">
        <v>4.9000000000000002E-2</v>
      </c>
      <c r="E54" s="190">
        <v>4.2999999999999997E-2</v>
      </c>
      <c r="F54" s="56" t="s">
        <v>79</v>
      </c>
      <c r="G54" s="57">
        <v>0</v>
      </c>
      <c r="H54" s="58"/>
      <c r="I54" s="59"/>
      <c r="J54" s="60"/>
      <c r="K54" s="190">
        <f t="shared" ref="K54" si="44">+IF(E54&lt;=0.12,(J56),(IF(E54&lt;0.16,((J55+2*J56+J57)/4),IF(E54&gt;=0.16,((J54+3*J55+2*J56+3*J57+J58)/10)))))</f>
        <v>0.65400000000000003</v>
      </c>
      <c r="L54" s="190">
        <f t="shared" ref="L54" si="45">ROUND(+(D49+D54)/2*(C54-C49),3)</f>
        <v>1.6E-2</v>
      </c>
      <c r="M54" s="190">
        <f t="shared" ref="M54" si="46">ROUND(+K54*L54,4)</f>
        <v>1.0500000000000001E-2</v>
      </c>
      <c r="N54" s="193">
        <f t="shared" ref="N54" si="47">ROUND(+M54/$M$88*100,2)</f>
        <v>9.6999999999999993</v>
      </c>
      <c r="O54" s="194"/>
      <c r="P54" s="195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s="55" customFormat="1" ht="13.5" customHeight="1" x14ac:dyDescent="0.25">
      <c r="A55" s="47"/>
      <c r="B55" s="211"/>
      <c r="C55" s="191"/>
      <c r="D55" s="191"/>
      <c r="E55" s="191"/>
      <c r="F55" s="61" t="s">
        <v>80</v>
      </c>
      <c r="G55" s="62" t="str">
        <f t="shared" ref="G55" si="48">IF(E54&lt;0.125,"NA",IF(0.125&lt;=E54,(0.2*E54)))</f>
        <v>NA</v>
      </c>
      <c r="H55" s="63"/>
      <c r="I55" s="64"/>
      <c r="J55" s="65"/>
      <c r="K55" s="191"/>
      <c r="L55" s="191"/>
      <c r="M55" s="191"/>
      <c r="N55" s="191"/>
      <c r="O55" s="191"/>
      <c r="P55" s="196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s="55" customFormat="1" ht="13.5" customHeight="1" x14ac:dyDescent="0.25">
      <c r="A56" s="47"/>
      <c r="B56" s="211"/>
      <c r="C56" s="191"/>
      <c r="D56" s="191"/>
      <c r="E56" s="191"/>
      <c r="F56" s="61" t="s">
        <v>81</v>
      </c>
      <c r="G56" s="62">
        <f t="shared" ref="G56" si="49">+E54*0.4</f>
        <v>1.72E-2</v>
      </c>
      <c r="H56" s="63"/>
      <c r="I56" s="64"/>
      <c r="J56" s="65">
        <v>0.65400000000000003</v>
      </c>
      <c r="K56" s="191"/>
      <c r="L56" s="191"/>
      <c r="M56" s="191"/>
      <c r="N56" s="191"/>
      <c r="O56" s="191"/>
      <c r="P56" s="196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s="55" customFormat="1" ht="13.5" customHeight="1" x14ac:dyDescent="0.25">
      <c r="A57" s="47"/>
      <c r="B57" s="211"/>
      <c r="C57" s="191"/>
      <c r="D57" s="191"/>
      <c r="E57" s="191"/>
      <c r="F57" s="61" t="s">
        <v>82</v>
      </c>
      <c r="G57" s="62" t="str">
        <f t="shared" ref="G57" si="50">IF(E54&lt;0.125,"NA",IF(0.125&lt;=E54,(0.8*E54)))</f>
        <v>NA</v>
      </c>
      <c r="H57" s="63"/>
      <c r="I57" s="64"/>
      <c r="J57" s="65"/>
      <c r="K57" s="191"/>
      <c r="L57" s="191"/>
      <c r="M57" s="191"/>
      <c r="N57" s="191"/>
      <c r="O57" s="191"/>
      <c r="P57" s="196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s="55" customFormat="1" ht="13.5" customHeight="1" thickBot="1" x14ac:dyDescent="0.3">
      <c r="A58" s="47"/>
      <c r="B58" s="212"/>
      <c r="C58" s="192"/>
      <c r="D58" s="192"/>
      <c r="E58" s="192"/>
      <c r="F58" s="66" t="s">
        <v>83</v>
      </c>
      <c r="G58" s="67">
        <f t="shared" ref="G58" si="51">+E54</f>
        <v>4.2999999999999997E-2</v>
      </c>
      <c r="H58" s="68"/>
      <c r="I58" s="69"/>
      <c r="J58" s="70"/>
      <c r="K58" s="192"/>
      <c r="L58" s="192"/>
      <c r="M58" s="192"/>
      <c r="N58" s="192"/>
      <c r="O58" s="192"/>
      <c r="P58" s="19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s="55" customFormat="1" ht="13.5" customHeight="1" x14ac:dyDescent="0.25">
      <c r="A59" s="47"/>
      <c r="B59" s="210">
        <v>9</v>
      </c>
      <c r="C59" s="213">
        <v>2.6999999999999997</v>
      </c>
      <c r="D59" s="190">
        <v>4.2999999999999997E-2</v>
      </c>
      <c r="E59" s="190">
        <v>4.4999999999999998E-2</v>
      </c>
      <c r="F59" s="56" t="s">
        <v>79</v>
      </c>
      <c r="G59" s="57">
        <v>0</v>
      </c>
      <c r="H59" s="58"/>
      <c r="I59" s="59"/>
      <c r="J59" s="60"/>
      <c r="K59" s="190">
        <f t="shared" ref="K59" si="52">+IF(E59&lt;=0.12,(J61),(IF(E59&lt;0.16,((J60+2*J61+J62)/4),IF(E59&gt;=0.16,((J59+3*J60+2*J61+3*J62+J63)/10)))))</f>
        <v>0.80100000000000005</v>
      </c>
      <c r="L59" s="190">
        <f t="shared" ref="L59" si="53">ROUND(+(D54+D59)/2*(C59-C54),3)</f>
        <v>1.4E-2</v>
      </c>
      <c r="M59" s="190">
        <f t="shared" ref="M59" si="54">ROUND(+K59*L59,4)</f>
        <v>1.12E-2</v>
      </c>
      <c r="N59" s="193">
        <f t="shared" ref="N59" si="55">ROUND(+M59/$M$88*100,2)</f>
        <v>10.35</v>
      </c>
      <c r="O59" s="194"/>
      <c r="P59" s="195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s="55" customFormat="1" ht="13.5" customHeight="1" x14ac:dyDescent="0.25">
      <c r="A60" s="47"/>
      <c r="B60" s="211"/>
      <c r="C60" s="191"/>
      <c r="D60" s="191"/>
      <c r="E60" s="191"/>
      <c r="F60" s="61" t="s">
        <v>80</v>
      </c>
      <c r="G60" s="62" t="str">
        <f t="shared" ref="G60" si="56">IF(E59&lt;0.125,"NA",IF(0.125&lt;=E59,(0.2*E59)))</f>
        <v>NA</v>
      </c>
      <c r="H60" s="63"/>
      <c r="I60" s="64"/>
      <c r="J60" s="65"/>
      <c r="K60" s="191"/>
      <c r="L60" s="191"/>
      <c r="M60" s="191"/>
      <c r="N60" s="191"/>
      <c r="O60" s="191"/>
      <c r="P60" s="196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s="55" customFormat="1" ht="13.5" customHeight="1" x14ac:dyDescent="0.25">
      <c r="A61" s="47"/>
      <c r="B61" s="211"/>
      <c r="C61" s="191"/>
      <c r="D61" s="191"/>
      <c r="E61" s="191"/>
      <c r="F61" s="61" t="s">
        <v>81</v>
      </c>
      <c r="G61" s="62">
        <f t="shared" ref="G61" si="57">+E59*0.4</f>
        <v>1.7999999999999999E-2</v>
      </c>
      <c r="H61" s="63"/>
      <c r="I61" s="64"/>
      <c r="J61" s="65">
        <v>0.80100000000000005</v>
      </c>
      <c r="K61" s="191"/>
      <c r="L61" s="191"/>
      <c r="M61" s="191"/>
      <c r="N61" s="191"/>
      <c r="O61" s="191"/>
      <c r="P61" s="196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s="55" customFormat="1" ht="13.5" customHeight="1" x14ac:dyDescent="0.25">
      <c r="A62" s="47"/>
      <c r="B62" s="211"/>
      <c r="C62" s="191"/>
      <c r="D62" s="191"/>
      <c r="E62" s="191"/>
      <c r="F62" s="61" t="s">
        <v>82</v>
      </c>
      <c r="G62" s="62" t="str">
        <f t="shared" ref="G62" si="58">IF(E59&lt;0.125,"NA",IF(0.125&lt;=E59,(0.8*E59)))</f>
        <v>NA</v>
      </c>
      <c r="H62" s="63"/>
      <c r="I62" s="64"/>
      <c r="J62" s="65"/>
      <c r="K62" s="191"/>
      <c r="L62" s="191"/>
      <c r="M62" s="191"/>
      <c r="N62" s="191"/>
      <c r="O62" s="191"/>
      <c r="P62" s="196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s="55" customFormat="1" ht="13.5" customHeight="1" thickBot="1" x14ac:dyDescent="0.3">
      <c r="A63" s="47"/>
      <c r="B63" s="212"/>
      <c r="C63" s="192"/>
      <c r="D63" s="192"/>
      <c r="E63" s="192"/>
      <c r="F63" s="66" t="s">
        <v>83</v>
      </c>
      <c r="G63" s="67">
        <f t="shared" ref="G63" si="59">+E59</f>
        <v>4.4999999999999998E-2</v>
      </c>
      <c r="H63" s="68"/>
      <c r="I63" s="69"/>
      <c r="J63" s="70"/>
      <c r="K63" s="192"/>
      <c r="L63" s="192"/>
      <c r="M63" s="192"/>
      <c r="N63" s="192"/>
      <c r="O63" s="192"/>
      <c r="P63" s="19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s="55" customFormat="1" ht="13.5" customHeight="1" x14ac:dyDescent="0.25">
      <c r="A64" s="47"/>
      <c r="B64" s="210">
        <v>10</v>
      </c>
      <c r="C64" s="213">
        <v>2.9999999999999996</v>
      </c>
      <c r="D64" s="190">
        <v>0.03</v>
      </c>
      <c r="E64" s="190">
        <v>0.03</v>
      </c>
      <c r="F64" s="56" t="s">
        <v>79</v>
      </c>
      <c r="G64" s="57">
        <v>0</v>
      </c>
      <c r="H64" s="58"/>
      <c r="I64" s="59"/>
      <c r="J64" s="60"/>
      <c r="K64" s="190">
        <f>+IF(E64&lt;=0.12,(J66),(IF(E64&lt;0.16,((J65+2*J66+J67)/4),IF(E64&gt;=0.16,((J64+3*J65+2*J66+3*J67+J68)/10)))))</f>
        <v>0.221</v>
      </c>
      <c r="L64" s="190">
        <f t="shared" ref="L64" si="60">ROUND(+(D59+D64)/2*(C64-C59),3)</f>
        <v>1.0999999999999999E-2</v>
      </c>
      <c r="M64" s="190">
        <f t="shared" ref="M64" si="61">ROUND(+K64*L64,4)</f>
        <v>2.3999999999999998E-3</v>
      </c>
      <c r="N64" s="193">
        <f t="shared" ref="N64" si="62">ROUND(+M64/$M$88*100,2)</f>
        <v>2.2200000000000002</v>
      </c>
      <c r="O64" s="194"/>
      <c r="P64" s="195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s="55" customFormat="1" ht="13.5" customHeight="1" x14ac:dyDescent="0.25">
      <c r="A65" s="47"/>
      <c r="B65" s="211"/>
      <c r="C65" s="191"/>
      <c r="D65" s="191"/>
      <c r="E65" s="191"/>
      <c r="F65" s="61" t="s">
        <v>80</v>
      </c>
      <c r="G65" s="62" t="str">
        <f t="shared" ref="G65" si="63">IF(E64&lt;0.125,"NA",IF(0.125&lt;=E64,(0.2*E64)))</f>
        <v>NA</v>
      </c>
      <c r="H65" s="63"/>
      <c r="I65" s="64"/>
      <c r="J65" s="65"/>
      <c r="K65" s="191"/>
      <c r="L65" s="191"/>
      <c r="M65" s="191"/>
      <c r="N65" s="191"/>
      <c r="O65" s="191"/>
      <c r="P65" s="196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s="55" customFormat="1" ht="13.5" customHeight="1" x14ac:dyDescent="0.25">
      <c r="A66" s="47"/>
      <c r="B66" s="211"/>
      <c r="C66" s="191"/>
      <c r="D66" s="191"/>
      <c r="E66" s="191"/>
      <c r="F66" s="61" t="s">
        <v>81</v>
      </c>
      <c r="G66" s="62">
        <f t="shared" ref="G66" si="64">+E64*0.4</f>
        <v>1.2E-2</v>
      </c>
      <c r="H66" s="63"/>
      <c r="I66" s="64"/>
      <c r="J66" s="65">
        <v>0.221</v>
      </c>
      <c r="K66" s="191"/>
      <c r="L66" s="191"/>
      <c r="M66" s="191"/>
      <c r="N66" s="191"/>
      <c r="O66" s="191"/>
      <c r="P66" s="196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s="55" customFormat="1" ht="13.5" customHeight="1" x14ac:dyDescent="0.25">
      <c r="A67" s="47"/>
      <c r="B67" s="211"/>
      <c r="C67" s="191"/>
      <c r="D67" s="191"/>
      <c r="E67" s="191"/>
      <c r="F67" s="61" t="s">
        <v>82</v>
      </c>
      <c r="G67" s="62" t="str">
        <f t="shared" ref="G67" si="65">IF(E64&lt;0.125,"NA",IF(0.125&lt;=E64,(0.8*E64)))</f>
        <v>NA</v>
      </c>
      <c r="H67" s="63"/>
      <c r="I67" s="64"/>
      <c r="J67" s="65"/>
      <c r="K67" s="191"/>
      <c r="L67" s="191"/>
      <c r="M67" s="191"/>
      <c r="N67" s="191"/>
      <c r="O67" s="191"/>
      <c r="P67" s="196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s="55" customFormat="1" ht="13.5" customHeight="1" thickBot="1" x14ac:dyDescent="0.3">
      <c r="A68" s="47"/>
      <c r="B68" s="212"/>
      <c r="C68" s="192"/>
      <c r="D68" s="192"/>
      <c r="E68" s="192"/>
      <c r="F68" s="66" t="s">
        <v>83</v>
      </c>
      <c r="G68" s="67">
        <f t="shared" ref="G68" si="66">+E64</f>
        <v>0.03</v>
      </c>
      <c r="H68" s="68"/>
      <c r="I68" s="69"/>
      <c r="J68" s="70"/>
      <c r="K68" s="192"/>
      <c r="L68" s="192"/>
      <c r="M68" s="192"/>
      <c r="N68" s="192"/>
      <c r="O68" s="192"/>
      <c r="P68" s="19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s="3" customFormat="1" ht="14.1" customHeight="1" x14ac:dyDescent="0.2">
      <c r="B69" s="198" t="s">
        <v>28</v>
      </c>
      <c r="C69" s="201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</row>
    <row r="70" spans="1:26" s="3" customFormat="1" ht="14.1" customHeight="1" x14ac:dyDescent="0.2">
      <c r="B70" s="199"/>
      <c r="C70" s="204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6"/>
    </row>
    <row r="71" spans="1:26" s="3" customFormat="1" ht="14.1" customHeight="1" x14ac:dyDescent="0.2">
      <c r="B71" s="199"/>
      <c r="C71" s="204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6"/>
    </row>
    <row r="72" spans="1:26" s="3" customFormat="1" ht="14.1" customHeight="1" x14ac:dyDescent="0.2">
      <c r="B72" s="199"/>
      <c r="C72" s="204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6"/>
    </row>
    <row r="73" spans="1:26" s="3" customFormat="1" ht="14.1" customHeight="1" x14ac:dyDescent="0.2">
      <c r="B73" s="199"/>
      <c r="C73" s="204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6"/>
    </row>
    <row r="74" spans="1:26" s="3" customFormat="1" ht="14.1" customHeight="1" thickBot="1" x14ac:dyDescent="0.25">
      <c r="B74" s="200"/>
      <c r="C74" s="207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9"/>
    </row>
    <row r="75" spans="1:26" s="3" customFormat="1" ht="28.5" customHeight="1" thickBot="1" x14ac:dyDescent="0.25">
      <c r="A75" s="71"/>
      <c r="B75" s="72" t="s">
        <v>84</v>
      </c>
      <c r="C75" s="177" t="s">
        <v>85</v>
      </c>
      <c r="D75" s="177"/>
      <c r="E75" s="177"/>
      <c r="F75" s="177"/>
      <c r="G75" s="177"/>
      <c r="H75" s="178"/>
      <c r="I75" s="179"/>
      <c r="J75" s="72" t="s">
        <v>86</v>
      </c>
      <c r="K75" s="177" t="s">
        <v>87</v>
      </c>
      <c r="L75" s="177"/>
      <c r="M75" s="177"/>
      <c r="N75" s="177"/>
      <c r="O75" s="177"/>
      <c r="P75" s="178"/>
    </row>
    <row r="76" spans="1:26" s="3" customFormat="1" ht="28.5" customHeight="1" thickBot="1" x14ac:dyDescent="0.25">
      <c r="B76" s="73" t="s">
        <v>88</v>
      </c>
      <c r="C76" s="181" t="s">
        <v>89</v>
      </c>
      <c r="D76" s="181"/>
      <c r="E76" s="181"/>
      <c r="F76" s="181"/>
      <c r="G76" s="181"/>
      <c r="H76" s="182"/>
      <c r="I76" s="180"/>
      <c r="J76" s="73" t="s">
        <v>90</v>
      </c>
      <c r="K76" s="181" t="s">
        <v>91</v>
      </c>
      <c r="L76" s="181"/>
      <c r="M76" s="181"/>
      <c r="N76" s="181"/>
      <c r="O76" s="181"/>
      <c r="P76" s="182"/>
    </row>
    <row r="77" spans="1:26" s="19" customFormat="1" ht="13.5" customHeight="1" x14ac:dyDescent="0.25">
      <c r="A77" s="74"/>
      <c r="B77" s="183"/>
      <c r="C77" s="186"/>
      <c r="D77" s="188"/>
      <c r="E77" s="188"/>
      <c r="F77" s="75" t="s">
        <v>79</v>
      </c>
      <c r="G77" s="75">
        <v>0.01</v>
      </c>
      <c r="H77" s="76"/>
      <c r="I77" s="77"/>
      <c r="J77" s="78"/>
      <c r="K77" s="189"/>
      <c r="L77" s="168"/>
      <c r="M77" s="171"/>
      <c r="N77" s="168"/>
      <c r="O77" s="168"/>
      <c r="P77" s="172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s="19" customFormat="1" ht="13.5" customHeight="1" x14ac:dyDescent="0.25">
      <c r="A78" s="74"/>
      <c r="B78" s="184"/>
      <c r="C78" s="169"/>
      <c r="D78" s="169"/>
      <c r="E78" s="169"/>
      <c r="F78" s="80" t="s">
        <v>92</v>
      </c>
      <c r="G78" s="81">
        <f>+E77*0.1</f>
        <v>0</v>
      </c>
      <c r="H78" s="82"/>
      <c r="I78" s="83"/>
      <c r="J78" s="84"/>
      <c r="K78" s="169"/>
      <c r="L78" s="169"/>
      <c r="M78" s="169"/>
      <c r="N78" s="169"/>
      <c r="O78" s="169"/>
      <c r="P78" s="173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s="19" customFormat="1" ht="13.5" customHeight="1" x14ac:dyDescent="0.25">
      <c r="A79" s="74"/>
      <c r="B79" s="184"/>
      <c r="C79" s="169"/>
      <c r="D79" s="169"/>
      <c r="E79" s="169"/>
      <c r="F79" s="80" t="s">
        <v>93</v>
      </c>
      <c r="G79" s="81">
        <f>+E77*0.2</f>
        <v>0</v>
      </c>
      <c r="H79" s="82"/>
      <c r="I79" s="83"/>
      <c r="J79" s="84"/>
      <c r="K79" s="169"/>
      <c r="L79" s="169"/>
      <c r="M79" s="169"/>
      <c r="N79" s="169"/>
      <c r="O79" s="169"/>
      <c r="P79" s="173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s="19" customFormat="1" ht="13.5" customHeight="1" x14ac:dyDescent="0.25">
      <c r="A80" s="74"/>
      <c r="B80" s="184"/>
      <c r="C80" s="169"/>
      <c r="D80" s="169"/>
      <c r="E80" s="169"/>
      <c r="F80" s="80" t="s">
        <v>94</v>
      </c>
      <c r="G80" s="81">
        <f>+E77*0.3</f>
        <v>0</v>
      </c>
      <c r="H80" s="82"/>
      <c r="I80" s="83"/>
      <c r="J80" s="84"/>
      <c r="K80" s="169"/>
      <c r="L80" s="169"/>
      <c r="M80" s="169"/>
      <c r="N80" s="169"/>
      <c r="O80" s="169"/>
      <c r="P80" s="173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s="19" customFormat="1" ht="13.5" customHeight="1" x14ac:dyDescent="0.25">
      <c r="A81" s="74"/>
      <c r="B81" s="184"/>
      <c r="C81" s="187"/>
      <c r="D81" s="187"/>
      <c r="E81" s="169"/>
      <c r="F81" s="80" t="s">
        <v>95</v>
      </c>
      <c r="G81" s="81">
        <f>+E77*0.4</f>
        <v>0</v>
      </c>
      <c r="H81" s="82"/>
      <c r="I81" s="83"/>
      <c r="J81" s="84"/>
      <c r="K81" s="169"/>
      <c r="L81" s="169"/>
      <c r="M81" s="169"/>
      <c r="N81" s="169"/>
      <c r="O81" s="169"/>
      <c r="P81" s="173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s="19" customFormat="1" ht="13.5" customHeight="1" x14ac:dyDescent="0.25">
      <c r="A82" s="74"/>
      <c r="B82" s="184"/>
      <c r="C82" s="175"/>
      <c r="D82" s="176"/>
      <c r="E82" s="169"/>
      <c r="F82" s="80" t="s">
        <v>29</v>
      </c>
      <c r="G82" s="81">
        <f>+E77*0.5</f>
        <v>0</v>
      </c>
      <c r="H82" s="82"/>
      <c r="I82" s="83"/>
      <c r="J82" s="84"/>
      <c r="K82" s="169"/>
      <c r="L82" s="169"/>
      <c r="M82" s="169"/>
      <c r="N82" s="169"/>
      <c r="O82" s="169"/>
      <c r="P82" s="173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s="19" customFormat="1" ht="13.5" customHeight="1" x14ac:dyDescent="0.25">
      <c r="A83" s="74"/>
      <c r="B83" s="184"/>
      <c r="C83" s="169"/>
      <c r="D83" s="169"/>
      <c r="E83" s="169"/>
      <c r="F83" s="80" t="s">
        <v>96</v>
      </c>
      <c r="G83" s="81">
        <f>+E77*0.6</f>
        <v>0</v>
      </c>
      <c r="H83" s="82"/>
      <c r="I83" s="83"/>
      <c r="J83" s="84"/>
      <c r="K83" s="169"/>
      <c r="L83" s="169"/>
      <c r="M83" s="169"/>
      <c r="N83" s="169"/>
      <c r="O83" s="169"/>
      <c r="P83" s="173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s="19" customFormat="1" ht="13.5" customHeight="1" x14ac:dyDescent="0.25">
      <c r="A84" s="74"/>
      <c r="B84" s="184"/>
      <c r="C84" s="169"/>
      <c r="D84" s="169"/>
      <c r="E84" s="169"/>
      <c r="F84" s="80" t="s">
        <v>97</v>
      </c>
      <c r="G84" s="81">
        <f>+E77*0.7</f>
        <v>0</v>
      </c>
      <c r="H84" s="82"/>
      <c r="I84" s="83"/>
      <c r="J84" s="84"/>
      <c r="K84" s="169"/>
      <c r="L84" s="169"/>
      <c r="M84" s="169"/>
      <c r="N84" s="169"/>
      <c r="O84" s="169"/>
      <c r="P84" s="173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s="19" customFormat="1" ht="13.5" customHeight="1" x14ac:dyDescent="0.25">
      <c r="A85" s="74"/>
      <c r="B85" s="184"/>
      <c r="C85" s="169"/>
      <c r="D85" s="169"/>
      <c r="E85" s="169"/>
      <c r="F85" s="80" t="s">
        <v>98</v>
      </c>
      <c r="G85" s="81">
        <f>+E77*0.8</f>
        <v>0</v>
      </c>
      <c r="H85" s="82"/>
      <c r="I85" s="83"/>
      <c r="J85" s="84"/>
      <c r="K85" s="169"/>
      <c r="L85" s="169"/>
      <c r="M85" s="169"/>
      <c r="N85" s="169"/>
      <c r="O85" s="169"/>
      <c r="P85" s="173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s="19" customFormat="1" ht="13.5" customHeight="1" x14ac:dyDescent="0.25">
      <c r="A86" s="74"/>
      <c r="B86" s="184"/>
      <c r="C86" s="169"/>
      <c r="D86" s="169"/>
      <c r="E86" s="169"/>
      <c r="F86" s="80" t="s">
        <v>99</v>
      </c>
      <c r="G86" s="81">
        <f>+E77*0.9</f>
        <v>0</v>
      </c>
      <c r="H86" s="82"/>
      <c r="I86" s="83"/>
      <c r="J86" s="84"/>
      <c r="K86" s="169"/>
      <c r="L86" s="169"/>
      <c r="M86" s="169"/>
      <c r="N86" s="169"/>
      <c r="O86" s="169"/>
      <c r="P86" s="173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s="19" customFormat="1" ht="15.75" thickBot="1" x14ac:dyDescent="0.3">
      <c r="A87" s="74"/>
      <c r="B87" s="185"/>
      <c r="C87" s="170"/>
      <c r="D87" s="170"/>
      <c r="E87" s="170"/>
      <c r="F87" s="85" t="s">
        <v>30</v>
      </c>
      <c r="G87" s="85">
        <f>+E77</f>
        <v>0</v>
      </c>
      <c r="H87" s="86"/>
      <c r="I87" s="87"/>
      <c r="J87" s="88"/>
      <c r="K87" s="170"/>
      <c r="L87" s="170"/>
      <c r="M87" s="170"/>
      <c r="N87" s="170"/>
      <c r="O87" s="170"/>
      <c r="P87" s="174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s="3" customFormat="1" ht="12.75" x14ac:dyDescent="0.2">
      <c r="A88" s="11"/>
      <c r="B88" s="156" t="s">
        <v>31</v>
      </c>
      <c r="C88" s="156"/>
      <c r="D88" s="156"/>
      <c r="E88" s="156"/>
      <c r="F88" s="156"/>
      <c r="G88" s="156"/>
      <c r="H88" s="156"/>
      <c r="I88" s="156"/>
      <c r="J88" s="156"/>
      <c r="K88" s="16">
        <f>ROUND(+M88/L88,3)</f>
        <v>0.77800000000000002</v>
      </c>
      <c r="L88" s="15">
        <f>SUM(L18:L87)</f>
        <v>0.13900000000000001</v>
      </c>
      <c r="M88" s="14">
        <f>SUM(M18:M87)</f>
        <v>0.1082</v>
      </c>
      <c r="N88" s="12">
        <f>ROUND(SUM(N19:N87),0)</f>
        <v>100</v>
      </c>
      <c r="O88" s="158" t="s">
        <v>32</v>
      </c>
      <c r="P88" s="160"/>
    </row>
    <row r="89" spans="1:26" s="3" customFormat="1" ht="15" customHeight="1" thickBot="1" x14ac:dyDescent="0.25">
      <c r="A89" s="11"/>
      <c r="B89" s="157"/>
      <c r="C89" s="157"/>
      <c r="D89" s="157"/>
      <c r="E89" s="157"/>
      <c r="F89" s="157"/>
      <c r="G89" s="157"/>
      <c r="H89" s="157"/>
      <c r="I89" s="157"/>
      <c r="J89" s="157"/>
      <c r="K89" s="13" t="s">
        <v>33</v>
      </c>
      <c r="L89" s="13" t="s">
        <v>49</v>
      </c>
      <c r="M89" s="13" t="s">
        <v>110</v>
      </c>
      <c r="N89" s="13" t="s">
        <v>34</v>
      </c>
      <c r="O89" s="159"/>
      <c r="P89" s="161"/>
    </row>
    <row r="90" spans="1:26" ht="15" customHeight="1" thickBot="1" x14ac:dyDescent="0.3">
      <c r="A90" s="5"/>
      <c r="B90" s="162" t="s">
        <v>100</v>
      </c>
      <c r="C90" s="163"/>
      <c r="D90" s="163"/>
      <c r="E90" s="163"/>
      <c r="F90" s="164"/>
      <c r="G90" s="162" t="s">
        <v>101</v>
      </c>
      <c r="H90" s="163"/>
      <c r="I90" s="163"/>
      <c r="J90" s="163"/>
      <c r="K90" s="164"/>
      <c r="L90" s="165" t="s">
        <v>51</v>
      </c>
      <c r="M90" s="166"/>
      <c r="N90" s="166"/>
      <c r="O90" s="166"/>
      <c r="P90" s="167"/>
    </row>
    <row r="91" spans="1:26" ht="15" customHeight="1" x14ac:dyDescent="0.25">
      <c r="A91" s="5"/>
      <c r="B91" s="126"/>
      <c r="C91" s="127"/>
      <c r="D91" s="127"/>
      <c r="E91" s="127"/>
      <c r="F91" s="128"/>
      <c r="G91" s="126"/>
      <c r="H91" s="127"/>
      <c r="I91" s="127"/>
      <c r="J91" s="127"/>
      <c r="K91" s="128"/>
      <c r="L91" s="135" t="s">
        <v>102</v>
      </c>
      <c r="M91" s="136"/>
      <c r="N91" s="136"/>
      <c r="O91" s="137">
        <f>+AVERAGE(E18:E68)</f>
        <v>4.3299999999999991E-2</v>
      </c>
      <c r="P91" s="138"/>
    </row>
    <row r="92" spans="1:26" ht="15" customHeight="1" thickBot="1" x14ac:dyDescent="0.3">
      <c r="A92" s="5"/>
      <c r="B92" s="129"/>
      <c r="C92" s="130"/>
      <c r="D92" s="130"/>
      <c r="E92" s="130"/>
      <c r="F92" s="131"/>
      <c r="G92" s="129"/>
      <c r="H92" s="130"/>
      <c r="I92" s="130"/>
      <c r="J92" s="130"/>
      <c r="K92" s="131"/>
      <c r="L92" s="139" t="s">
        <v>103</v>
      </c>
      <c r="M92" s="140"/>
      <c r="N92" s="140"/>
      <c r="O92" s="141">
        <f>+MAX(E18:E68)</f>
        <v>5.5E-2</v>
      </c>
      <c r="P92" s="142"/>
    </row>
    <row r="93" spans="1:26" ht="18.600000000000001" customHeight="1" x14ac:dyDescent="0.25">
      <c r="A93" s="6"/>
      <c r="B93" s="129"/>
      <c r="C93" s="130"/>
      <c r="D93" s="130"/>
      <c r="E93" s="130"/>
      <c r="F93" s="131"/>
      <c r="G93" s="129"/>
      <c r="H93" s="130"/>
      <c r="I93" s="130"/>
      <c r="J93" s="130"/>
      <c r="K93" s="131"/>
      <c r="L93" s="143" t="s">
        <v>111</v>
      </c>
      <c r="M93" s="144"/>
      <c r="N93" s="144"/>
      <c r="O93" s="144"/>
      <c r="P93" s="145"/>
    </row>
    <row r="94" spans="1:26" ht="75" customHeight="1" x14ac:dyDescent="0.25">
      <c r="A94" s="10"/>
      <c r="B94" s="129"/>
      <c r="C94" s="130"/>
      <c r="D94" s="130"/>
      <c r="E94" s="130"/>
      <c r="F94" s="131"/>
      <c r="G94" s="129"/>
      <c r="H94" s="130"/>
      <c r="I94" s="130"/>
      <c r="J94" s="130"/>
      <c r="K94" s="131"/>
      <c r="L94" s="146"/>
      <c r="M94" s="147"/>
      <c r="N94" s="147"/>
      <c r="O94" s="147"/>
      <c r="P94" s="148"/>
    </row>
    <row r="95" spans="1:26" ht="15" customHeight="1" thickBot="1" x14ac:dyDescent="0.3">
      <c r="A95" s="5"/>
      <c r="B95" s="129"/>
      <c r="C95" s="130"/>
      <c r="D95" s="130"/>
      <c r="E95" s="130"/>
      <c r="F95" s="131"/>
      <c r="G95" s="129"/>
      <c r="H95" s="130"/>
      <c r="I95" s="130"/>
      <c r="J95" s="130"/>
      <c r="K95" s="131"/>
      <c r="L95" s="149"/>
      <c r="M95" s="150"/>
      <c r="N95" s="150"/>
      <c r="O95" s="150"/>
      <c r="P95" s="151"/>
    </row>
    <row r="96" spans="1:26" ht="22.5" customHeight="1" thickBot="1" x14ac:dyDescent="0.3">
      <c r="A96" s="5"/>
      <c r="B96" s="129"/>
      <c r="C96" s="130"/>
      <c r="D96" s="130"/>
      <c r="E96" s="130"/>
      <c r="F96" s="131"/>
      <c r="G96" s="129"/>
      <c r="H96" s="130"/>
      <c r="I96" s="130"/>
      <c r="J96" s="130"/>
      <c r="K96" s="131"/>
      <c r="L96" s="152" t="s">
        <v>35</v>
      </c>
      <c r="M96" s="153"/>
      <c r="N96" s="153"/>
      <c r="O96" s="153"/>
      <c r="P96" s="98">
        <v>2.61</v>
      </c>
    </row>
    <row r="97" spans="1:16" ht="32.25" customHeight="1" thickBot="1" x14ac:dyDescent="0.3">
      <c r="A97" s="5"/>
      <c r="B97" s="132"/>
      <c r="C97" s="133"/>
      <c r="D97" s="133"/>
      <c r="E97" s="133"/>
      <c r="F97" s="134"/>
      <c r="G97" s="132"/>
      <c r="H97" s="133"/>
      <c r="I97" s="133"/>
      <c r="J97" s="133"/>
      <c r="K97" s="134"/>
      <c r="L97" s="154" t="s">
        <v>50</v>
      </c>
      <c r="M97" s="155"/>
      <c r="N97" s="155"/>
      <c r="O97" s="155"/>
      <c r="P97" s="98">
        <v>0.245</v>
      </c>
    </row>
    <row r="98" spans="1:16" ht="23.45" customHeight="1" thickBot="1" x14ac:dyDescent="0.3">
      <c r="A98" s="7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</row>
    <row r="99" spans="1:16" ht="15.75" thickBot="1" x14ac:dyDescent="0.3">
      <c r="A99" s="115" t="s">
        <v>36</v>
      </c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7"/>
    </row>
    <row r="100" spans="1:16" ht="159" customHeight="1" thickBot="1" x14ac:dyDescent="0.3">
      <c r="A100" s="4"/>
      <c r="B100" s="118"/>
      <c r="C100" s="119"/>
      <c r="D100" s="119"/>
      <c r="E100" s="119"/>
      <c r="F100" s="120"/>
      <c r="G100" s="118"/>
      <c r="H100" s="119"/>
      <c r="I100" s="119"/>
      <c r="J100" s="119"/>
      <c r="K100" s="120"/>
      <c r="L100" s="118"/>
      <c r="M100" s="119"/>
      <c r="N100" s="119"/>
      <c r="O100" s="119"/>
      <c r="P100" s="121"/>
    </row>
    <row r="101" spans="1:16" ht="21.75" customHeight="1" thickBot="1" x14ac:dyDescent="0.3">
      <c r="A101" s="4"/>
      <c r="B101" s="122" t="s">
        <v>104</v>
      </c>
      <c r="C101" s="123"/>
      <c r="D101" s="123"/>
      <c r="E101" s="123"/>
      <c r="F101" s="124"/>
      <c r="G101" s="122"/>
      <c r="H101" s="123"/>
      <c r="I101" s="123"/>
      <c r="J101" s="123"/>
      <c r="K101" s="124"/>
      <c r="L101" s="122" t="s">
        <v>105</v>
      </c>
      <c r="M101" s="123"/>
      <c r="N101" s="123"/>
      <c r="O101" s="123"/>
      <c r="P101" s="125"/>
    </row>
    <row r="102" spans="1:16" s="9" customFormat="1" ht="16.899999999999999" customHeight="1" thickBot="1" x14ac:dyDescent="0.3">
      <c r="A102" s="8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10"/>
    </row>
    <row r="103" spans="1:16" s="3" customFormat="1" ht="15.75" customHeight="1" thickBot="1" x14ac:dyDescent="0.25">
      <c r="A103" s="111" t="s">
        <v>37</v>
      </c>
      <c r="B103" s="112"/>
      <c r="C103" s="112"/>
      <c r="D103" s="112"/>
      <c r="E103" s="112"/>
      <c r="F103" s="112"/>
      <c r="G103" s="112"/>
      <c r="H103" s="112"/>
      <c r="I103" s="112"/>
      <c r="J103" s="112" t="s">
        <v>38</v>
      </c>
      <c r="K103" s="112"/>
      <c r="L103" s="112"/>
      <c r="M103" s="112"/>
      <c r="N103" s="112"/>
      <c r="O103" s="112"/>
      <c r="P103" s="113"/>
    </row>
  </sheetData>
  <mergeCells count="2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F101"/>
    <mergeCell ref="G101:K101"/>
    <mergeCell ref="L101:P10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8"/>
  <sheetViews>
    <sheetView view="pageBreakPreview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45"/>
      <c r="B2" s="346"/>
      <c r="C2" s="347"/>
      <c r="D2" s="348"/>
      <c r="E2" s="349" t="s">
        <v>118</v>
      </c>
      <c r="F2" s="350"/>
      <c r="G2" s="350"/>
      <c r="H2" s="350"/>
      <c r="I2" s="350"/>
      <c r="J2" s="350"/>
      <c r="K2" s="350"/>
      <c r="L2" s="350"/>
      <c r="M2" s="350"/>
      <c r="N2" s="350"/>
      <c r="O2" s="351"/>
      <c r="P2" s="352"/>
    </row>
    <row r="3" spans="1:26" s="2" customFormat="1" ht="25.5" customHeight="1" thickBot="1" x14ac:dyDescent="0.3">
      <c r="A3" s="345"/>
      <c r="B3" s="353"/>
      <c r="C3" s="354"/>
      <c r="D3" s="355"/>
      <c r="E3" s="356"/>
      <c r="F3" s="357"/>
      <c r="G3" s="357"/>
      <c r="H3" s="357"/>
      <c r="I3" s="357"/>
      <c r="J3" s="357"/>
      <c r="K3" s="357"/>
      <c r="L3" s="357"/>
      <c r="M3" s="357"/>
      <c r="N3" s="357"/>
      <c r="O3" s="358"/>
      <c r="P3" s="35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43062</v>
      </c>
      <c r="D5" s="298"/>
      <c r="E5" s="22" t="s">
        <v>53</v>
      </c>
      <c r="F5" s="23">
        <v>2</v>
      </c>
      <c r="G5" s="24" t="s">
        <v>1</v>
      </c>
      <c r="H5" s="299" t="s">
        <v>119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112</v>
      </c>
      <c r="E6" s="283"/>
      <c r="F6" s="283"/>
      <c r="G6" s="283"/>
      <c r="H6" s="283"/>
      <c r="I6" s="284"/>
      <c r="J6" s="28" t="s">
        <v>3</v>
      </c>
      <c r="K6" s="285" t="s">
        <v>107</v>
      </c>
      <c r="L6" s="284"/>
      <c r="M6" s="285" t="s">
        <v>108</v>
      </c>
      <c r="N6" s="286"/>
      <c r="O6" s="29" t="s">
        <v>54</v>
      </c>
      <c r="P6" s="30">
        <v>1881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91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4"/>
    </row>
    <row r="9" spans="1:26" s="26" customFormat="1" ht="21.75" customHeight="1" x14ac:dyDescent="0.25">
      <c r="B9" s="266" t="s">
        <v>6</v>
      </c>
      <c r="C9" s="269" t="s">
        <v>62</v>
      </c>
      <c r="D9" s="270" t="s">
        <v>63</v>
      </c>
      <c r="E9" s="255"/>
      <c r="F9" s="35"/>
      <c r="G9" s="271" t="s">
        <v>7</v>
      </c>
      <c r="H9" s="272" t="s">
        <v>8</v>
      </c>
      <c r="I9" s="258"/>
      <c r="J9" s="36"/>
      <c r="K9" s="269" t="s">
        <v>64</v>
      </c>
      <c r="L9" s="273" t="str">
        <f>+[2]AFORO!$L$9:$P$10</f>
        <v>CALIDO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92" t="s">
        <v>4</v>
      </c>
      <c r="G10" s="212"/>
      <c r="H10" s="253" t="s">
        <v>9</v>
      </c>
      <c r="I10" s="248"/>
      <c r="J10" s="93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94">
        <f>+[2]AFORO!$E$11</f>
        <v>0.36180555555555555</v>
      </c>
      <c r="F11" s="256" t="s">
        <v>11</v>
      </c>
      <c r="G11" s="255"/>
      <c r="H11" s="37">
        <v>1.58</v>
      </c>
      <c r="I11" s="257" t="s">
        <v>12</v>
      </c>
      <c r="J11" s="258"/>
      <c r="K11" s="95">
        <f>+[2]AFORO!$K$11</f>
        <v>17</v>
      </c>
      <c r="L11" s="254" t="s">
        <v>13</v>
      </c>
      <c r="M11" s="255"/>
      <c r="N11" s="96">
        <v>3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94">
        <f>+[2]AFORO!$E$12</f>
        <v>0.40625</v>
      </c>
      <c r="F12" s="249" t="s">
        <v>15</v>
      </c>
      <c r="G12" s="248"/>
      <c r="H12" s="37">
        <v>1.58</v>
      </c>
      <c r="I12" s="250" t="s">
        <v>16</v>
      </c>
      <c r="J12" s="248"/>
      <c r="K12" s="94">
        <f>+[2]AFORO!$K$12</f>
        <v>0.3666666666666667</v>
      </c>
      <c r="L12" s="247" t="s">
        <v>17</v>
      </c>
      <c r="M12" s="248"/>
      <c r="N12" s="97">
        <v>0.2</v>
      </c>
      <c r="O12" s="251">
        <v>0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/>
      <c r="O13" s="234"/>
      <c r="P13" s="237"/>
      <c r="Q13" s="38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77</v>
      </c>
      <c r="I16" s="228" t="s">
        <v>78</v>
      </c>
      <c r="J16" s="39" t="s">
        <v>43</v>
      </c>
      <c r="K16" s="40"/>
      <c r="L16" s="41" t="s">
        <v>44</v>
      </c>
      <c r="M16" s="41" t="s">
        <v>45</v>
      </c>
      <c r="N16" s="41" t="s">
        <v>45</v>
      </c>
      <c r="O16" s="41" t="s">
        <v>46</v>
      </c>
      <c r="P16" s="42" t="s">
        <v>22</v>
      </c>
    </row>
    <row r="17" spans="1:26" s="26" customFormat="1" ht="21.75" customHeight="1" thickBot="1" x14ac:dyDescent="0.3">
      <c r="A17" s="43"/>
      <c r="B17" s="220"/>
      <c r="C17" s="222"/>
      <c r="D17" s="222"/>
      <c r="E17" s="222"/>
      <c r="F17" s="226"/>
      <c r="G17" s="227"/>
      <c r="H17" s="222"/>
      <c r="I17" s="229"/>
      <c r="J17" s="44" t="s">
        <v>23</v>
      </c>
      <c r="K17" s="45" t="s">
        <v>24</v>
      </c>
      <c r="L17" s="45" t="s">
        <v>47</v>
      </c>
      <c r="M17" s="45" t="s">
        <v>48</v>
      </c>
      <c r="N17" s="45" t="s">
        <v>25</v>
      </c>
      <c r="O17" s="45" t="s">
        <v>26</v>
      </c>
      <c r="P17" s="46" t="s">
        <v>27</v>
      </c>
    </row>
    <row r="18" spans="1:26" s="55" customFormat="1" ht="21.75" customHeight="1" thickBot="1" x14ac:dyDescent="0.3">
      <c r="A18" s="47"/>
      <c r="B18" s="48"/>
      <c r="C18" s="49">
        <f>+O12</f>
        <v>0</v>
      </c>
      <c r="D18" s="49">
        <v>2.5000000000000001E-2</v>
      </c>
      <c r="E18" s="50"/>
      <c r="F18" s="51"/>
      <c r="G18" s="90"/>
      <c r="H18" s="52"/>
      <c r="I18" s="53"/>
      <c r="J18" s="89"/>
      <c r="K18" s="50"/>
      <c r="L18" s="50"/>
      <c r="M18" s="50"/>
      <c r="N18" s="50"/>
      <c r="O18" s="50"/>
      <c r="P18" s="54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s="55" customFormat="1" ht="13.5" customHeight="1" x14ac:dyDescent="0.25">
      <c r="A19" s="47"/>
      <c r="B19" s="210">
        <v>1</v>
      </c>
      <c r="C19" s="213">
        <f>+C18+$N$12</f>
        <v>0.2</v>
      </c>
      <c r="D19" s="190">
        <v>6.5000000000000002E-2</v>
      </c>
      <c r="E19" s="190">
        <v>2.8000000000000001E-2</v>
      </c>
      <c r="F19" s="56" t="s">
        <v>79</v>
      </c>
      <c r="G19" s="57">
        <v>0</v>
      </c>
      <c r="H19" s="58"/>
      <c r="I19" s="59"/>
      <c r="J19" s="60"/>
      <c r="K19" s="190">
        <f>+IF(E19&lt;=0.12,(J21),(IF(E19&lt;0.16,((J20+2*J21+J22)/4),IF(E19&gt;=0.16,((J19+3*J20+2*J21+3*J22+J23)/10)))))</f>
        <v>7.3999999999999996E-2</v>
      </c>
      <c r="L19" s="190">
        <f>ROUND(+(D18+D19)/2*(C19-C18),3)</f>
        <v>8.9999999999999993E-3</v>
      </c>
      <c r="M19" s="190">
        <f>ROUND(+K19*L19,4)</f>
        <v>6.9999999999999999E-4</v>
      </c>
      <c r="N19" s="193">
        <f>ROUND(+M19/$M$113*100,2)</f>
        <v>0.72</v>
      </c>
      <c r="O19" s="194"/>
      <c r="P19" s="195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s="55" customFormat="1" ht="13.5" customHeight="1" x14ac:dyDescent="0.25">
      <c r="A20" s="47"/>
      <c r="B20" s="211"/>
      <c r="C20" s="191"/>
      <c r="D20" s="191"/>
      <c r="E20" s="191"/>
      <c r="F20" s="61" t="s">
        <v>80</v>
      </c>
      <c r="G20" s="62" t="str">
        <f>IF(E19&lt;0.125,"NA",IF(0.125&lt;=E19,(0.2*E19)))</f>
        <v>NA</v>
      </c>
      <c r="H20" s="63"/>
      <c r="I20" s="64"/>
      <c r="J20" s="65"/>
      <c r="K20" s="191"/>
      <c r="L20" s="191"/>
      <c r="M20" s="191"/>
      <c r="N20" s="191"/>
      <c r="O20" s="191"/>
      <c r="P20" s="196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s="55" customFormat="1" ht="13.5" customHeight="1" x14ac:dyDescent="0.25">
      <c r="A21" s="47"/>
      <c r="B21" s="211"/>
      <c r="C21" s="191"/>
      <c r="D21" s="191"/>
      <c r="E21" s="191"/>
      <c r="F21" s="61" t="s">
        <v>81</v>
      </c>
      <c r="G21" s="62">
        <f>+E19*0.4</f>
        <v>1.1200000000000002E-2</v>
      </c>
      <c r="H21" s="63"/>
      <c r="I21" s="64"/>
      <c r="J21" s="65">
        <v>7.3999999999999996E-2</v>
      </c>
      <c r="K21" s="191"/>
      <c r="L21" s="191"/>
      <c r="M21" s="191"/>
      <c r="N21" s="191"/>
      <c r="O21" s="191"/>
      <c r="P21" s="196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s="55" customFormat="1" ht="13.5" customHeight="1" x14ac:dyDescent="0.25">
      <c r="A22" s="47"/>
      <c r="B22" s="211"/>
      <c r="C22" s="191"/>
      <c r="D22" s="191"/>
      <c r="E22" s="191"/>
      <c r="F22" s="61" t="s">
        <v>82</v>
      </c>
      <c r="G22" s="62" t="str">
        <f>IF(E19&lt;0.125,"NA",IF(0.125&lt;=E19,(0.8*E19)))</f>
        <v>NA</v>
      </c>
      <c r="H22" s="63"/>
      <c r="I22" s="64"/>
      <c r="J22" s="65"/>
      <c r="K22" s="191"/>
      <c r="L22" s="191"/>
      <c r="M22" s="191"/>
      <c r="N22" s="191"/>
      <c r="O22" s="191"/>
      <c r="P22" s="196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s="55" customFormat="1" ht="13.5" customHeight="1" thickBot="1" x14ac:dyDescent="0.3">
      <c r="A23" s="47"/>
      <c r="B23" s="212"/>
      <c r="C23" s="192"/>
      <c r="D23" s="192"/>
      <c r="E23" s="192"/>
      <c r="F23" s="66" t="s">
        <v>83</v>
      </c>
      <c r="G23" s="67">
        <f>+E19</f>
        <v>2.8000000000000001E-2</v>
      </c>
      <c r="H23" s="68"/>
      <c r="I23" s="69"/>
      <c r="J23" s="70"/>
      <c r="K23" s="192"/>
      <c r="L23" s="192"/>
      <c r="M23" s="192"/>
      <c r="N23" s="192"/>
      <c r="O23" s="192"/>
      <c r="P23" s="19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s="55" customFormat="1" ht="13.5" customHeight="1" x14ac:dyDescent="0.25">
      <c r="A24" s="47"/>
      <c r="B24" s="210">
        <v>2</v>
      </c>
      <c r="C24" s="213">
        <f>+C19+$N$12</f>
        <v>0.4</v>
      </c>
      <c r="D24" s="190">
        <v>2.8000000000000001E-2</v>
      </c>
      <c r="E24" s="190">
        <v>3.1E-2</v>
      </c>
      <c r="F24" s="56" t="s">
        <v>79</v>
      </c>
      <c r="G24" s="57">
        <v>0</v>
      </c>
      <c r="H24" s="58"/>
      <c r="I24" s="59"/>
      <c r="J24" s="60"/>
      <c r="K24" s="190">
        <f>+IF(E24&lt;=0.12,(J26),(IF(E24&lt;0.16,((J25+2*J26+J27)/4),IF(E24&gt;=0.16,((J24+3*J25+2*J26+3*J27+J28)/10)))))</f>
        <v>0.65</v>
      </c>
      <c r="L24" s="190">
        <f>ROUND(+(D19+D24)/2*(C24-C19),3)</f>
        <v>8.9999999999999993E-3</v>
      </c>
      <c r="M24" s="190">
        <f>ROUND(+K24*L24,4)</f>
        <v>5.8999999999999999E-3</v>
      </c>
      <c r="N24" s="193">
        <f>ROUND(+M24/$M$113*100,2)</f>
        <v>6.03</v>
      </c>
      <c r="O24" s="194"/>
      <c r="P24" s="195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s="55" customFormat="1" ht="13.5" customHeight="1" x14ac:dyDescent="0.25">
      <c r="A25" s="47"/>
      <c r="B25" s="211"/>
      <c r="C25" s="191"/>
      <c r="D25" s="191"/>
      <c r="E25" s="191"/>
      <c r="F25" s="61" t="s">
        <v>80</v>
      </c>
      <c r="G25" s="62" t="str">
        <f t="shared" ref="G25" si="0">IF(E24&lt;0.125,"NA",IF(0.125&lt;=E24,(0.2*E24)))</f>
        <v>NA</v>
      </c>
      <c r="H25" s="63"/>
      <c r="I25" s="64"/>
      <c r="J25" s="65"/>
      <c r="K25" s="191"/>
      <c r="L25" s="191"/>
      <c r="M25" s="191"/>
      <c r="N25" s="191"/>
      <c r="O25" s="191"/>
      <c r="P25" s="196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s="55" customFormat="1" ht="13.5" customHeight="1" x14ac:dyDescent="0.25">
      <c r="A26" s="47"/>
      <c r="B26" s="211"/>
      <c r="C26" s="191"/>
      <c r="D26" s="191"/>
      <c r="E26" s="191"/>
      <c r="F26" s="61" t="s">
        <v>81</v>
      </c>
      <c r="G26" s="62">
        <f t="shared" ref="G26" si="1">+E24*0.4</f>
        <v>1.2400000000000001E-2</v>
      </c>
      <c r="H26" s="63"/>
      <c r="I26" s="64"/>
      <c r="J26" s="65">
        <v>0.65</v>
      </c>
      <c r="K26" s="191"/>
      <c r="L26" s="191"/>
      <c r="M26" s="191"/>
      <c r="N26" s="191"/>
      <c r="O26" s="191"/>
      <c r="P26" s="196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s="55" customFormat="1" ht="13.5" customHeight="1" x14ac:dyDescent="0.25">
      <c r="A27" s="47"/>
      <c r="B27" s="211"/>
      <c r="C27" s="191"/>
      <c r="D27" s="191"/>
      <c r="E27" s="191"/>
      <c r="F27" s="61" t="s">
        <v>82</v>
      </c>
      <c r="G27" s="62" t="str">
        <f t="shared" ref="G27" si="2">IF(E24&lt;0.125,"NA",IF(0.125&lt;=E24,(0.8*E24)))</f>
        <v>NA</v>
      </c>
      <c r="H27" s="63"/>
      <c r="I27" s="64"/>
      <c r="J27" s="65"/>
      <c r="K27" s="191"/>
      <c r="L27" s="191"/>
      <c r="M27" s="191"/>
      <c r="N27" s="191"/>
      <c r="O27" s="191"/>
      <c r="P27" s="196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s="55" customFormat="1" ht="13.5" customHeight="1" thickBot="1" x14ac:dyDescent="0.3">
      <c r="A28" s="47"/>
      <c r="B28" s="212"/>
      <c r="C28" s="192"/>
      <c r="D28" s="192"/>
      <c r="E28" s="192"/>
      <c r="F28" s="66" t="s">
        <v>83</v>
      </c>
      <c r="G28" s="67">
        <f t="shared" ref="G28" si="3">+E24</f>
        <v>3.1E-2</v>
      </c>
      <c r="H28" s="68"/>
      <c r="I28" s="69"/>
      <c r="J28" s="70"/>
      <c r="K28" s="192"/>
      <c r="L28" s="192"/>
      <c r="M28" s="192"/>
      <c r="N28" s="192"/>
      <c r="O28" s="192"/>
      <c r="P28" s="19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s="55" customFormat="1" ht="13.5" customHeight="1" x14ac:dyDescent="0.25">
      <c r="A29" s="47"/>
      <c r="B29" s="210">
        <v>3</v>
      </c>
      <c r="C29" s="213">
        <f>+C24+$N$12</f>
        <v>0.60000000000000009</v>
      </c>
      <c r="D29" s="190">
        <v>2.5000000000000001E-2</v>
      </c>
      <c r="E29" s="190">
        <v>4.4999999999999998E-2</v>
      </c>
      <c r="F29" s="56" t="s">
        <v>79</v>
      </c>
      <c r="G29" s="57">
        <v>0</v>
      </c>
      <c r="H29" s="58"/>
      <c r="I29" s="59"/>
      <c r="J29" s="60"/>
      <c r="K29" s="190">
        <f t="shared" ref="K29" si="4">+IF(E29&lt;=0.12,(J31),(IF(E29&lt;0.16,((J30+2*J31+J32)/4),IF(E29&gt;=0.16,((J29+3*J30+2*J31+3*J32+J33)/10)))))</f>
        <v>0.69</v>
      </c>
      <c r="L29" s="190">
        <f t="shared" ref="L29" si="5">ROUND(+(D24+D29)/2*(C29-C24),3)</f>
        <v>5.0000000000000001E-3</v>
      </c>
      <c r="M29" s="190">
        <f t="shared" ref="M29" si="6">ROUND(+K29*L29,4)</f>
        <v>3.5000000000000001E-3</v>
      </c>
      <c r="N29" s="193">
        <f t="shared" ref="N29" si="7">ROUND(+M29/$M$113*100,2)</f>
        <v>3.58</v>
      </c>
      <c r="O29" s="194"/>
      <c r="P29" s="195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s="55" customFormat="1" ht="13.5" customHeight="1" x14ac:dyDescent="0.25">
      <c r="A30" s="47"/>
      <c r="B30" s="211"/>
      <c r="C30" s="191"/>
      <c r="D30" s="191"/>
      <c r="E30" s="191"/>
      <c r="F30" s="61" t="s">
        <v>80</v>
      </c>
      <c r="G30" s="62" t="str">
        <f t="shared" ref="G30" si="8">IF(E29&lt;0.125,"NA",IF(0.125&lt;=E29,(0.2*E29)))</f>
        <v>NA</v>
      </c>
      <c r="H30" s="63"/>
      <c r="I30" s="64"/>
      <c r="J30" s="65"/>
      <c r="K30" s="191"/>
      <c r="L30" s="191"/>
      <c r="M30" s="191"/>
      <c r="N30" s="191"/>
      <c r="O30" s="191"/>
      <c r="P30" s="196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s="55" customFormat="1" ht="13.5" customHeight="1" x14ac:dyDescent="0.25">
      <c r="A31" s="47"/>
      <c r="B31" s="211"/>
      <c r="C31" s="191"/>
      <c r="D31" s="191"/>
      <c r="E31" s="191"/>
      <c r="F31" s="61" t="s">
        <v>81</v>
      </c>
      <c r="G31" s="62">
        <f t="shared" ref="G31" si="9">+E29*0.4</f>
        <v>1.7999999999999999E-2</v>
      </c>
      <c r="H31" s="63"/>
      <c r="I31" s="64"/>
      <c r="J31" s="65">
        <v>0.69</v>
      </c>
      <c r="K31" s="191"/>
      <c r="L31" s="191"/>
      <c r="M31" s="191"/>
      <c r="N31" s="191"/>
      <c r="O31" s="191"/>
      <c r="P31" s="196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s="55" customFormat="1" ht="13.5" customHeight="1" x14ac:dyDescent="0.25">
      <c r="A32" s="47"/>
      <c r="B32" s="211"/>
      <c r="C32" s="191"/>
      <c r="D32" s="191"/>
      <c r="E32" s="191"/>
      <c r="F32" s="61" t="s">
        <v>82</v>
      </c>
      <c r="G32" s="62" t="str">
        <f t="shared" ref="G32" si="10">IF(E29&lt;0.125,"NA",IF(0.125&lt;=E29,(0.8*E29)))</f>
        <v>NA</v>
      </c>
      <c r="H32" s="63"/>
      <c r="I32" s="64"/>
      <c r="J32" s="65"/>
      <c r="K32" s="191"/>
      <c r="L32" s="191"/>
      <c r="M32" s="191"/>
      <c r="N32" s="191"/>
      <c r="O32" s="191"/>
      <c r="P32" s="196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s="55" customFormat="1" ht="13.5" customHeight="1" thickBot="1" x14ac:dyDescent="0.3">
      <c r="A33" s="47"/>
      <c r="B33" s="212"/>
      <c r="C33" s="192"/>
      <c r="D33" s="192"/>
      <c r="E33" s="192"/>
      <c r="F33" s="66" t="s">
        <v>83</v>
      </c>
      <c r="G33" s="67">
        <f t="shared" ref="G33" si="11">+E29</f>
        <v>4.4999999999999998E-2</v>
      </c>
      <c r="H33" s="68"/>
      <c r="I33" s="69"/>
      <c r="J33" s="70"/>
      <c r="K33" s="192"/>
      <c r="L33" s="192"/>
      <c r="M33" s="192"/>
      <c r="N33" s="192"/>
      <c r="O33" s="192"/>
      <c r="P33" s="19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s="55" customFormat="1" ht="13.5" customHeight="1" x14ac:dyDescent="0.25">
      <c r="A34" s="47"/>
      <c r="B34" s="210">
        <v>4</v>
      </c>
      <c r="C34" s="213">
        <f>+C29+$N$12</f>
        <v>0.8</v>
      </c>
      <c r="D34" s="190">
        <v>0.08</v>
      </c>
      <c r="E34" s="190">
        <v>2.5999999999999999E-2</v>
      </c>
      <c r="F34" s="56" t="s">
        <v>79</v>
      </c>
      <c r="G34" s="57">
        <v>0</v>
      </c>
      <c r="H34" s="58"/>
      <c r="I34" s="59"/>
      <c r="J34" s="60"/>
      <c r="K34" s="190">
        <f t="shared" ref="K34" si="12">+IF(E34&lt;=0.12,(J36),(IF(E34&lt;0.16,((J35+2*J36+J37)/4),IF(E34&gt;=0.16,((J34+3*J35+2*J36+3*J37+J38)/10)))))</f>
        <v>0.71899999999999997</v>
      </c>
      <c r="L34" s="190">
        <f t="shared" ref="L34" si="13">ROUND(+(D29+D34)/2*(C34-C29),3)</f>
        <v>1.0999999999999999E-2</v>
      </c>
      <c r="M34" s="190">
        <f t="shared" ref="M34" si="14">ROUND(+K34*L34,4)</f>
        <v>7.9000000000000008E-3</v>
      </c>
      <c r="N34" s="193">
        <f t="shared" ref="N34" si="15">ROUND(+M34/$M$113*100,2)</f>
        <v>8.08</v>
      </c>
      <c r="O34" s="194"/>
      <c r="P34" s="195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s="55" customFormat="1" ht="13.5" customHeight="1" x14ac:dyDescent="0.25">
      <c r="A35" s="47"/>
      <c r="B35" s="211"/>
      <c r="C35" s="191"/>
      <c r="D35" s="191"/>
      <c r="E35" s="191"/>
      <c r="F35" s="61" t="s">
        <v>80</v>
      </c>
      <c r="G35" s="62" t="str">
        <f t="shared" ref="G35" si="16">IF(E34&lt;0.125,"NA",IF(0.125&lt;=E34,(0.2*E34)))</f>
        <v>NA</v>
      </c>
      <c r="H35" s="63"/>
      <c r="I35" s="64"/>
      <c r="J35" s="65"/>
      <c r="K35" s="191"/>
      <c r="L35" s="191"/>
      <c r="M35" s="191"/>
      <c r="N35" s="191"/>
      <c r="O35" s="191"/>
      <c r="P35" s="196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s="55" customFormat="1" ht="13.5" customHeight="1" x14ac:dyDescent="0.25">
      <c r="A36" s="47"/>
      <c r="B36" s="211"/>
      <c r="C36" s="191"/>
      <c r="D36" s="191"/>
      <c r="E36" s="191"/>
      <c r="F36" s="61" t="s">
        <v>81</v>
      </c>
      <c r="G36" s="62">
        <f t="shared" ref="G36" si="17">+E34*0.4</f>
        <v>1.04E-2</v>
      </c>
      <c r="H36" s="63"/>
      <c r="I36" s="64"/>
      <c r="J36" s="65">
        <v>0.71899999999999997</v>
      </c>
      <c r="K36" s="191"/>
      <c r="L36" s="191"/>
      <c r="M36" s="191"/>
      <c r="N36" s="191"/>
      <c r="O36" s="191"/>
      <c r="P36" s="196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s="55" customFormat="1" ht="13.5" customHeight="1" x14ac:dyDescent="0.25">
      <c r="A37" s="47"/>
      <c r="B37" s="211"/>
      <c r="C37" s="191"/>
      <c r="D37" s="191"/>
      <c r="E37" s="191"/>
      <c r="F37" s="61" t="s">
        <v>82</v>
      </c>
      <c r="G37" s="62" t="str">
        <f t="shared" ref="G37" si="18">IF(E34&lt;0.125,"NA",IF(0.125&lt;=E34,(0.8*E34)))</f>
        <v>NA</v>
      </c>
      <c r="H37" s="63"/>
      <c r="I37" s="64"/>
      <c r="J37" s="65"/>
      <c r="K37" s="191"/>
      <c r="L37" s="191"/>
      <c r="M37" s="191"/>
      <c r="N37" s="191"/>
      <c r="O37" s="191"/>
      <c r="P37" s="196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s="55" customFormat="1" ht="13.5" customHeight="1" thickBot="1" x14ac:dyDescent="0.3">
      <c r="A38" s="47"/>
      <c r="B38" s="212"/>
      <c r="C38" s="192"/>
      <c r="D38" s="192"/>
      <c r="E38" s="192"/>
      <c r="F38" s="66" t="s">
        <v>83</v>
      </c>
      <c r="G38" s="67">
        <f t="shared" ref="G38" si="19">+E34</f>
        <v>2.5999999999999999E-2</v>
      </c>
      <c r="H38" s="68"/>
      <c r="I38" s="69"/>
      <c r="J38" s="70"/>
      <c r="K38" s="192"/>
      <c r="L38" s="192"/>
      <c r="M38" s="192"/>
      <c r="N38" s="192"/>
      <c r="O38" s="192"/>
      <c r="P38" s="19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s="55" customFormat="1" ht="13.5" customHeight="1" x14ac:dyDescent="0.25">
      <c r="A39" s="47"/>
      <c r="B39" s="210">
        <v>5</v>
      </c>
      <c r="C39" s="213">
        <f>+C34+$N$12</f>
        <v>1</v>
      </c>
      <c r="D39" s="190">
        <v>4.4999999999999998E-2</v>
      </c>
      <c r="E39" s="190">
        <v>5.6000000000000001E-2</v>
      </c>
      <c r="F39" s="56" t="s">
        <v>79</v>
      </c>
      <c r="G39" s="57">
        <v>0</v>
      </c>
      <c r="H39" s="58"/>
      <c r="I39" s="59"/>
      <c r="J39" s="60"/>
      <c r="K39" s="190">
        <f t="shared" ref="K39" si="20">+IF(E39&lt;=0.12,(J41),(IF(E39&lt;0.16,((J40+2*J41+J42)/4),IF(E39&gt;=0.16,((J39+3*J40+2*J41+3*J42+J43)/10)))))</f>
        <v>1.0509999999999999</v>
      </c>
      <c r="L39" s="190">
        <f t="shared" ref="L39" si="21">ROUND(+(D34+D39)/2*(C39-C34),3)</f>
        <v>1.2999999999999999E-2</v>
      </c>
      <c r="M39" s="190">
        <f t="shared" ref="M39" si="22">ROUND(+K39*L39,4)</f>
        <v>1.37E-2</v>
      </c>
      <c r="N39" s="193">
        <f t="shared" ref="N39" si="23">ROUND(+M39/$M$113*100,2)</f>
        <v>14.01</v>
      </c>
      <c r="O39" s="194"/>
      <c r="P39" s="195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s="55" customFormat="1" ht="13.5" customHeight="1" x14ac:dyDescent="0.25">
      <c r="A40" s="47"/>
      <c r="B40" s="211"/>
      <c r="C40" s="191"/>
      <c r="D40" s="191"/>
      <c r="E40" s="191"/>
      <c r="F40" s="61" t="s">
        <v>80</v>
      </c>
      <c r="G40" s="62" t="str">
        <f t="shared" ref="G40" si="24">IF(E39&lt;0.125,"NA",IF(0.125&lt;=E39,(0.2*E39)))</f>
        <v>NA</v>
      </c>
      <c r="H40" s="63"/>
      <c r="I40" s="64"/>
      <c r="J40" s="65"/>
      <c r="K40" s="191"/>
      <c r="L40" s="191"/>
      <c r="M40" s="191"/>
      <c r="N40" s="191"/>
      <c r="O40" s="191"/>
      <c r="P40" s="196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s="55" customFormat="1" ht="13.5" customHeight="1" x14ac:dyDescent="0.25">
      <c r="A41" s="47"/>
      <c r="B41" s="211"/>
      <c r="C41" s="191"/>
      <c r="D41" s="191"/>
      <c r="E41" s="191"/>
      <c r="F41" s="61" t="s">
        <v>81</v>
      </c>
      <c r="G41" s="62">
        <f t="shared" ref="G41" si="25">+E39*0.4</f>
        <v>2.2400000000000003E-2</v>
      </c>
      <c r="H41" s="63"/>
      <c r="I41" s="64"/>
      <c r="J41" s="65">
        <v>1.0509999999999999</v>
      </c>
      <c r="K41" s="191"/>
      <c r="L41" s="191"/>
      <c r="M41" s="191"/>
      <c r="N41" s="191"/>
      <c r="O41" s="191"/>
      <c r="P41" s="196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s="55" customFormat="1" ht="13.5" customHeight="1" x14ac:dyDescent="0.25">
      <c r="A42" s="47"/>
      <c r="B42" s="211"/>
      <c r="C42" s="191"/>
      <c r="D42" s="191"/>
      <c r="E42" s="191"/>
      <c r="F42" s="61" t="s">
        <v>82</v>
      </c>
      <c r="G42" s="62" t="str">
        <f t="shared" ref="G42" si="26">IF(E39&lt;0.125,"NA",IF(0.125&lt;=E39,(0.8*E39)))</f>
        <v>NA</v>
      </c>
      <c r="H42" s="63"/>
      <c r="I42" s="64"/>
      <c r="J42" s="65"/>
      <c r="K42" s="191"/>
      <c r="L42" s="191"/>
      <c r="M42" s="191"/>
      <c r="N42" s="191"/>
      <c r="O42" s="191"/>
      <c r="P42" s="196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s="55" customFormat="1" ht="13.5" customHeight="1" thickBot="1" x14ac:dyDescent="0.3">
      <c r="A43" s="47"/>
      <c r="B43" s="212"/>
      <c r="C43" s="192"/>
      <c r="D43" s="192"/>
      <c r="E43" s="192"/>
      <c r="F43" s="66" t="s">
        <v>83</v>
      </c>
      <c r="G43" s="67">
        <f t="shared" ref="G43" si="27">+E39</f>
        <v>5.6000000000000001E-2</v>
      </c>
      <c r="H43" s="68"/>
      <c r="I43" s="69"/>
      <c r="J43" s="70"/>
      <c r="K43" s="192"/>
      <c r="L43" s="192"/>
      <c r="M43" s="192"/>
      <c r="N43" s="192"/>
      <c r="O43" s="192"/>
      <c r="P43" s="19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s="55" customFormat="1" ht="13.5" customHeight="1" x14ac:dyDescent="0.25">
      <c r="A44" s="47"/>
      <c r="B44" s="210">
        <v>6</v>
      </c>
      <c r="C44" s="213">
        <f>+C39+$N$12</f>
        <v>1.2</v>
      </c>
      <c r="D44" s="190">
        <v>6.5000000000000002E-2</v>
      </c>
      <c r="E44" s="190">
        <v>4.4999999999999998E-2</v>
      </c>
      <c r="F44" s="56" t="s">
        <v>79</v>
      </c>
      <c r="G44" s="57">
        <v>0</v>
      </c>
      <c r="H44" s="58"/>
      <c r="I44" s="59"/>
      <c r="J44" s="60"/>
      <c r="K44" s="190">
        <f t="shared" ref="K44" si="28">+IF(E44&lt;=0.12,(J46),(IF(E44&lt;0.16,((J45+2*J46+J47)/4),IF(E44&gt;=0.16,((J44+3*J45+2*J46+3*J47+J48)/10)))))</f>
        <v>1.0580000000000001</v>
      </c>
      <c r="L44" s="190">
        <f t="shared" ref="L44" si="29">ROUND(+(D39+D44)/2*(C44-C39),3)</f>
        <v>1.0999999999999999E-2</v>
      </c>
      <c r="M44" s="190">
        <f t="shared" ref="M44" si="30">ROUND(+K44*L44,4)</f>
        <v>1.1599999999999999E-2</v>
      </c>
      <c r="N44" s="193">
        <f t="shared" ref="N44" si="31">ROUND(+M44/$M$113*100,2)</f>
        <v>11.86</v>
      </c>
      <c r="O44" s="194"/>
      <c r="P44" s="195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s="55" customFormat="1" ht="13.5" customHeight="1" x14ac:dyDescent="0.25">
      <c r="A45" s="47"/>
      <c r="B45" s="211"/>
      <c r="C45" s="191"/>
      <c r="D45" s="191"/>
      <c r="E45" s="191"/>
      <c r="F45" s="61" t="s">
        <v>80</v>
      </c>
      <c r="G45" s="62" t="str">
        <f t="shared" ref="G45" si="32">IF(E44&lt;0.125,"NA",IF(0.125&lt;=E44,(0.2*E44)))</f>
        <v>NA</v>
      </c>
      <c r="H45" s="63"/>
      <c r="I45" s="64"/>
      <c r="J45" s="65"/>
      <c r="K45" s="191"/>
      <c r="L45" s="191"/>
      <c r="M45" s="191"/>
      <c r="N45" s="191"/>
      <c r="O45" s="191"/>
      <c r="P45" s="196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s="55" customFormat="1" ht="13.5" customHeight="1" x14ac:dyDescent="0.25">
      <c r="A46" s="47"/>
      <c r="B46" s="211"/>
      <c r="C46" s="191"/>
      <c r="D46" s="191"/>
      <c r="E46" s="191"/>
      <c r="F46" s="61" t="s">
        <v>81</v>
      </c>
      <c r="G46" s="62">
        <f t="shared" ref="G46" si="33">+E44*0.4</f>
        <v>1.7999999999999999E-2</v>
      </c>
      <c r="H46" s="63"/>
      <c r="I46" s="64"/>
      <c r="J46" s="65">
        <v>1.0580000000000001</v>
      </c>
      <c r="K46" s="191"/>
      <c r="L46" s="191"/>
      <c r="M46" s="191"/>
      <c r="N46" s="191"/>
      <c r="O46" s="191"/>
      <c r="P46" s="196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s="55" customFormat="1" ht="13.5" customHeight="1" x14ac:dyDescent="0.25">
      <c r="A47" s="47"/>
      <c r="B47" s="211"/>
      <c r="C47" s="191"/>
      <c r="D47" s="191"/>
      <c r="E47" s="191"/>
      <c r="F47" s="61" t="s">
        <v>82</v>
      </c>
      <c r="G47" s="62" t="str">
        <f t="shared" ref="G47" si="34">IF(E44&lt;0.125,"NA",IF(0.125&lt;=E44,(0.8*E44)))</f>
        <v>NA</v>
      </c>
      <c r="H47" s="63"/>
      <c r="I47" s="64"/>
      <c r="J47" s="65"/>
      <c r="K47" s="191"/>
      <c r="L47" s="191"/>
      <c r="M47" s="191"/>
      <c r="N47" s="191"/>
      <c r="O47" s="191"/>
      <c r="P47" s="196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s="55" customFormat="1" ht="13.5" customHeight="1" thickBot="1" x14ac:dyDescent="0.3">
      <c r="A48" s="47"/>
      <c r="B48" s="212"/>
      <c r="C48" s="192"/>
      <c r="D48" s="192"/>
      <c r="E48" s="192"/>
      <c r="F48" s="66" t="s">
        <v>83</v>
      </c>
      <c r="G48" s="67">
        <f t="shared" ref="G48" si="35">+E44</f>
        <v>4.4999999999999998E-2</v>
      </c>
      <c r="H48" s="68"/>
      <c r="I48" s="69"/>
      <c r="J48" s="70"/>
      <c r="K48" s="192"/>
      <c r="L48" s="192"/>
      <c r="M48" s="192"/>
      <c r="N48" s="192"/>
      <c r="O48" s="192"/>
      <c r="P48" s="19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s="55" customFormat="1" ht="13.5" customHeight="1" x14ac:dyDescent="0.25">
      <c r="A49" s="47"/>
      <c r="B49" s="210">
        <v>7</v>
      </c>
      <c r="C49" s="213">
        <f>+C44+$N$12</f>
        <v>1.4</v>
      </c>
      <c r="D49" s="190">
        <v>5.5E-2</v>
      </c>
      <c r="E49" s="190">
        <v>4.4999999999999998E-2</v>
      </c>
      <c r="F49" s="56" t="s">
        <v>79</v>
      </c>
      <c r="G49" s="57">
        <v>0</v>
      </c>
      <c r="H49" s="58"/>
      <c r="I49" s="59"/>
      <c r="J49" s="60"/>
      <c r="K49" s="190">
        <f t="shared" ref="K49" si="36">+IF(E49&lt;=0.12,(J51),(IF(E49&lt;0.16,((J50+2*J51+J52)/4),IF(E49&gt;=0.16,((J49+3*J50+2*J51+3*J52+J53)/10)))))</f>
        <v>0.752</v>
      </c>
      <c r="L49" s="190">
        <f t="shared" ref="L49" si="37">ROUND(+(D44+D49)/2*(C49-C44),3)</f>
        <v>1.2E-2</v>
      </c>
      <c r="M49" s="190">
        <f t="shared" ref="M49" si="38">ROUND(+K49*L49,4)</f>
        <v>8.9999999999999993E-3</v>
      </c>
      <c r="N49" s="193">
        <f t="shared" ref="N49" si="39">ROUND(+M49/$M$113*100,2)</f>
        <v>9.1999999999999993</v>
      </c>
      <c r="O49" s="194"/>
      <c r="P49" s="195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s="55" customFormat="1" ht="13.5" customHeight="1" x14ac:dyDescent="0.25">
      <c r="A50" s="47"/>
      <c r="B50" s="211"/>
      <c r="C50" s="191"/>
      <c r="D50" s="191"/>
      <c r="E50" s="191"/>
      <c r="F50" s="61" t="s">
        <v>80</v>
      </c>
      <c r="G50" s="62" t="str">
        <f t="shared" ref="G50" si="40">IF(E49&lt;0.125,"NA",IF(0.125&lt;=E49,(0.2*E49)))</f>
        <v>NA</v>
      </c>
      <c r="H50" s="63"/>
      <c r="I50" s="64"/>
      <c r="J50" s="65"/>
      <c r="K50" s="191"/>
      <c r="L50" s="191"/>
      <c r="M50" s="191"/>
      <c r="N50" s="191"/>
      <c r="O50" s="191"/>
      <c r="P50" s="196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s="55" customFormat="1" ht="13.5" customHeight="1" x14ac:dyDescent="0.25">
      <c r="A51" s="47"/>
      <c r="B51" s="211"/>
      <c r="C51" s="191"/>
      <c r="D51" s="191"/>
      <c r="E51" s="191"/>
      <c r="F51" s="61" t="s">
        <v>81</v>
      </c>
      <c r="G51" s="62">
        <f t="shared" ref="G51" si="41">+E49*0.4</f>
        <v>1.7999999999999999E-2</v>
      </c>
      <c r="H51" s="63"/>
      <c r="I51" s="64"/>
      <c r="J51" s="65">
        <v>0.752</v>
      </c>
      <c r="K51" s="191"/>
      <c r="L51" s="191"/>
      <c r="M51" s="191"/>
      <c r="N51" s="191"/>
      <c r="O51" s="191"/>
      <c r="P51" s="196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s="55" customFormat="1" ht="13.5" customHeight="1" x14ac:dyDescent="0.25">
      <c r="A52" s="47"/>
      <c r="B52" s="211"/>
      <c r="C52" s="191"/>
      <c r="D52" s="191"/>
      <c r="E52" s="191"/>
      <c r="F52" s="61" t="s">
        <v>82</v>
      </c>
      <c r="G52" s="62" t="str">
        <f t="shared" ref="G52" si="42">IF(E49&lt;0.125,"NA",IF(0.125&lt;=E49,(0.8*E49)))</f>
        <v>NA</v>
      </c>
      <c r="H52" s="63"/>
      <c r="I52" s="64"/>
      <c r="J52" s="65"/>
      <c r="K52" s="191"/>
      <c r="L52" s="191"/>
      <c r="M52" s="191"/>
      <c r="N52" s="191"/>
      <c r="O52" s="191"/>
      <c r="P52" s="196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s="55" customFormat="1" ht="13.5" customHeight="1" thickBot="1" x14ac:dyDescent="0.3">
      <c r="A53" s="47"/>
      <c r="B53" s="212"/>
      <c r="C53" s="192"/>
      <c r="D53" s="192"/>
      <c r="E53" s="192"/>
      <c r="F53" s="66" t="s">
        <v>83</v>
      </c>
      <c r="G53" s="67">
        <f t="shared" ref="G53" si="43">+E49</f>
        <v>4.4999999999999998E-2</v>
      </c>
      <c r="H53" s="68"/>
      <c r="I53" s="69"/>
      <c r="J53" s="70"/>
      <c r="K53" s="192"/>
      <c r="L53" s="192"/>
      <c r="M53" s="192"/>
      <c r="N53" s="192"/>
      <c r="O53" s="192"/>
      <c r="P53" s="19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s="55" customFormat="1" ht="13.5" customHeight="1" x14ac:dyDescent="0.25">
      <c r="A54" s="47"/>
      <c r="B54" s="210">
        <v>8</v>
      </c>
      <c r="C54" s="213">
        <f>+C49+$N$12</f>
        <v>1.5999999999999999</v>
      </c>
      <c r="D54" s="190">
        <v>3.5000000000000003E-2</v>
      </c>
      <c r="E54" s="190">
        <v>4.4999999999999998E-2</v>
      </c>
      <c r="F54" s="56" t="s">
        <v>79</v>
      </c>
      <c r="G54" s="57">
        <v>0</v>
      </c>
      <c r="H54" s="58"/>
      <c r="I54" s="59"/>
      <c r="J54" s="60"/>
      <c r="K54" s="190">
        <f t="shared" ref="K54" si="44">+IF(E54&lt;=0.12,(J56),(IF(E54&lt;0.16,((J55+2*J56+J57)/4),IF(E54&gt;=0.16,((J54+3*J55+2*J56+3*J57+J58)/10)))))</f>
        <v>1.107</v>
      </c>
      <c r="L54" s="190">
        <f t="shared" ref="L54" si="45">ROUND(+(D49+D54)/2*(C54-C49),3)</f>
        <v>8.9999999999999993E-3</v>
      </c>
      <c r="M54" s="190">
        <f t="shared" ref="M54" si="46">ROUND(+K54*L54,4)</f>
        <v>0.01</v>
      </c>
      <c r="N54" s="193">
        <f t="shared" ref="N54" si="47">ROUND(+M54/$M$113*100,2)</f>
        <v>10.220000000000001</v>
      </c>
      <c r="O54" s="194"/>
      <c r="P54" s="195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s="55" customFormat="1" ht="13.5" customHeight="1" x14ac:dyDescent="0.25">
      <c r="A55" s="47"/>
      <c r="B55" s="211"/>
      <c r="C55" s="191"/>
      <c r="D55" s="191"/>
      <c r="E55" s="191"/>
      <c r="F55" s="61" t="s">
        <v>80</v>
      </c>
      <c r="G55" s="62" t="str">
        <f t="shared" ref="G55" si="48">IF(E54&lt;0.125,"NA",IF(0.125&lt;=E54,(0.2*E54)))</f>
        <v>NA</v>
      </c>
      <c r="H55" s="63"/>
      <c r="I55" s="64"/>
      <c r="J55" s="65"/>
      <c r="K55" s="191"/>
      <c r="L55" s="191"/>
      <c r="M55" s="191"/>
      <c r="N55" s="191"/>
      <c r="O55" s="191"/>
      <c r="P55" s="196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s="55" customFormat="1" ht="13.5" customHeight="1" x14ac:dyDescent="0.25">
      <c r="A56" s="47"/>
      <c r="B56" s="211"/>
      <c r="C56" s="191"/>
      <c r="D56" s="191"/>
      <c r="E56" s="191"/>
      <c r="F56" s="61" t="s">
        <v>81</v>
      </c>
      <c r="G56" s="62">
        <f t="shared" ref="G56" si="49">+E54*0.4</f>
        <v>1.7999999999999999E-2</v>
      </c>
      <c r="H56" s="63"/>
      <c r="I56" s="64"/>
      <c r="J56" s="65">
        <v>1.107</v>
      </c>
      <c r="K56" s="191"/>
      <c r="L56" s="191"/>
      <c r="M56" s="191"/>
      <c r="N56" s="191"/>
      <c r="O56" s="191"/>
      <c r="P56" s="196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s="55" customFormat="1" ht="13.5" customHeight="1" x14ac:dyDescent="0.25">
      <c r="A57" s="47"/>
      <c r="B57" s="211"/>
      <c r="C57" s="191"/>
      <c r="D57" s="191"/>
      <c r="E57" s="191"/>
      <c r="F57" s="61" t="s">
        <v>82</v>
      </c>
      <c r="G57" s="62" t="str">
        <f t="shared" ref="G57" si="50">IF(E54&lt;0.125,"NA",IF(0.125&lt;=E54,(0.8*E54)))</f>
        <v>NA</v>
      </c>
      <c r="H57" s="63"/>
      <c r="I57" s="64"/>
      <c r="J57" s="65"/>
      <c r="K57" s="191"/>
      <c r="L57" s="191"/>
      <c r="M57" s="191"/>
      <c r="N57" s="191"/>
      <c r="O57" s="191"/>
      <c r="P57" s="196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s="55" customFormat="1" ht="13.5" customHeight="1" thickBot="1" x14ac:dyDescent="0.3">
      <c r="A58" s="47"/>
      <c r="B58" s="212"/>
      <c r="C58" s="192"/>
      <c r="D58" s="192"/>
      <c r="E58" s="192"/>
      <c r="F58" s="66" t="s">
        <v>83</v>
      </c>
      <c r="G58" s="67">
        <f t="shared" ref="G58" si="51">+E54</f>
        <v>4.4999999999999998E-2</v>
      </c>
      <c r="H58" s="68"/>
      <c r="I58" s="69"/>
      <c r="J58" s="70"/>
      <c r="K58" s="192"/>
      <c r="L58" s="192"/>
      <c r="M58" s="192"/>
      <c r="N58" s="192"/>
      <c r="O58" s="192"/>
      <c r="P58" s="19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s="55" customFormat="1" ht="13.5" customHeight="1" x14ac:dyDescent="0.25">
      <c r="A59" s="47"/>
      <c r="B59" s="210">
        <v>9</v>
      </c>
      <c r="C59" s="213">
        <f>+C54+$N$12</f>
        <v>1.7999999999999998</v>
      </c>
      <c r="D59" s="190">
        <v>2.5999999999999999E-2</v>
      </c>
      <c r="E59" s="190">
        <v>4.4999999999999998E-2</v>
      </c>
      <c r="F59" s="56" t="s">
        <v>79</v>
      </c>
      <c r="G59" s="57">
        <v>0</v>
      </c>
      <c r="H59" s="58"/>
      <c r="I59" s="59"/>
      <c r="J59" s="60"/>
      <c r="K59" s="190">
        <f t="shared" ref="K59" si="52">+IF(E59&lt;=0.12,(J61),(IF(E59&lt;0.16,((J60+2*J61+J62)/4),IF(E59&gt;=0.16,((J59+3*J60+2*J61+3*J62+J63)/10)))))</f>
        <v>1.1000000000000001</v>
      </c>
      <c r="L59" s="190">
        <f t="shared" ref="L59" si="53">ROUND(+(D54+D59)/2*(C59-C54),3)</f>
        <v>6.0000000000000001E-3</v>
      </c>
      <c r="M59" s="190">
        <f t="shared" ref="M59" si="54">ROUND(+K59*L59,4)</f>
        <v>6.6E-3</v>
      </c>
      <c r="N59" s="193">
        <f t="shared" ref="N59" si="55">ROUND(+M59/$M$113*100,2)</f>
        <v>6.75</v>
      </c>
      <c r="O59" s="194"/>
      <c r="P59" s="195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s="55" customFormat="1" ht="13.5" customHeight="1" x14ac:dyDescent="0.25">
      <c r="A60" s="47"/>
      <c r="B60" s="211"/>
      <c r="C60" s="191"/>
      <c r="D60" s="191"/>
      <c r="E60" s="191"/>
      <c r="F60" s="61" t="s">
        <v>80</v>
      </c>
      <c r="G60" s="62" t="str">
        <f t="shared" ref="G60" si="56">IF(E59&lt;0.125,"NA",IF(0.125&lt;=E59,(0.2*E59)))</f>
        <v>NA</v>
      </c>
      <c r="H60" s="63"/>
      <c r="I60" s="64"/>
      <c r="J60" s="65"/>
      <c r="K60" s="191"/>
      <c r="L60" s="191"/>
      <c r="M60" s="191"/>
      <c r="N60" s="191"/>
      <c r="O60" s="191"/>
      <c r="P60" s="196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s="55" customFormat="1" ht="13.5" customHeight="1" x14ac:dyDescent="0.25">
      <c r="A61" s="47"/>
      <c r="B61" s="211"/>
      <c r="C61" s="191"/>
      <c r="D61" s="191"/>
      <c r="E61" s="191"/>
      <c r="F61" s="61" t="s">
        <v>81</v>
      </c>
      <c r="G61" s="62">
        <f t="shared" ref="G61" si="57">+E59*0.4</f>
        <v>1.7999999999999999E-2</v>
      </c>
      <c r="H61" s="63"/>
      <c r="I61" s="64"/>
      <c r="J61" s="65">
        <v>1.1000000000000001</v>
      </c>
      <c r="K61" s="191"/>
      <c r="L61" s="191"/>
      <c r="M61" s="191"/>
      <c r="N61" s="191"/>
      <c r="O61" s="191"/>
      <c r="P61" s="196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s="55" customFormat="1" ht="13.5" customHeight="1" x14ac:dyDescent="0.25">
      <c r="A62" s="47"/>
      <c r="B62" s="211"/>
      <c r="C62" s="191"/>
      <c r="D62" s="191"/>
      <c r="E62" s="191"/>
      <c r="F62" s="61" t="s">
        <v>82</v>
      </c>
      <c r="G62" s="62" t="str">
        <f t="shared" ref="G62" si="58">IF(E59&lt;0.125,"NA",IF(0.125&lt;=E59,(0.8*E59)))</f>
        <v>NA</v>
      </c>
      <c r="H62" s="63"/>
      <c r="I62" s="64"/>
      <c r="J62" s="65"/>
      <c r="K62" s="191"/>
      <c r="L62" s="191"/>
      <c r="M62" s="191"/>
      <c r="N62" s="191"/>
      <c r="O62" s="191"/>
      <c r="P62" s="196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s="55" customFormat="1" ht="13.5" customHeight="1" thickBot="1" x14ac:dyDescent="0.3">
      <c r="A63" s="47"/>
      <c r="B63" s="212"/>
      <c r="C63" s="192"/>
      <c r="D63" s="192"/>
      <c r="E63" s="192"/>
      <c r="F63" s="66" t="s">
        <v>83</v>
      </c>
      <c r="G63" s="67">
        <f t="shared" ref="G63" si="59">+E59</f>
        <v>4.4999999999999998E-2</v>
      </c>
      <c r="H63" s="68"/>
      <c r="I63" s="69"/>
      <c r="J63" s="70"/>
      <c r="K63" s="192"/>
      <c r="L63" s="192"/>
      <c r="M63" s="192"/>
      <c r="N63" s="192"/>
      <c r="O63" s="192"/>
      <c r="P63" s="19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s="55" customFormat="1" ht="13.5" customHeight="1" x14ac:dyDescent="0.25">
      <c r="A64" s="47"/>
      <c r="B64" s="210">
        <f>+B59+1</f>
        <v>10</v>
      </c>
      <c r="C64" s="213">
        <f>+C59+$N$12</f>
        <v>1.9999999999999998</v>
      </c>
      <c r="D64" s="190">
        <v>4.4999999999999998E-2</v>
      </c>
      <c r="E64" s="190">
        <v>4.4999999999999998E-2</v>
      </c>
      <c r="F64" s="56" t="s">
        <v>79</v>
      </c>
      <c r="G64" s="57">
        <v>0</v>
      </c>
      <c r="H64" s="58"/>
      <c r="I64" s="59"/>
      <c r="J64" s="60"/>
      <c r="K64" s="190">
        <f t="shared" ref="K64" si="60">+IF(E64&lt;=0.12,(J66),(IF(E64&lt;0.16,((J65+2*J66+J67)/4),IF(E64&gt;=0.16,((J64+3*J65+2*J66+3*J67+J68)/10)))))</f>
        <v>1.1259999999999999</v>
      </c>
      <c r="L64" s="190">
        <f t="shared" ref="L64" si="61">ROUND(+(D59+D64)/2*(C64-C59),3)</f>
        <v>7.0000000000000001E-3</v>
      </c>
      <c r="M64" s="190">
        <f t="shared" ref="M64" si="62">ROUND(+K64*L64,4)</f>
        <v>7.9000000000000008E-3</v>
      </c>
      <c r="N64" s="193">
        <f t="shared" ref="N64" si="63">ROUND(+M64/$M$113*100,2)</f>
        <v>8.08</v>
      </c>
      <c r="O64" s="194"/>
      <c r="P64" s="195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s="55" customFormat="1" ht="13.5" customHeight="1" x14ac:dyDescent="0.25">
      <c r="A65" s="47"/>
      <c r="B65" s="211"/>
      <c r="C65" s="191"/>
      <c r="D65" s="191"/>
      <c r="E65" s="191"/>
      <c r="F65" s="61" t="s">
        <v>80</v>
      </c>
      <c r="G65" s="62" t="str">
        <f t="shared" ref="G65" si="64">IF(E64&lt;0.125,"NA",IF(0.125&lt;=E64,(0.2*E64)))</f>
        <v>NA</v>
      </c>
      <c r="H65" s="63"/>
      <c r="I65" s="64"/>
      <c r="J65" s="65"/>
      <c r="K65" s="191"/>
      <c r="L65" s="191"/>
      <c r="M65" s="191"/>
      <c r="N65" s="191"/>
      <c r="O65" s="191"/>
      <c r="P65" s="196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s="55" customFormat="1" ht="13.5" customHeight="1" x14ac:dyDescent="0.25">
      <c r="A66" s="47"/>
      <c r="B66" s="211"/>
      <c r="C66" s="191"/>
      <c r="D66" s="191"/>
      <c r="E66" s="191"/>
      <c r="F66" s="61" t="s">
        <v>81</v>
      </c>
      <c r="G66" s="62">
        <f t="shared" ref="G66" si="65">+E64*0.4</f>
        <v>1.7999999999999999E-2</v>
      </c>
      <c r="H66" s="63"/>
      <c r="I66" s="64"/>
      <c r="J66" s="65">
        <v>1.1259999999999999</v>
      </c>
      <c r="K66" s="191"/>
      <c r="L66" s="191"/>
      <c r="M66" s="191"/>
      <c r="N66" s="191"/>
      <c r="O66" s="191"/>
      <c r="P66" s="196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s="55" customFormat="1" ht="13.5" customHeight="1" x14ac:dyDescent="0.25">
      <c r="A67" s="47"/>
      <c r="B67" s="211"/>
      <c r="C67" s="191"/>
      <c r="D67" s="191"/>
      <c r="E67" s="191"/>
      <c r="F67" s="61" t="s">
        <v>82</v>
      </c>
      <c r="G67" s="62" t="str">
        <f t="shared" ref="G67" si="66">IF(E64&lt;0.125,"NA",IF(0.125&lt;=E64,(0.8*E64)))</f>
        <v>NA</v>
      </c>
      <c r="H67" s="63"/>
      <c r="I67" s="64"/>
      <c r="J67" s="65"/>
      <c r="K67" s="191"/>
      <c r="L67" s="191"/>
      <c r="M67" s="191"/>
      <c r="N67" s="191"/>
      <c r="O67" s="191"/>
      <c r="P67" s="196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s="55" customFormat="1" ht="13.5" customHeight="1" thickBot="1" x14ac:dyDescent="0.3">
      <c r="A68" s="47"/>
      <c r="B68" s="212"/>
      <c r="C68" s="192"/>
      <c r="D68" s="192"/>
      <c r="E68" s="192"/>
      <c r="F68" s="66" t="s">
        <v>83</v>
      </c>
      <c r="G68" s="67">
        <f t="shared" ref="G68" si="67">+E64</f>
        <v>4.4999999999999998E-2</v>
      </c>
      <c r="H68" s="68"/>
      <c r="I68" s="69"/>
      <c r="J68" s="70"/>
      <c r="K68" s="192"/>
      <c r="L68" s="192"/>
      <c r="M68" s="192"/>
      <c r="N68" s="192"/>
      <c r="O68" s="192"/>
      <c r="P68" s="19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s="55" customFormat="1" ht="13.5" customHeight="1" x14ac:dyDescent="0.25">
      <c r="A69" s="47"/>
      <c r="B69" s="210">
        <f t="shared" ref="B69" si="68">+B64+1</f>
        <v>11</v>
      </c>
      <c r="C69" s="213">
        <f>+C64+$N$12</f>
        <v>2.1999999999999997</v>
      </c>
      <c r="D69" s="190">
        <v>3.5000000000000003E-2</v>
      </c>
      <c r="E69" s="190">
        <v>3.5000000000000003E-2</v>
      </c>
      <c r="F69" s="56" t="s">
        <v>79</v>
      </c>
      <c r="G69" s="57">
        <v>0</v>
      </c>
      <c r="H69" s="58"/>
      <c r="I69" s="59"/>
      <c r="J69" s="60"/>
      <c r="K69" s="190">
        <f t="shared" ref="K69" si="69">+IF(E69&lt;=0.12,(J71),(IF(E69&lt;0.16,((J70+2*J71+J72)/4),IF(E69&gt;=0.16,((J69+3*J70+2*J71+3*J72+J73)/10)))))</f>
        <v>0.99199999999999999</v>
      </c>
      <c r="L69" s="190">
        <f t="shared" ref="L69" si="70">ROUND(+(D64+D69)/2*(C69-C64),3)</f>
        <v>8.0000000000000002E-3</v>
      </c>
      <c r="M69" s="190">
        <f t="shared" ref="M69" si="71">ROUND(+K69*L69,4)</f>
        <v>7.9000000000000008E-3</v>
      </c>
      <c r="N69" s="193">
        <f t="shared" ref="N69" si="72">ROUND(+M69/$M$113*100,2)</f>
        <v>8.08</v>
      </c>
      <c r="O69" s="194"/>
      <c r="P69" s="195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s="55" customFormat="1" ht="13.5" customHeight="1" x14ac:dyDescent="0.25">
      <c r="A70" s="47"/>
      <c r="B70" s="211"/>
      <c r="C70" s="191"/>
      <c r="D70" s="191"/>
      <c r="E70" s="191"/>
      <c r="F70" s="61" t="s">
        <v>80</v>
      </c>
      <c r="G70" s="62" t="str">
        <f t="shared" ref="G70" si="73">IF(E69&lt;0.125,"NA",IF(0.125&lt;=E69,(0.2*E69)))</f>
        <v>NA</v>
      </c>
      <c r="H70" s="63"/>
      <c r="I70" s="64"/>
      <c r="J70" s="65"/>
      <c r="K70" s="191"/>
      <c r="L70" s="191"/>
      <c r="M70" s="191"/>
      <c r="N70" s="191"/>
      <c r="O70" s="191"/>
      <c r="P70" s="196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s="55" customFormat="1" ht="13.5" customHeight="1" x14ac:dyDescent="0.25">
      <c r="A71" s="47"/>
      <c r="B71" s="211"/>
      <c r="C71" s="191"/>
      <c r="D71" s="191"/>
      <c r="E71" s="191"/>
      <c r="F71" s="61" t="s">
        <v>81</v>
      </c>
      <c r="G71" s="62">
        <f t="shared" ref="G71" si="74">+E69*0.4</f>
        <v>1.4000000000000002E-2</v>
      </c>
      <c r="H71" s="63"/>
      <c r="I71" s="64"/>
      <c r="J71" s="65">
        <v>0.99199999999999999</v>
      </c>
      <c r="K71" s="191"/>
      <c r="L71" s="191"/>
      <c r="M71" s="191"/>
      <c r="N71" s="191"/>
      <c r="O71" s="191"/>
      <c r="P71" s="196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s="55" customFormat="1" ht="13.5" customHeight="1" x14ac:dyDescent="0.25">
      <c r="A72" s="47"/>
      <c r="B72" s="211"/>
      <c r="C72" s="191"/>
      <c r="D72" s="191"/>
      <c r="E72" s="191"/>
      <c r="F72" s="61" t="s">
        <v>82</v>
      </c>
      <c r="G72" s="62" t="str">
        <f t="shared" ref="G72" si="75">IF(E69&lt;0.125,"NA",IF(0.125&lt;=E69,(0.8*E69)))</f>
        <v>NA</v>
      </c>
      <c r="H72" s="63"/>
      <c r="I72" s="64"/>
      <c r="J72" s="65"/>
      <c r="K72" s="191"/>
      <c r="L72" s="191"/>
      <c r="M72" s="191"/>
      <c r="N72" s="191"/>
      <c r="O72" s="191"/>
      <c r="P72" s="196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s="55" customFormat="1" ht="13.5" customHeight="1" thickBot="1" x14ac:dyDescent="0.3">
      <c r="A73" s="47"/>
      <c r="B73" s="212"/>
      <c r="C73" s="192"/>
      <c r="D73" s="192"/>
      <c r="E73" s="192"/>
      <c r="F73" s="66" t="s">
        <v>83</v>
      </c>
      <c r="G73" s="67">
        <f t="shared" ref="G73" si="76">+E69</f>
        <v>3.5000000000000003E-2</v>
      </c>
      <c r="H73" s="68"/>
      <c r="I73" s="69"/>
      <c r="J73" s="70"/>
      <c r="K73" s="192"/>
      <c r="L73" s="192"/>
      <c r="M73" s="192"/>
      <c r="N73" s="192"/>
      <c r="O73" s="192"/>
      <c r="P73" s="19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s="55" customFormat="1" ht="13.5" customHeight="1" x14ac:dyDescent="0.25">
      <c r="A74" s="47"/>
      <c r="B74" s="210">
        <f t="shared" ref="B74" si="77">+B69+1</f>
        <v>12</v>
      </c>
      <c r="C74" s="213">
        <f>+C69+$N$12</f>
        <v>2.4</v>
      </c>
      <c r="D74" s="190">
        <v>2.7E-2</v>
      </c>
      <c r="E74" s="190">
        <v>5.8000000000000003E-2</v>
      </c>
      <c r="F74" s="56" t="s">
        <v>79</v>
      </c>
      <c r="G74" s="57">
        <v>0</v>
      </c>
      <c r="H74" s="58"/>
      <c r="I74" s="59"/>
      <c r="J74" s="60"/>
      <c r="K74" s="190">
        <f t="shared" ref="K74" si="78">+IF(E74&lt;=0.12,(J76),(IF(E74&lt;0.16,((J75+2*J76+J77)/4),IF(E74&gt;=0.16,((J74+3*J75+2*J76+3*J77+J78)/10)))))</f>
        <v>0.60099999999999998</v>
      </c>
      <c r="L74" s="190">
        <f t="shared" ref="L74" si="79">ROUND(+(D69+D74)/2*(C74-C69),3)</f>
        <v>6.0000000000000001E-3</v>
      </c>
      <c r="M74" s="190">
        <f t="shared" ref="M74" si="80">ROUND(+K74*L74,4)</f>
        <v>3.5999999999999999E-3</v>
      </c>
      <c r="N74" s="193">
        <f t="shared" ref="N74" si="81">ROUND(+M74/$M$113*100,2)</f>
        <v>3.68</v>
      </c>
      <c r="O74" s="194"/>
      <c r="P74" s="195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s="55" customFormat="1" ht="13.5" customHeight="1" x14ac:dyDescent="0.25">
      <c r="A75" s="47"/>
      <c r="B75" s="211"/>
      <c r="C75" s="191"/>
      <c r="D75" s="191"/>
      <c r="E75" s="191"/>
      <c r="F75" s="61" t="s">
        <v>80</v>
      </c>
      <c r="G75" s="62" t="str">
        <f t="shared" ref="G75" si="82">IF(E74&lt;0.125,"NA",IF(0.125&lt;=E74,(0.2*E74)))</f>
        <v>NA</v>
      </c>
      <c r="H75" s="63"/>
      <c r="I75" s="64"/>
      <c r="J75" s="65"/>
      <c r="K75" s="191"/>
      <c r="L75" s="191"/>
      <c r="M75" s="191"/>
      <c r="N75" s="191"/>
      <c r="O75" s="191"/>
      <c r="P75" s="196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s="55" customFormat="1" ht="13.5" customHeight="1" x14ac:dyDescent="0.25">
      <c r="A76" s="47"/>
      <c r="B76" s="211"/>
      <c r="C76" s="191"/>
      <c r="D76" s="191"/>
      <c r="E76" s="191"/>
      <c r="F76" s="61" t="s">
        <v>81</v>
      </c>
      <c r="G76" s="62">
        <f t="shared" ref="G76" si="83">+E74*0.4</f>
        <v>2.3200000000000002E-2</v>
      </c>
      <c r="H76" s="63"/>
      <c r="I76" s="64"/>
      <c r="J76" s="65">
        <v>0.60099999999999998</v>
      </c>
      <c r="K76" s="191"/>
      <c r="L76" s="191"/>
      <c r="M76" s="191"/>
      <c r="N76" s="191"/>
      <c r="O76" s="191"/>
      <c r="P76" s="196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s="55" customFormat="1" ht="13.5" customHeight="1" x14ac:dyDescent="0.25">
      <c r="A77" s="47"/>
      <c r="B77" s="211"/>
      <c r="C77" s="191"/>
      <c r="D77" s="191"/>
      <c r="E77" s="191"/>
      <c r="F77" s="61" t="s">
        <v>82</v>
      </c>
      <c r="G77" s="62" t="str">
        <f t="shared" ref="G77" si="84">IF(E74&lt;0.125,"NA",IF(0.125&lt;=E74,(0.8*E74)))</f>
        <v>NA</v>
      </c>
      <c r="H77" s="63"/>
      <c r="I77" s="64"/>
      <c r="J77" s="65"/>
      <c r="K77" s="191"/>
      <c r="L77" s="191"/>
      <c r="M77" s="191"/>
      <c r="N77" s="191"/>
      <c r="O77" s="191"/>
      <c r="P77" s="196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s="55" customFormat="1" ht="13.5" customHeight="1" thickBot="1" x14ac:dyDescent="0.3">
      <c r="A78" s="47"/>
      <c r="B78" s="212"/>
      <c r="C78" s="192"/>
      <c r="D78" s="192"/>
      <c r="E78" s="192"/>
      <c r="F78" s="66" t="s">
        <v>83</v>
      </c>
      <c r="G78" s="67">
        <f t="shared" ref="G78" si="85">+E74</f>
        <v>5.8000000000000003E-2</v>
      </c>
      <c r="H78" s="68"/>
      <c r="I78" s="69"/>
      <c r="J78" s="70"/>
      <c r="K78" s="192"/>
      <c r="L78" s="192"/>
      <c r="M78" s="192"/>
      <c r="N78" s="192"/>
      <c r="O78" s="192"/>
      <c r="P78" s="19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s="55" customFormat="1" ht="13.5" customHeight="1" x14ac:dyDescent="0.25">
      <c r="A79" s="47"/>
      <c r="B79" s="210">
        <f t="shared" ref="B79" si="86">+B74+1</f>
        <v>13</v>
      </c>
      <c r="C79" s="213">
        <f>+C74+$N$12</f>
        <v>2.6</v>
      </c>
      <c r="D79" s="190">
        <v>3.5999999999999997E-2</v>
      </c>
      <c r="E79" s="190">
        <v>4.4999999999999998E-2</v>
      </c>
      <c r="F79" s="56" t="s">
        <v>79</v>
      </c>
      <c r="G79" s="57">
        <v>0</v>
      </c>
      <c r="H79" s="58"/>
      <c r="I79" s="59"/>
      <c r="J79" s="60"/>
      <c r="K79" s="190">
        <f t="shared" ref="K79" si="87">+IF(E79&lt;=0.12,(J81),(IF(E79&lt;0.16,((J80+2*J81+J82)/4),IF(E79&gt;=0.16,((J79+3*J80+2*J81+3*J82+J83)/10)))))</f>
        <v>0.59399999999999997</v>
      </c>
      <c r="L79" s="190">
        <f t="shared" ref="L79" si="88">ROUND(+(D74+D79)/2*(C79-C74),3)</f>
        <v>6.0000000000000001E-3</v>
      </c>
      <c r="M79" s="190">
        <f t="shared" ref="M79" si="89">ROUND(+K79*L79,4)</f>
        <v>3.5999999999999999E-3</v>
      </c>
      <c r="N79" s="193">
        <f t="shared" ref="N79" si="90">ROUND(+M79/$M$113*100,2)</f>
        <v>3.68</v>
      </c>
      <c r="O79" s="194"/>
      <c r="P79" s="195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s="55" customFormat="1" ht="13.5" customHeight="1" x14ac:dyDescent="0.25">
      <c r="A80" s="47"/>
      <c r="B80" s="211"/>
      <c r="C80" s="191"/>
      <c r="D80" s="191"/>
      <c r="E80" s="191"/>
      <c r="F80" s="61" t="s">
        <v>80</v>
      </c>
      <c r="G80" s="62" t="str">
        <f t="shared" ref="G80" si="91">IF(E79&lt;0.125,"NA",IF(0.125&lt;=E79,(0.2*E79)))</f>
        <v>NA</v>
      </c>
      <c r="H80" s="63"/>
      <c r="I80" s="64"/>
      <c r="J80" s="65"/>
      <c r="K80" s="191"/>
      <c r="L80" s="191"/>
      <c r="M80" s="191"/>
      <c r="N80" s="191"/>
      <c r="O80" s="191"/>
      <c r="P80" s="196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s="55" customFormat="1" ht="13.5" customHeight="1" x14ac:dyDescent="0.25">
      <c r="A81" s="47"/>
      <c r="B81" s="211"/>
      <c r="C81" s="191"/>
      <c r="D81" s="191"/>
      <c r="E81" s="191"/>
      <c r="F81" s="61" t="s">
        <v>81</v>
      </c>
      <c r="G81" s="62">
        <f t="shared" ref="G81" si="92">+E79*0.4</f>
        <v>1.7999999999999999E-2</v>
      </c>
      <c r="H81" s="63"/>
      <c r="I81" s="64"/>
      <c r="J81" s="65">
        <v>0.59399999999999997</v>
      </c>
      <c r="K81" s="191"/>
      <c r="L81" s="191"/>
      <c r="M81" s="191"/>
      <c r="N81" s="191"/>
      <c r="O81" s="191"/>
      <c r="P81" s="196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s="55" customFormat="1" ht="13.5" customHeight="1" x14ac:dyDescent="0.25">
      <c r="A82" s="47"/>
      <c r="B82" s="211"/>
      <c r="C82" s="191"/>
      <c r="D82" s="191"/>
      <c r="E82" s="191"/>
      <c r="F82" s="61" t="s">
        <v>82</v>
      </c>
      <c r="G82" s="62" t="str">
        <f t="shared" ref="G82" si="93">IF(E79&lt;0.125,"NA",IF(0.125&lt;=E79,(0.8*E79)))</f>
        <v>NA</v>
      </c>
      <c r="H82" s="63"/>
      <c r="I82" s="64"/>
      <c r="J82" s="65"/>
      <c r="K82" s="191"/>
      <c r="L82" s="191"/>
      <c r="M82" s="191"/>
      <c r="N82" s="191"/>
      <c r="O82" s="191"/>
      <c r="P82" s="196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s="55" customFormat="1" ht="13.5" customHeight="1" thickBot="1" x14ac:dyDescent="0.3">
      <c r="A83" s="47"/>
      <c r="B83" s="212"/>
      <c r="C83" s="192"/>
      <c r="D83" s="192"/>
      <c r="E83" s="192"/>
      <c r="F83" s="66" t="s">
        <v>83</v>
      </c>
      <c r="G83" s="67">
        <f t="shared" ref="G83" si="94">+E79</f>
        <v>4.4999999999999998E-2</v>
      </c>
      <c r="H83" s="68"/>
      <c r="I83" s="69"/>
      <c r="J83" s="70"/>
      <c r="K83" s="192"/>
      <c r="L83" s="192"/>
      <c r="M83" s="192"/>
      <c r="N83" s="192"/>
      <c r="O83" s="192"/>
      <c r="P83" s="19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s="55" customFormat="1" ht="13.5" customHeight="1" x14ac:dyDescent="0.25">
      <c r="A84" s="47"/>
      <c r="B84" s="210">
        <f t="shared" ref="B84:B89" si="95">+B79+1</f>
        <v>14</v>
      </c>
      <c r="C84" s="213">
        <f>+C79+$N$12</f>
        <v>2.8000000000000003</v>
      </c>
      <c r="D84" s="190">
        <v>3.5000000000000003E-2</v>
      </c>
      <c r="E84" s="190">
        <v>3.2000000000000001E-2</v>
      </c>
      <c r="F84" s="56" t="s">
        <v>79</v>
      </c>
      <c r="G84" s="57">
        <v>0</v>
      </c>
      <c r="H84" s="58"/>
      <c r="I84" s="59"/>
      <c r="J84" s="60"/>
      <c r="K84" s="190">
        <f t="shared" ref="K84" si="96">+IF(E84&lt;=0.12,(J86),(IF(E84&lt;0.16,((J85+2*J86+J87)/4),IF(E84&gt;=0.16,((J84+3*J85+2*J86+3*J87+J88)/10)))))</f>
        <v>0.29499999999999998</v>
      </c>
      <c r="L84" s="190">
        <f t="shared" ref="L84" si="97">ROUND(+(D74+D84)/2*(C84-C74),3)</f>
        <v>1.2E-2</v>
      </c>
      <c r="M84" s="190">
        <f t="shared" ref="M84" si="98">ROUND(+K84*L84,4)</f>
        <v>3.5000000000000001E-3</v>
      </c>
      <c r="N84" s="193">
        <f t="shared" ref="N84" si="99">ROUND(+M84/$M$113*100,2)</f>
        <v>3.58</v>
      </c>
      <c r="O84" s="194"/>
      <c r="P84" s="195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s="55" customFormat="1" ht="13.5" customHeight="1" x14ac:dyDescent="0.25">
      <c r="A85" s="47"/>
      <c r="B85" s="211"/>
      <c r="C85" s="191"/>
      <c r="D85" s="191"/>
      <c r="E85" s="191"/>
      <c r="F85" s="61" t="s">
        <v>80</v>
      </c>
      <c r="G85" s="62" t="str">
        <f t="shared" ref="G85" si="100">IF(E84&lt;0.125,"NA",IF(0.125&lt;=E84,(0.2*E84)))</f>
        <v>NA</v>
      </c>
      <c r="H85" s="63"/>
      <c r="I85" s="64"/>
      <c r="J85" s="65"/>
      <c r="K85" s="191"/>
      <c r="L85" s="191"/>
      <c r="M85" s="191"/>
      <c r="N85" s="191"/>
      <c r="O85" s="191"/>
      <c r="P85" s="196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s="55" customFormat="1" ht="13.5" customHeight="1" x14ac:dyDescent="0.25">
      <c r="A86" s="47"/>
      <c r="B86" s="211"/>
      <c r="C86" s="191"/>
      <c r="D86" s="191"/>
      <c r="E86" s="191"/>
      <c r="F86" s="61" t="s">
        <v>81</v>
      </c>
      <c r="G86" s="62">
        <f t="shared" ref="G86" si="101">+E84*0.4</f>
        <v>1.2800000000000001E-2</v>
      </c>
      <c r="H86" s="63"/>
      <c r="I86" s="64"/>
      <c r="J86" s="65">
        <v>0.29499999999999998</v>
      </c>
      <c r="K86" s="191"/>
      <c r="L86" s="191"/>
      <c r="M86" s="191"/>
      <c r="N86" s="191"/>
      <c r="O86" s="191"/>
      <c r="P86" s="196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s="55" customFormat="1" ht="13.5" customHeight="1" x14ac:dyDescent="0.25">
      <c r="A87" s="47"/>
      <c r="B87" s="211"/>
      <c r="C87" s="191"/>
      <c r="D87" s="191"/>
      <c r="E87" s="191"/>
      <c r="F87" s="61" t="s">
        <v>82</v>
      </c>
      <c r="G87" s="62" t="str">
        <f t="shared" ref="G87" si="102">IF(E84&lt;0.125,"NA",IF(0.125&lt;=E84,(0.8*E84)))</f>
        <v>NA</v>
      </c>
      <c r="H87" s="63"/>
      <c r="I87" s="64"/>
      <c r="J87" s="65"/>
      <c r="K87" s="191"/>
      <c r="L87" s="191"/>
      <c r="M87" s="191"/>
      <c r="N87" s="191"/>
      <c r="O87" s="191"/>
      <c r="P87" s="196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s="55" customFormat="1" ht="13.5" customHeight="1" thickBot="1" x14ac:dyDescent="0.3">
      <c r="A88" s="47"/>
      <c r="B88" s="212"/>
      <c r="C88" s="192"/>
      <c r="D88" s="192"/>
      <c r="E88" s="192"/>
      <c r="F88" s="66" t="s">
        <v>83</v>
      </c>
      <c r="G88" s="67">
        <f t="shared" ref="G88" si="103">+E84</f>
        <v>3.2000000000000001E-2</v>
      </c>
      <c r="H88" s="68"/>
      <c r="I88" s="69"/>
      <c r="J88" s="70"/>
      <c r="K88" s="192"/>
      <c r="L88" s="192"/>
      <c r="M88" s="192"/>
      <c r="N88" s="192"/>
      <c r="O88" s="192"/>
      <c r="P88" s="19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s="55" customFormat="1" ht="13.5" customHeight="1" x14ac:dyDescent="0.25">
      <c r="A89" s="47"/>
      <c r="B89" s="210">
        <f t="shared" si="95"/>
        <v>15</v>
      </c>
      <c r="C89" s="213">
        <f>+C84+$N$12</f>
        <v>3.0000000000000004</v>
      </c>
      <c r="D89" s="190">
        <v>0.03</v>
      </c>
      <c r="E89" s="190">
        <v>3.1E-2</v>
      </c>
      <c r="F89" s="56" t="s">
        <v>79</v>
      </c>
      <c r="G89" s="57">
        <v>0</v>
      </c>
      <c r="H89" s="58"/>
      <c r="I89" s="59"/>
      <c r="J89" s="60"/>
      <c r="K89" s="190">
        <f t="shared" ref="K89" si="104">+IF(E89&lt;=0.12,(J91),(IF(E89&lt;0.16,((J90+2*J91+J92)/4),IF(E89&gt;=0.16,((J89+3*J90+2*J91+3*J92+J93)/10)))))</f>
        <v>0.186</v>
      </c>
      <c r="L89" s="190">
        <f t="shared" ref="L89" si="105">ROUND(+(D79+D89)/2*(C89-C79),3)</f>
        <v>1.2999999999999999E-2</v>
      </c>
      <c r="M89" s="190">
        <f t="shared" ref="M89" si="106">ROUND(+K89*L89,4)</f>
        <v>2.3999999999999998E-3</v>
      </c>
      <c r="N89" s="193">
        <f t="shared" ref="N89" si="107">ROUND(+M89/$M$113*100,2)</f>
        <v>2.4500000000000002</v>
      </c>
      <c r="O89" s="194"/>
      <c r="P89" s="195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s="55" customFormat="1" ht="13.5" customHeight="1" x14ac:dyDescent="0.25">
      <c r="A90" s="47"/>
      <c r="B90" s="211"/>
      <c r="C90" s="191"/>
      <c r="D90" s="191"/>
      <c r="E90" s="191"/>
      <c r="F90" s="61" t="s">
        <v>80</v>
      </c>
      <c r="G90" s="62" t="str">
        <f t="shared" ref="G90" si="108">IF(E89&lt;0.125,"NA",IF(0.125&lt;=E89,(0.2*E89)))</f>
        <v>NA</v>
      </c>
      <c r="H90" s="63"/>
      <c r="I90" s="64"/>
      <c r="J90" s="65"/>
      <c r="K90" s="191"/>
      <c r="L90" s="191"/>
      <c r="M90" s="191"/>
      <c r="N90" s="191"/>
      <c r="O90" s="191"/>
      <c r="P90" s="196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s="55" customFormat="1" ht="13.5" customHeight="1" x14ac:dyDescent="0.25">
      <c r="A91" s="47"/>
      <c r="B91" s="211"/>
      <c r="C91" s="191"/>
      <c r="D91" s="191"/>
      <c r="E91" s="191"/>
      <c r="F91" s="61" t="s">
        <v>81</v>
      </c>
      <c r="G91" s="62">
        <f t="shared" ref="G91" si="109">+E89*0.4</f>
        <v>1.2400000000000001E-2</v>
      </c>
      <c r="H91" s="63"/>
      <c r="I91" s="64"/>
      <c r="J91" s="65">
        <v>0.186</v>
      </c>
      <c r="K91" s="191"/>
      <c r="L91" s="191"/>
      <c r="M91" s="191"/>
      <c r="N91" s="191"/>
      <c r="O91" s="191"/>
      <c r="P91" s="196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s="55" customFormat="1" ht="13.5" customHeight="1" x14ac:dyDescent="0.25">
      <c r="A92" s="47"/>
      <c r="B92" s="211"/>
      <c r="C92" s="191"/>
      <c r="D92" s="191"/>
      <c r="E92" s="191"/>
      <c r="F92" s="61" t="s">
        <v>82</v>
      </c>
      <c r="G92" s="62" t="str">
        <f t="shared" ref="G92" si="110">IF(E89&lt;0.125,"NA",IF(0.125&lt;=E89,(0.8*E89)))</f>
        <v>NA</v>
      </c>
      <c r="H92" s="63"/>
      <c r="I92" s="64"/>
      <c r="J92" s="65"/>
      <c r="K92" s="191"/>
      <c r="L92" s="191"/>
      <c r="M92" s="191"/>
      <c r="N92" s="191"/>
      <c r="O92" s="191"/>
      <c r="P92" s="196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s="55" customFormat="1" ht="13.5" customHeight="1" thickBot="1" x14ac:dyDescent="0.3">
      <c r="A93" s="47"/>
      <c r="B93" s="212"/>
      <c r="C93" s="192"/>
      <c r="D93" s="192"/>
      <c r="E93" s="192"/>
      <c r="F93" s="66" t="s">
        <v>83</v>
      </c>
      <c r="G93" s="67">
        <f t="shared" ref="G93" si="111">+E89</f>
        <v>3.1E-2</v>
      </c>
      <c r="H93" s="68"/>
      <c r="I93" s="69"/>
      <c r="J93" s="70"/>
      <c r="K93" s="192"/>
      <c r="L93" s="192"/>
      <c r="M93" s="192"/>
      <c r="N93" s="192"/>
      <c r="O93" s="192"/>
      <c r="P93" s="19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s="3" customFormat="1" ht="14.1" customHeight="1" x14ac:dyDescent="0.2">
      <c r="B94" s="198" t="s">
        <v>28</v>
      </c>
      <c r="C94" s="201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3"/>
    </row>
    <row r="95" spans="1:26" s="3" customFormat="1" ht="14.1" customHeight="1" x14ac:dyDescent="0.2">
      <c r="B95" s="199"/>
      <c r="C95" s="204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6"/>
    </row>
    <row r="96" spans="1:26" s="3" customFormat="1" ht="14.1" customHeight="1" x14ac:dyDescent="0.2">
      <c r="B96" s="199"/>
      <c r="C96" s="204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6"/>
    </row>
    <row r="97" spans="1:26" s="3" customFormat="1" ht="14.1" customHeight="1" x14ac:dyDescent="0.2">
      <c r="B97" s="199"/>
      <c r="C97" s="204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6"/>
    </row>
    <row r="98" spans="1:26" s="3" customFormat="1" ht="14.1" customHeight="1" x14ac:dyDescent="0.2">
      <c r="B98" s="199"/>
      <c r="C98" s="204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6"/>
    </row>
    <row r="99" spans="1:26" s="3" customFormat="1" ht="14.1" customHeight="1" thickBot="1" x14ac:dyDescent="0.25">
      <c r="B99" s="200"/>
      <c r="C99" s="207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9"/>
    </row>
    <row r="100" spans="1:26" s="3" customFormat="1" ht="28.5" customHeight="1" thickBot="1" x14ac:dyDescent="0.25">
      <c r="A100" s="71"/>
      <c r="B100" s="72" t="s">
        <v>84</v>
      </c>
      <c r="C100" s="177" t="s">
        <v>85</v>
      </c>
      <c r="D100" s="177"/>
      <c r="E100" s="177"/>
      <c r="F100" s="177"/>
      <c r="G100" s="177"/>
      <c r="H100" s="178"/>
      <c r="I100" s="179"/>
      <c r="J100" s="72" t="s">
        <v>86</v>
      </c>
      <c r="K100" s="177" t="s">
        <v>87</v>
      </c>
      <c r="L100" s="177"/>
      <c r="M100" s="177"/>
      <c r="N100" s="177"/>
      <c r="O100" s="177"/>
      <c r="P100" s="178"/>
    </row>
    <row r="101" spans="1:26" s="3" customFormat="1" ht="28.5" customHeight="1" thickBot="1" x14ac:dyDescent="0.25">
      <c r="B101" s="73" t="s">
        <v>88</v>
      </c>
      <c r="C101" s="181" t="s">
        <v>89</v>
      </c>
      <c r="D101" s="181"/>
      <c r="E101" s="181"/>
      <c r="F101" s="181"/>
      <c r="G101" s="181"/>
      <c r="H101" s="182"/>
      <c r="I101" s="180"/>
      <c r="J101" s="73" t="s">
        <v>90</v>
      </c>
      <c r="K101" s="181" t="s">
        <v>91</v>
      </c>
      <c r="L101" s="181"/>
      <c r="M101" s="181"/>
      <c r="N101" s="181"/>
      <c r="O101" s="181"/>
      <c r="P101" s="182"/>
    </row>
    <row r="102" spans="1:26" s="19" customFormat="1" ht="13.5" customHeight="1" x14ac:dyDescent="0.25">
      <c r="A102" s="74"/>
      <c r="B102" s="183"/>
      <c r="C102" s="186"/>
      <c r="D102" s="188"/>
      <c r="E102" s="188"/>
      <c r="F102" s="75" t="s">
        <v>79</v>
      </c>
      <c r="G102" s="75">
        <v>0.01</v>
      </c>
      <c r="H102" s="76"/>
      <c r="I102" s="77"/>
      <c r="J102" s="78"/>
      <c r="K102" s="189"/>
      <c r="L102" s="168"/>
      <c r="M102" s="171"/>
      <c r="N102" s="168"/>
      <c r="O102" s="168"/>
      <c r="P102" s="172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s="19" customFormat="1" ht="13.5" customHeight="1" x14ac:dyDescent="0.25">
      <c r="A103" s="74"/>
      <c r="B103" s="184"/>
      <c r="C103" s="169"/>
      <c r="D103" s="169"/>
      <c r="E103" s="169"/>
      <c r="F103" s="80" t="s">
        <v>92</v>
      </c>
      <c r="G103" s="81">
        <f>+E102*0.1</f>
        <v>0</v>
      </c>
      <c r="H103" s="82"/>
      <c r="I103" s="83"/>
      <c r="J103" s="84"/>
      <c r="K103" s="169"/>
      <c r="L103" s="169"/>
      <c r="M103" s="169"/>
      <c r="N103" s="169"/>
      <c r="O103" s="169"/>
      <c r="P103" s="173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s="19" customFormat="1" ht="13.5" customHeight="1" x14ac:dyDescent="0.25">
      <c r="A104" s="74"/>
      <c r="B104" s="184"/>
      <c r="C104" s="169"/>
      <c r="D104" s="169"/>
      <c r="E104" s="169"/>
      <c r="F104" s="80" t="s">
        <v>93</v>
      </c>
      <c r="G104" s="81">
        <f>+E102*0.2</f>
        <v>0</v>
      </c>
      <c r="H104" s="82"/>
      <c r="I104" s="83"/>
      <c r="J104" s="84"/>
      <c r="K104" s="169"/>
      <c r="L104" s="169"/>
      <c r="M104" s="169"/>
      <c r="N104" s="169"/>
      <c r="O104" s="169"/>
      <c r="P104" s="173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s="19" customFormat="1" ht="13.5" customHeight="1" x14ac:dyDescent="0.25">
      <c r="A105" s="74"/>
      <c r="B105" s="184"/>
      <c r="C105" s="169"/>
      <c r="D105" s="169"/>
      <c r="E105" s="169"/>
      <c r="F105" s="80" t="s">
        <v>94</v>
      </c>
      <c r="G105" s="81">
        <f>+E102*0.3</f>
        <v>0</v>
      </c>
      <c r="H105" s="82"/>
      <c r="I105" s="83"/>
      <c r="J105" s="84"/>
      <c r="K105" s="169"/>
      <c r="L105" s="169"/>
      <c r="M105" s="169"/>
      <c r="N105" s="169"/>
      <c r="O105" s="169"/>
      <c r="P105" s="173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s="19" customFormat="1" ht="13.5" customHeight="1" x14ac:dyDescent="0.25">
      <c r="A106" s="74"/>
      <c r="B106" s="184"/>
      <c r="C106" s="187"/>
      <c r="D106" s="187"/>
      <c r="E106" s="169"/>
      <c r="F106" s="80" t="s">
        <v>95</v>
      </c>
      <c r="G106" s="81">
        <f>+E102*0.4</f>
        <v>0</v>
      </c>
      <c r="H106" s="82"/>
      <c r="I106" s="83"/>
      <c r="J106" s="84"/>
      <c r="K106" s="169"/>
      <c r="L106" s="169"/>
      <c r="M106" s="169"/>
      <c r="N106" s="169"/>
      <c r="O106" s="169"/>
      <c r="P106" s="173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s="19" customFormat="1" ht="13.5" customHeight="1" x14ac:dyDescent="0.25">
      <c r="A107" s="74"/>
      <c r="B107" s="184"/>
      <c r="C107" s="175"/>
      <c r="D107" s="176"/>
      <c r="E107" s="169"/>
      <c r="F107" s="80" t="s">
        <v>29</v>
      </c>
      <c r="G107" s="81">
        <f>+E102*0.5</f>
        <v>0</v>
      </c>
      <c r="H107" s="82"/>
      <c r="I107" s="83"/>
      <c r="J107" s="84"/>
      <c r="K107" s="169"/>
      <c r="L107" s="169"/>
      <c r="M107" s="169"/>
      <c r="N107" s="169"/>
      <c r="O107" s="169"/>
      <c r="P107" s="173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s="19" customFormat="1" ht="13.5" customHeight="1" x14ac:dyDescent="0.25">
      <c r="A108" s="74"/>
      <c r="B108" s="184"/>
      <c r="C108" s="169"/>
      <c r="D108" s="169"/>
      <c r="E108" s="169"/>
      <c r="F108" s="80" t="s">
        <v>96</v>
      </c>
      <c r="G108" s="81">
        <f>+E102*0.6</f>
        <v>0</v>
      </c>
      <c r="H108" s="82"/>
      <c r="I108" s="83"/>
      <c r="J108" s="84"/>
      <c r="K108" s="169"/>
      <c r="L108" s="169"/>
      <c r="M108" s="169"/>
      <c r="N108" s="169"/>
      <c r="O108" s="169"/>
      <c r="P108" s="173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s="19" customFormat="1" ht="13.5" customHeight="1" x14ac:dyDescent="0.25">
      <c r="A109" s="74"/>
      <c r="B109" s="184"/>
      <c r="C109" s="169"/>
      <c r="D109" s="169"/>
      <c r="E109" s="169"/>
      <c r="F109" s="80" t="s">
        <v>97</v>
      </c>
      <c r="G109" s="81">
        <f>+E102*0.7</f>
        <v>0</v>
      </c>
      <c r="H109" s="82"/>
      <c r="I109" s="83"/>
      <c r="J109" s="84"/>
      <c r="K109" s="169"/>
      <c r="L109" s="169"/>
      <c r="M109" s="169"/>
      <c r="N109" s="169"/>
      <c r="O109" s="169"/>
      <c r="P109" s="173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s="19" customFormat="1" ht="13.5" customHeight="1" x14ac:dyDescent="0.25">
      <c r="A110" s="74"/>
      <c r="B110" s="184"/>
      <c r="C110" s="169"/>
      <c r="D110" s="169"/>
      <c r="E110" s="169"/>
      <c r="F110" s="80" t="s">
        <v>98</v>
      </c>
      <c r="G110" s="81">
        <f>+E102*0.8</f>
        <v>0</v>
      </c>
      <c r="H110" s="82"/>
      <c r="I110" s="83"/>
      <c r="J110" s="84"/>
      <c r="K110" s="169"/>
      <c r="L110" s="169"/>
      <c r="M110" s="169"/>
      <c r="N110" s="169"/>
      <c r="O110" s="169"/>
      <c r="P110" s="173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s="19" customFormat="1" ht="13.5" customHeight="1" x14ac:dyDescent="0.25">
      <c r="A111" s="74"/>
      <c r="B111" s="184"/>
      <c r="C111" s="169"/>
      <c r="D111" s="169"/>
      <c r="E111" s="169"/>
      <c r="F111" s="80" t="s">
        <v>99</v>
      </c>
      <c r="G111" s="81">
        <f>+E102*0.9</f>
        <v>0</v>
      </c>
      <c r="H111" s="82"/>
      <c r="I111" s="83"/>
      <c r="J111" s="84"/>
      <c r="K111" s="169"/>
      <c r="L111" s="169"/>
      <c r="M111" s="169"/>
      <c r="N111" s="169"/>
      <c r="O111" s="169"/>
      <c r="P111" s="173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s="19" customFormat="1" ht="15.75" thickBot="1" x14ac:dyDescent="0.3">
      <c r="A112" s="74"/>
      <c r="B112" s="185"/>
      <c r="C112" s="170"/>
      <c r="D112" s="170"/>
      <c r="E112" s="170"/>
      <c r="F112" s="85" t="s">
        <v>30</v>
      </c>
      <c r="G112" s="85">
        <f>+E102</f>
        <v>0</v>
      </c>
      <c r="H112" s="86"/>
      <c r="I112" s="87"/>
      <c r="J112" s="88"/>
      <c r="K112" s="170"/>
      <c r="L112" s="170"/>
      <c r="M112" s="170"/>
      <c r="N112" s="170"/>
      <c r="O112" s="170"/>
      <c r="P112" s="174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1" s="3" customFormat="1" ht="12.75" x14ac:dyDescent="0.2">
      <c r="A113" s="11"/>
      <c r="B113" s="156" t="s">
        <v>31</v>
      </c>
      <c r="C113" s="156"/>
      <c r="D113" s="156"/>
      <c r="E113" s="156"/>
      <c r="F113" s="156"/>
      <c r="G113" s="156"/>
      <c r="H113" s="156"/>
      <c r="I113" s="156"/>
      <c r="J113" s="156"/>
      <c r="K113" s="16">
        <f>ROUND(+M113/L113,3)</f>
        <v>0.71399999999999997</v>
      </c>
      <c r="L113" s="15">
        <f>SUM(L19:L112)</f>
        <v>0.13700000000000001</v>
      </c>
      <c r="M113" s="14">
        <f>SUM(M19:M112)</f>
        <v>9.7800000000000026E-2</v>
      </c>
      <c r="N113" s="12">
        <f>ROUND(SUM(N19:N112),0)</f>
        <v>100</v>
      </c>
      <c r="O113" s="158" t="s">
        <v>32</v>
      </c>
      <c r="P113" s="160"/>
    </row>
    <row r="114" spans="1:21" s="3" customFormat="1" ht="15" customHeight="1" thickBot="1" x14ac:dyDescent="0.25">
      <c r="A114" s="11"/>
      <c r="B114" s="157"/>
      <c r="C114" s="157"/>
      <c r="D114" s="157"/>
      <c r="E114" s="157"/>
      <c r="F114" s="157"/>
      <c r="G114" s="157"/>
      <c r="H114" s="157"/>
      <c r="I114" s="157"/>
      <c r="J114" s="157"/>
      <c r="K114" s="13" t="s">
        <v>33</v>
      </c>
      <c r="L114" s="13" t="s">
        <v>49</v>
      </c>
      <c r="M114" s="13" t="s">
        <v>110</v>
      </c>
      <c r="N114" s="13" t="s">
        <v>34</v>
      </c>
      <c r="O114" s="159"/>
      <c r="P114" s="161"/>
    </row>
    <row r="115" spans="1:21" ht="15" customHeight="1" thickBot="1" x14ac:dyDescent="0.3">
      <c r="A115" s="5"/>
      <c r="B115" s="162" t="s">
        <v>100</v>
      </c>
      <c r="C115" s="163"/>
      <c r="D115" s="163"/>
      <c r="E115" s="163"/>
      <c r="F115" s="164"/>
      <c r="G115" s="162" t="s">
        <v>101</v>
      </c>
      <c r="H115" s="163"/>
      <c r="I115" s="163"/>
      <c r="J115" s="163"/>
      <c r="K115" s="164"/>
      <c r="L115" s="165" t="s">
        <v>51</v>
      </c>
      <c r="M115" s="166"/>
      <c r="N115" s="166"/>
      <c r="O115" s="166"/>
      <c r="P115" s="167"/>
    </row>
    <row r="116" spans="1:21" ht="15" customHeight="1" x14ac:dyDescent="0.25">
      <c r="A116" s="5"/>
      <c r="B116" s="126"/>
      <c r="C116" s="127"/>
      <c r="D116" s="127"/>
      <c r="E116" s="127"/>
      <c r="F116" s="128"/>
      <c r="G116" s="126"/>
      <c r="H116" s="127"/>
      <c r="I116" s="127"/>
      <c r="J116" s="127"/>
      <c r="K116" s="128"/>
      <c r="L116" s="135" t="s">
        <v>102</v>
      </c>
      <c r="M116" s="136"/>
      <c r="N116" s="136"/>
      <c r="O116" s="137">
        <f>+AVERAGE(E18:E93)</f>
        <v>4.080000000000001E-2</v>
      </c>
      <c r="P116" s="138"/>
    </row>
    <row r="117" spans="1:21" ht="15" customHeight="1" thickBot="1" x14ac:dyDescent="0.3">
      <c r="A117" s="5"/>
      <c r="B117" s="129"/>
      <c r="C117" s="130"/>
      <c r="D117" s="130"/>
      <c r="E117" s="130"/>
      <c r="F117" s="131"/>
      <c r="G117" s="129"/>
      <c r="H117" s="130"/>
      <c r="I117" s="130"/>
      <c r="J117" s="130"/>
      <c r="K117" s="131"/>
      <c r="L117" s="139" t="s">
        <v>103</v>
      </c>
      <c r="M117" s="140"/>
      <c r="N117" s="140"/>
      <c r="O117" s="141">
        <f>+MAX(E18:E93)</f>
        <v>5.8000000000000003E-2</v>
      </c>
      <c r="P117" s="142"/>
    </row>
    <row r="118" spans="1:21" ht="18.600000000000001" customHeight="1" x14ac:dyDescent="0.25">
      <c r="A118" s="6"/>
      <c r="B118" s="129"/>
      <c r="C118" s="130"/>
      <c r="D118" s="130"/>
      <c r="E118" s="130"/>
      <c r="F118" s="131"/>
      <c r="G118" s="129"/>
      <c r="H118" s="130"/>
      <c r="I118" s="130"/>
      <c r="J118" s="130"/>
      <c r="K118" s="131"/>
      <c r="L118" s="143" t="s">
        <v>113</v>
      </c>
      <c r="M118" s="144"/>
      <c r="N118" s="144"/>
      <c r="O118" s="144"/>
      <c r="P118" s="145"/>
    </row>
    <row r="119" spans="1:21" ht="75" customHeight="1" x14ac:dyDescent="0.25">
      <c r="A119" s="10"/>
      <c r="B119" s="129"/>
      <c r="C119" s="130"/>
      <c r="D119" s="130"/>
      <c r="E119" s="130"/>
      <c r="F119" s="131"/>
      <c r="G119" s="129"/>
      <c r="H119" s="130"/>
      <c r="I119" s="130"/>
      <c r="J119" s="130"/>
      <c r="K119" s="131"/>
      <c r="L119" s="146"/>
      <c r="M119" s="147"/>
      <c r="N119" s="147"/>
      <c r="O119" s="147"/>
      <c r="P119" s="148"/>
    </row>
    <row r="120" spans="1:21" ht="15" customHeight="1" thickBot="1" x14ac:dyDescent="0.3">
      <c r="A120" s="5"/>
      <c r="B120" s="129"/>
      <c r="C120" s="130"/>
      <c r="D120" s="130"/>
      <c r="E120" s="130"/>
      <c r="F120" s="131"/>
      <c r="G120" s="129"/>
      <c r="H120" s="130"/>
      <c r="I120" s="130"/>
      <c r="J120" s="130"/>
      <c r="K120" s="131"/>
      <c r="L120" s="149"/>
      <c r="M120" s="150"/>
      <c r="N120" s="150"/>
      <c r="O120" s="150"/>
      <c r="P120" s="151"/>
    </row>
    <row r="121" spans="1:21" ht="22.5" customHeight="1" thickBot="1" x14ac:dyDescent="0.3">
      <c r="A121" s="5"/>
      <c r="B121" s="129"/>
      <c r="C121" s="130"/>
      <c r="D121" s="130"/>
      <c r="E121" s="130"/>
      <c r="F121" s="131"/>
      <c r="G121" s="129"/>
      <c r="H121" s="130"/>
      <c r="I121" s="130"/>
      <c r="J121" s="130"/>
      <c r="K121" s="131"/>
      <c r="L121" s="152" t="s">
        <v>35</v>
      </c>
      <c r="M121" s="153"/>
      <c r="N121" s="153"/>
      <c r="O121" s="153"/>
      <c r="P121" s="98">
        <v>2.64</v>
      </c>
    </row>
    <row r="122" spans="1:21" ht="32.25" customHeight="1" thickBot="1" x14ac:dyDescent="0.3">
      <c r="A122" s="5"/>
      <c r="B122" s="132"/>
      <c r="C122" s="133"/>
      <c r="D122" s="133"/>
      <c r="E122" s="133"/>
      <c r="F122" s="134"/>
      <c r="G122" s="132"/>
      <c r="H122" s="133"/>
      <c r="I122" s="133"/>
      <c r="J122" s="133"/>
      <c r="K122" s="134"/>
      <c r="L122" s="154" t="s">
        <v>50</v>
      </c>
      <c r="M122" s="155"/>
      <c r="N122" s="155"/>
      <c r="O122" s="155"/>
      <c r="P122" s="98">
        <v>0.23699999999999999</v>
      </c>
    </row>
    <row r="123" spans="1:21" ht="23.45" customHeight="1" thickBot="1" x14ac:dyDescent="0.3">
      <c r="A123" s="7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</row>
    <row r="124" spans="1:21" ht="15.75" thickBot="1" x14ac:dyDescent="0.3">
      <c r="A124" s="115" t="s">
        <v>36</v>
      </c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7"/>
    </row>
    <row r="125" spans="1:21" ht="159" customHeight="1" thickBot="1" x14ac:dyDescent="0.3">
      <c r="A125" s="4"/>
      <c r="B125" s="118"/>
      <c r="C125" s="119"/>
      <c r="D125" s="119"/>
      <c r="E125" s="119"/>
      <c r="F125" s="120"/>
      <c r="G125" s="118"/>
      <c r="H125" s="119"/>
      <c r="I125" s="119"/>
      <c r="J125" s="119"/>
      <c r="K125" s="120"/>
      <c r="L125" s="118"/>
      <c r="M125" s="119"/>
      <c r="N125" s="119"/>
      <c r="O125" s="119"/>
      <c r="P125" s="121"/>
      <c r="U125">
        <f>2.61+0.03</f>
        <v>2.6399999999999997</v>
      </c>
    </row>
    <row r="126" spans="1:21" ht="21.75" customHeight="1" thickBot="1" x14ac:dyDescent="0.3">
      <c r="A126" s="4"/>
      <c r="B126" s="122" t="s">
        <v>52</v>
      </c>
      <c r="C126" s="123"/>
      <c r="D126" s="123"/>
      <c r="E126" s="123"/>
      <c r="F126" s="124"/>
      <c r="G126" s="122" t="s">
        <v>104</v>
      </c>
      <c r="H126" s="123"/>
      <c r="I126" s="123"/>
      <c r="J126" s="123"/>
      <c r="K126" s="124"/>
      <c r="L126" s="122" t="s">
        <v>105</v>
      </c>
      <c r="M126" s="123"/>
      <c r="N126" s="123"/>
      <c r="O126" s="123"/>
      <c r="P126" s="125"/>
    </row>
    <row r="127" spans="1:21" s="9" customFormat="1" ht="16.899999999999999" customHeight="1" thickBot="1" x14ac:dyDescent="0.3">
      <c r="A127" s="8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10"/>
    </row>
    <row r="128" spans="1:21" s="3" customFormat="1" ht="15.75" customHeight="1" thickBot="1" x14ac:dyDescent="0.25">
      <c r="A128" s="111" t="s">
        <v>37</v>
      </c>
      <c r="B128" s="112"/>
      <c r="C128" s="112"/>
      <c r="D128" s="112"/>
      <c r="E128" s="112"/>
      <c r="F128" s="112"/>
      <c r="G128" s="112"/>
      <c r="H128" s="112"/>
      <c r="I128" s="112"/>
      <c r="J128" s="112" t="s">
        <v>38</v>
      </c>
      <c r="K128" s="112"/>
      <c r="L128" s="112"/>
      <c r="M128" s="112"/>
      <c r="N128" s="112"/>
      <c r="O128" s="112"/>
      <c r="P128" s="113"/>
    </row>
  </sheetData>
  <mergeCells count="25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9:M93"/>
    <mergeCell ref="N89:N93"/>
    <mergeCell ref="O89:O93"/>
    <mergeCell ref="P89:P93"/>
    <mergeCell ref="B94:B99"/>
    <mergeCell ref="C94:P99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C100:H100"/>
    <mergeCell ref="I100:I101"/>
    <mergeCell ref="K100:P100"/>
    <mergeCell ref="C101:H101"/>
    <mergeCell ref="K101:P101"/>
    <mergeCell ref="B102:B112"/>
    <mergeCell ref="C102:C106"/>
    <mergeCell ref="D102:D106"/>
    <mergeCell ref="E102:E112"/>
    <mergeCell ref="K102:K112"/>
    <mergeCell ref="B113:J114"/>
    <mergeCell ref="O113:O114"/>
    <mergeCell ref="P113:P114"/>
    <mergeCell ref="B115:F115"/>
    <mergeCell ref="G115:K115"/>
    <mergeCell ref="L115:P115"/>
    <mergeCell ref="L102:L112"/>
    <mergeCell ref="M102:M112"/>
    <mergeCell ref="N102:N112"/>
    <mergeCell ref="O102:O112"/>
    <mergeCell ref="P102:P112"/>
    <mergeCell ref="C107:C112"/>
    <mergeCell ref="D107:D112"/>
    <mergeCell ref="B116:F122"/>
    <mergeCell ref="G116:K122"/>
    <mergeCell ref="L116:N116"/>
    <mergeCell ref="O116:P116"/>
    <mergeCell ref="L117:N117"/>
    <mergeCell ref="O117:P117"/>
    <mergeCell ref="L118:P120"/>
    <mergeCell ref="L121:O121"/>
    <mergeCell ref="L122:O122"/>
    <mergeCell ref="B127:P127"/>
    <mergeCell ref="A128:C128"/>
    <mergeCell ref="D128:I128"/>
    <mergeCell ref="J128:K128"/>
    <mergeCell ref="L128:P128"/>
    <mergeCell ref="B123:P123"/>
    <mergeCell ref="A124:P124"/>
    <mergeCell ref="B125:F125"/>
    <mergeCell ref="G125:K125"/>
    <mergeCell ref="L125:P125"/>
    <mergeCell ref="B126:F126"/>
    <mergeCell ref="G126:K126"/>
    <mergeCell ref="L126:P12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3"/>
  <sheetViews>
    <sheetView view="pageBreakPreview" zoomScale="85" zoomScaleSheetLayoutView="85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45"/>
      <c r="B2" s="346"/>
      <c r="C2" s="347"/>
      <c r="D2" s="348"/>
      <c r="E2" s="349" t="s">
        <v>118</v>
      </c>
      <c r="F2" s="350"/>
      <c r="G2" s="350"/>
      <c r="H2" s="350"/>
      <c r="I2" s="350"/>
      <c r="J2" s="350"/>
      <c r="K2" s="350"/>
      <c r="L2" s="350"/>
      <c r="M2" s="350"/>
      <c r="N2" s="350"/>
      <c r="O2" s="351"/>
      <c r="P2" s="352"/>
    </row>
    <row r="3" spans="1:26" s="2" customFormat="1" ht="25.5" customHeight="1" thickBot="1" x14ac:dyDescent="0.3">
      <c r="A3" s="345"/>
      <c r="B3" s="353"/>
      <c r="C3" s="354"/>
      <c r="D3" s="355"/>
      <c r="E3" s="356"/>
      <c r="F3" s="357"/>
      <c r="G3" s="357"/>
      <c r="H3" s="357"/>
      <c r="I3" s="357"/>
      <c r="J3" s="357"/>
      <c r="K3" s="357"/>
      <c r="L3" s="357"/>
      <c r="M3" s="357"/>
      <c r="N3" s="357"/>
      <c r="O3" s="358"/>
      <c r="P3" s="35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43105</v>
      </c>
      <c r="D5" s="298"/>
      <c r="E5" s="22" t="s">
        <v>53</v>
      </c>
      <c r="F5" s="23">
        <v>3</v>
      </c>
      <c r="G5" s="24" t="s">
        <v>1</v>
      </c>
      <c r="H5" s="299" t="s">
        <v>119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114</v>
      </c>
      <c r="E6" s="283"/>
      <c r="F6" s="283"/>
      <c r="G6" s="283"/>
      <c r="H6" s="283"/>
      <c r="I6" s="284"/>
      <c r="J6" s="28" t="s">
        <v>3</v>
      </c>
      <c r="K6" s="285" t="s">
        <v>107</v>
      </c>
      <c r="L6" s="284"/>
      <c r="M6" s="285" t="s">
        <v>108</v>
      </c>
      <c r="N6" s="286"/>
      <c r="O6" s="29" t="s">
        <v>54</v>
      </c>
      <c r="P6" s="30">
        <v>1881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91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4"/>
    </row>
    <row r="9" spans="1:26" s="26" customFormat="1" ht="21.75" customHeight="1" x14ac:dyDescent="0.25">
      <c r="B9" s="266" t="s">
        <v>6</v>
      </c>
      <c r="C9" s="269" t="s">
        <v>62</v>
      </c>
      <c r="D9" s="270" t="s">
        <v>63</v>
      </c>
      <c r="E9" s="255"/>
      <c r="F9" s="35"/>
      <c r="G9" s="271" t="s">
        <v>7</v>
      </c>
      <c r="H9" s="272" t="s">
        <v>8</v>
      </c>
      <c r="I9" s="258"/>
      <c r="J9" s="36"/>
      <c r="K9" s="269" t="s">
        <v>64</v>
      </c>
      <c r="L9" s="273" t="s">
        <v>115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92"/>
      <c r="G10" s="212"/>
      <c r="H10" s="253" t="s">
        <v>9</v>
      </c>
      <c r="I10" s="248"/>
      <c r="J10" s="93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94">
        <v>0.52083333333333337</v>
      </c>
      <c r="F11" s="256" t="s">
        <v>11</v>
      </c>
      <c r="G11" s="255"/>
      <c r="H11" s="37">
        <v>1.61</v>
      </c>
      <c r="I11" s="257" t="s">
        <v>12</v>
      </c>
      <c r="J11" s="258"/>
      <c r="K11" s="95">
        <v>19</v>
      </c>
      <c r="L11" s="254" t="s">
        <v>13</v>
      </c>
      <c r="M11" s="255"/>
      <c r="N11" s="96">
        <v>2.8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94">
        <v>0.56944444444444442</v>
      </c>
      <c r="F12" s="249" t="s">
        <v>15</v>
      </c>
      <c r="G12" s="248"/>
      <c r="H12" s="37">
        <v>1.61</v>
      </c>
      <c r="I12" s="250" t="s">
        <v>16</v>
      </c>
      <c r="J12" s="248"/>
      <c r="K12" s="94">
        <v>0.56041666666666667</v>
      </c>
      <c r="L12" s="247" t="s">
        <v>17</v>
      </c>
      <c r="M12" s="248"/>
      <c r="N12" s="97">
        <v>0.2</v>
      </c>
      <c r="O12" s="251">
        <v>0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 t="s">
        <v>70</v>
      </c>
      <c r="O13" s="234"/>
      <c r="P13" s="237"/>
      <c r="Q13" s="38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77</v>
      </c>
      <c r="I16" s="228" t="s">
        <v>78</v>
      </c>
      <c r="J16" s="39" t="s">
        <v>43</v>
      </c>
      <c r="K16" s="40"/>
      <c r="L16" s="41" t="s">
        <v>44</v>
      </c>
      <c r="M16" s="41" t="s">
        <v>45</v>
      </c>
      <c r="N16" s="41" t="s">
        <v>45</v>
      </c>
      <c r="O16" s="41" t="s">
        <v>46</v>
      </c>
      <c r="P16" s="42" t="s">
        <v>22</v>
      </c>
    </row>
    <row r="17" spans="1:26" s="26" customFormat="1" ht="21.75" customHeight="1" thickBot="1" x14ac:dyDescent="0.3">
      <c r="A17" s="43"/>
      <c r="B17" s="220"/>
      <c r="C17" s="222"/>
      <c r="D17" s="222"/>
      <c r="E17" s="222"/>
      <c r="F17" s="226"/>
      <c r="G17" s="227"/>
      <c r="H17" s="222"/>
      <c r="I17" s="229"/>
      <c r="J17" s="44" t="s">
        <v>23</v>
      </c>
      <c r="K17" s="45" t="s">
        <v>24</v>
      </c>
      <c r="L17" s="45" t="s">
        <v>47</v>
      </c>
      <c r="M17" s="45" t="s">
        <v>48</v>
      </c>
      <c r="N17" s="45" t="s">
        <v>25</v>
      </c>
      <c r="O17" s="45" t="s">
        <v>26</v>
      </c>
      <c r="P17" s="46" t="s">
        <v>27</v>
      </c>
    </row>
    <row r="18" spans="1:26" s="55" customFormat="1" ht="21.75" customHeight="1" thickBot="1" x14ac:dyDescent="0.3">
      <c r="A18" s="47"/>
      <c r="B18" s="48"/>
      <c r="C18" s="49">
        <f>+O12</f>
        <v>0</v>
      </c>
      <c r="D18" s="49">
        <v>0</v>
      </c>
      <c r="E18" s="50"/>
      <c r="F18" s="51"/>
      <c r="G18" s="90"/>
      <c r="H18" s="52"/>
      <c r="I18" s="53"/>
      <c r="J18" s="89">
        <v>0</v>
      </c>
      <c r="K18" s="50"/>
      <c r="L18" s="50"/>
      <c r="M18" s="50"/>
      <c r="N18" s="50"/>
      <c r="O18" s="50"/>
      <c r="P18" s="54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s="55" customFormat="1" ht="13.5" customHeight="1" x14ac:dyDescent="0.25">
      <c r="A19" s="47"/>
      <c r="B19" s="210">
        <v>1</v>
      </c>
      <c r="C19" s="213">
        <f>+C18+$N$12</f>
        <v>0.2</v>
      </c>
      <c r="D19" s="190">
        <v>3.6999999999999998E-2</v>
      </c>
      <c r="E19" s="190">
        <v>2.5000000000000001E-2</v>
      </c>
      <c r="F19" s="56" t="s">
        <v>79</v>
      </c>
      <c r="G19" s="57">
        <v>0</v>
      </c>
      <c r="H19" s="58"/>
      <c r="I19" s="59"/>
      <c r="J19" s="60"/>
      <c r="K19" s="190">
        <f>+IF(E19&lt;=0.12,(J21),(IF(E19&lt;0.16,((J20+2*J21+J22)/4),IF(E19&gt;=0.16,((J19+3*J20+2*J21+3*J22+J23)/10)))))</f>
        <v>0.14000000000000001</v>
      </c>
      <c r="L19" s="190">
        <f>ROUND(+(D18+D19)/2*(C19-C18),3)</f>
        <v>4.0000000000000001E-3</v>
      </c>
      <c r="M19" s="190">
        <f>ROUND(+K19*L19,4)</f>
        <v>5.9999999999999995E-4</v>
      </c>
      <c r="N19" s="193">
        <f>ROUND(+M19/$M$108*100,2)</f>
        <v>1.08</v>
      </c>
      <c r="O19" s="194"/>
      <c r="P19" s="195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s="55" customFormat="1" ht="13.5" customHeight="1" x14ac:dyDescent="0.25">
      <c r="A20" s="47"/>
      <c r="B20" s="211"/>
      <c r="C20" s="191"/>
      <c r="D20" s="191"/>
      <c r="E20" s="191"/>
      <c r="F20" s="61" t="s">
        <v>80</v>
      </c>
      <c r="G20" s="62" t="str">
        <f>IF(E19&lt;0.125,"NA",IF(0.125&lt;=E19,(0.2*E19)))</f>
        <v>NA</v>
      </c>
      <c r="H20" s="63"/>
      <c r="I20" s="64"/>
      <c r="J20" s="65"/>
      <c r="K20" s="191"/>
      <c r="L20" s="191"/>
      <c r="M20" s="191"/>
      <c r="N20" s="191"/>
      <c r="O20" s="191"/>
      <c r="P20" s="196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s="55" customFormat="1" ht="13.5" customHeight="1" x14ac:dyDescent="0.25">
      <c r="A21" s="47"/>
      <c r="B21" s="211"/>
      <c r="C21" s="191"/>
      <c r="D21" s="191"/>
      <c r="E21" s="191"/>
      <c r="F21" s="61" t="s">
        <v>81</v>
      </c>
      <c r="G21" s="62">
        <f>+E19*0.4</f>
        <v>1.0000000000000002E-2</v>
      </c>
      <c r="H21" s="63"/>
      <c r="I21" s="64"/>
      <c r="J21" s="65">
        <v>0.14000000000000001</v>
      </c>
      <c r="K21" s="191"/>
      <c r="L21" s="191"/>
      <c r="M21" s="191"/>
      <c r="N21" s="191"/>
      <c r="O21" s="191"/>
      <c r="P21" s="196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s="55" customFormat="1" ht="13.5" customHeight="1" x14ac:dyDescent="0.25">
      <c r="A22" s="47"/>
      <c r="B22" s="211"/>
      <c r="C22" s="191"/>
      <c r="D22" s="191"/>
      <c r="E22" s="191"/>
      <c r="F22" s="61" t="s">
        <v>82</v>
      </c>
      <c r="G22" s="62" t="str">
        <f>IF(E19&lt;0.125,"NA",IF(0.125&lt;=E19,(0.8*E19)))</f>
        <v>NA</v>
      </c>
      <c r="H22" s="63"/>
      <c r="I22" s="64"/>
      <c r="J22" s="65"/>
      <c r="K22" s="191"/>
      <c r="L22" s="191"/>
      <c r="M22" s="191"/>
      <c r="N22" s="191"/>
      <c r="O22" s="191"/>
      <c r="P22" s="196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s="55" customFormat="1" ht="13.5" customHeight="1" thickBot="1" x14ac:dyDescent="0.3">
      <c r="A23" s="47"/>
      <c r="B23" s="212"/>
      <c r="C23" s="192"/>
      <c r="D23" s="192"/>
      <c r="E23" s="192"/>
      <c r="F23" s="66" t="s">
        <v>83</v>
      </c>
      <c r="G23" s="67">
        <f>+E19</f>
        <v>2.5000000000000001E-2</v>
      </c>
      <c r="H23" s="68"/>
      <c r="I23" s="69"/>
      <c r="J23" s="70"/>
      <c r="K23" s="192"/>
      <c r="L23" s="192"/>
      <c r="M23" s="192"/>
      <c r="N23" s="192"/>
      <c r="O23" s="192"/>
      <c r="P23" s="19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s="55" customFormat="1" ht="13.5" customHeight="1" x14ac:dyDescent="0.25">
      <c r="A24" s="47"/>
      <c r="B24" s="210">
        <v>2</v>
      </c>
      <c r="C24" s="213">
        <f>+C19+$N$12</f>
        <v>0.4</v>
      </c>
      <c r="D24" s="190">
        <v>4.1000000000000002E-2</v>
      </c>
      <c r="E24" s="190">
        <v>3.9E-2</v>
      </c>
      <c r="F24" s="56" t="s">
        <v>79</v>
      </c>
      <c r="G24" s="57">
        <v>0</v>
      </c>
      <c r="H24" s="58"/>
      <c r="I24" s="59"/>
      <c r="J24" s="60"/>
      <c r="K24" s="190">
        <f t="shared" ref="K24" si="0">+IF(E24&lt;=0.12,(J26),(IF(E24&lt;0.16,((J25+2*J26+J27)/4),IF(E24&gt;=0.16,((J24+3*J25+2*J26+3*J27+J28)/10)))))</f>
        <v>0.40899999999999997</v>
      </c>
      <c r="L24" s="190">
        <f>ROUND(+(D19+D24)/2*(C24-C19),3)</f>
        <v>8.0000000000000002E-3</v>
      </c>
      <c r="M24" s="190">
        <f t="shared" ref="M24" si="1">ROUND(+K24*L24,4)</f>
        <v>3.3E-3</v>
      </c>
      <c r="N24" s="193">
        <f>ROUND(+M24/$M$108*100,2)</f>
        <v>5.96</v>
      </c>
      <c r="O24" s="194"/>
      <c r="P24" s="195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s="55" customFormat="1" ht="13.5" customHeight="1" x14ac:dyDescent="0.25">
      <c r="A25" s="47"/>
      <c r="B25" s="211"/>
      <c r="C25" s="191"/>
      <c r="D25" s="191"/>
      <c r="E25" s="191"/>
      <c r="F25" s="61" t="s">
        <v>80</v>
      </c>
      <c r="G25" s="62" t="str">
        <f t="shared" ref="G25" si="2">IF(E24&lt;0.125,"NA",IF(0.125&lt;=E24,(0.2*E24)))</f>
        <v>NA</v>
      </c>
      <c r="H25" s="63"/>
      <c r="I25" s="64"/>
      <c r="J25" s="65"/>
      <c r="K25" s="191"/>
      <c r="L25" s="191"/>
      <c r="M25" s="191"/>
      <c r="N25" s="191"/>
      <c r="O25" s="191"/>
      <c r="P25" s="196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s="55" customFormat="1" ht="13.5" customHeight="1" x14ac:dyDescent="0.25">
      <c r="A26" s="47"/>
      <c r="B26" s="211"/>
      <c r="C26" s="191"/>
      <c r="D26" s="191"/>
      <c r="E26" s="191"/>
      <c r="F26" s="61" t="s">
        <v>81</v>
      </c>
      <c r="G26" s="62">
        <f t="shared" ref="G26" si="3">+E24*0.4</f>
        <v>1.5600000000000001E-2</v>
      </c>
      <c r="H26" s="63"/>
      <c r="I26" s="64"/>
      <c r="J26" s="65">
        <v>0.40899999999999997</v>
      </c>
      <c r="K26" s="191"/>
      <c r="L26" s="191"/>
      <c r="M26" s="191"/>
      <c r="N26" s="191"/>
      <c r="O26" s="191"/>
      <c r="P26" s="196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s="55" customFormat="1" ht="13.5" customHeight="1" x14ac:dyDescent="0.25">
      <c r="A27" s="47"/>
      <c r="B27" s="211"/>
      <c r="C27" s="191"/>
      <c r="D27" s="191"/>
      <c r="E27" s="191"/>
      <c r="F27" s="61" t="s">
        <v>82</v>
      </c>
      <c r="G27" s="62" t="str">
        <f t="shared" ref="G27" si="4">IF(E24&lt;0.125,"NA",IF(0.125&lt;=E24,(0.8*E24)))</f>
        <v>NA</v>
      </c>
      <c r="H27" s="63"/>
      <c r="I27" s="64"/>
      <c r="J27" s="65"/>
      <c r="K27" s="191"/>
      <c r="L27" s="191"/>
      <c r="M27" s="191"/>
      <c r="N27" s="191"/>
      <c r="O27" s="191"/>
      <c r="P27" s="196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s="55" customFormat="1" ht="13.5" customHeight="1" thickBot="1" x14ac:dyDescent="0.3">
      <c r="A28" s="47"/>
      <c r="B28" s="212"/>
      <c r="C28" s="192"/>
      <c r="D28" s="192"/>
      <c r="E28" s="192"/>
      <c r="F28" s="66" t="s">
        <v>83</v>
      </c>
      <c r="G28" s="67">
        <f t="shared" ref="G28" si="5">+E24</f>
        <v>3.9E-2</v>
      </c>
      <c r="H28" s="68"/>
      <c r="I28" s="69"/>
      <c r="J28" s="70"/>
      <c r="K28" s="192"/>
      <c r="L28" s="192"/>
      <c r="M28" s="192"/>
      <c r="N28" s="192"/>
      <c r="O28" s="192"/>
      <c r="P28" s="19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s="55" customFormat="1" ht="13.5" customHeight="1" x14ac:dyDescent="0.25">
      <c r="A29" s="47"/>
      <c r="B29" s="210">
        <v>3</v>
      </c>
      <c r="C29" s="213">
        <f>+C24+$N$12</f>
        <v>0.60000000000000009</v>
      </c>
      <c r="D29" s="190">
        <v>0.03</v>
      </c>
      <c r="E29" s="190">
        <v>3.5000000000000003E-2</v>
      </c>
      <c r="F29" s="56" t="s">
        <v>79</v>
      </c>
      <c r="G29" s="57">
        <v>0</v>
      </c>
      <c r="H29" s="58"/>
      <c r="I29" s="59"/>
      <c r="J29" s="60"/>
      <c r="K29" s="190">
        <f t="shared" ref="K29" si="6">+IF(E29&lt;=0.12,(J31),(IF(E29&lt;0.16,((J30+2*J31+J32)/4),IF(E29&gt;=0.16,((J29+3*J30+2*J31+3*J32+J33)/10)))))</f>
        <v>0.61899999999999999</v>
      </c>
      <c r="L29" s="190">
        <f t="shared" ref="L29" si="7">ROUND(+(D24+D29)/2*(C29-C24),3)</f>
        <v>7.0000000000000001E-3</v>
      </c>
      <c r="M29" s="190">
        <f t="shared" ref="M29" si="8">ROUND(+K29*L29,4)</f>
        <v>4.3E-3</v>
      </c>
      <c r="N29" s="193">
        <f>ROUND(+M29/$M$108*100,2)</f>
        <v>7.76</v>
      </c>
      <c r="O29" s="194"/>
      <c r="P29" s="195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s="55" customFormat="1" ht="13.5" customHeight="1" x14ac:dyDescent="0.25">
      <c r="A30" s="47"/>
      <c r="B30" s="211"/>
      <c r="C30" s="191"/>
      <c r="D30" s="191"/>
      <c r="E30" s="191"/>
      <c r="F30" s="61" t="s">
        <v>80</v>
      </c>
      <c r="G30" s="62" t="str">
        <f t="shared" ref="G30" si="9">IF(E29&lt;0.125,"NA",IF(0.125&lt;=E29,(0.2*E29)))</f>
        <v>NA</v>
      </c>
      <c r="H30" s="63"/>
      <c r="I30" s="64"/>
      <c r="J30" s="65"/>
      <c r="K30" s="191"/>
      <c r="L30" s="191"/>
      <c r="M30" s="191"/>
      <c r="N30" s="191"/>
      <c r="O30" s="191"/>
      <c r="P30" s="196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s="55" customFormat="1" ht="13.5" customHeight="1" x14ac:dyDescent="0.25">
      <c r="A31" s="47"/>
      <c r="B31" s="211"/>
      <c r="C31" s="191"/>
      <c r="D31" s="191"/>
      <c r="E31" s="191"/>
      <c r="F31" s="61" t="s">
        <v>81</v>
      </c>
      <c r="G31" s="62">
        <f t="shared" ref="G31" si="10">+E29*0.4</f>
        <v>1.4000000000000002E-2</v>
      </c>
      <c r="H31" s="63"/>
      <c r="I31" s="64"/>
      <c r="J31" s="65">
        <v>0.61899999999999999</v>
      </c>
      <c r="K31" s="191"/>
      <c r="L31" s="191"/>
      <c r="M31" s="191"/>
      <c r="N31" s="191"/>
      <c r="O31" s="191"/>
      <c r="P31" s="196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s="55" customFormat="1" ht="13.5" customHeight="1" x14ac:dyDescent="0.25">
      <c r="A32" s="47"/>
      <c r="B32" s="211"/>
      <c r="C32" s="191"/>
      <c r="D32" s="191"/>
      <c r="E32" s="191"/>
      <c r="F32" s="61" t="s">
        <v>82</v>
      </c>
      <c r="G32" s="62" t="str">
        <f t="shared" ref="G32" si="11">IF(E29&lt;0.125,"NA",IF(0.125&lt;=E29,(0.8*E29)))</f>
        <v>NA</v>
      </c>
      <c r="H32" s="63"/>
      <c r="I32" s="64"/>
      <c r="J32" s="65"/>
      <c r="K32" s="191"/>
      <c r="L32" s="191"/>
      <c r="M32" s="191"/>
      <c r="N32" s="191"/>
      <c r="O32" s="191"/>
      <c r="P32" s="196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s="55" customFormat="1" ht="13.5" customHeight="1" thickBot="1" x14ac:dyDescent="0.3">
      <c r="A33" s="47"/>
      <c r="B33" s="212"/>
      <c r="C33" s="192"/>
      <c r="D33" s="192"/>
      <c r="E33" s="192"/>
      <c r="F33" s="66" t="s">
        <v>83</v>
      </c>
      <c r="G33" s="67">
        <f t="shared" ref="G33" si="12">+E29</f>
        <v>3.5000000000000003E-2</v>
      </c>
      <c r="H33" s="68"/>
      <c r="I33" s="69"/>
      <c r="J33" s="70"/>
      <c r="K33" s="192"/>
      <c r="L33" s="192"/>
      <c r="M33" s="192"/>
      <c r="N33" s="192"/>
      <c r="O33" s="192"/>
      <c r="P33" s="19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s="55" customFormat="1" ht="13.5" customHeight="1" x14ac:dyDescent="0.25">
      <c r="A34" s="47"/>
      <c r="B34" s="210">
        <v>4</v>
      </c>
      <c r="C34" s="213">
        <f>+C29+$N$12</f>
        <v>0.8</v>
      </c>
      <c r="D34" s="190">
        <v>3.7999999999999999E-2</v>
      </c>
      <c r="E34" s="190">
        <v>4.1000000000000002E-2</v>
      </c>
      <c r="F34" s="56" t="s">
        <v>79</v>
      </c>
      <c r="G34" s="57">
        <v>0</v>
      </c>
      <c r="H34" s="58"/>
      <c r="I34" s="59"/>
      <c r="J34" s="60"/>
      <c r="K34" s="190">
        <f t="shared" ref="K34" si="13">+IF(E34&lt;=0.12,(J36),(IF(E34&lt;0.16,((J35+2*J36+J37)/4),IF(E34&gt;=0.16,((J34+3*J35+2*J36+3*J37+J38)/10)))))</f>
        <v>0.63400000000000001</v>
      </c>
      <c r="L34" s="190">
        <f t="shared" ref="L34" si="14">ROUND(+(D29+D34)/2*(C34-C29),3)</f>
        <v>7.0000000000000001E-3</v>
      </c>
      <c r="M34" s="190">
        <f t="shared" ref="M34" si="15">ROUND(+K34*L34,4)</f>
        <v>4.4000000000000003E-3</v>
      </c>
      <c r="N34" s="193">
        <f t="shared" ref="N34" si="16">ROUND(+M34/$M$108*100,2)</f>
        <v>7.94</v>
      </c>
      <c r="O34" s="194"/>
      <c r="P34" s="195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s="55" customFormat="1" ht="13.5" customHeight="1" x14ac:dyDescent="0.25">
      <c r="A35" s="47"/>
      <c r="B35" s="211"/>
      <c r="C35" s="191"/>
      <c r="D35" s="191"/>
      <c r="E35" s="191"/>
      <c r="F35" s="61" t="s">
        <v>80</v>
      </c>
      <c r="G35" s="62" t="str">
        <f t="shared" ref="G35" si="17">IF(E34&lt;0.125,"NA",IF(0.125&lt;=E34,(0.2*E34)))</f>
        <v>NA</v>
      </c>
      <c r="H35" s="63"/>
      <c r="I35" s="64"/>
      <c r="J35" s="65"/>
      <c r="K35" s="191"/>
      <c r="L35" s="191"/>
      <c r="M35" s="191"/>
      <c r="N35" s="191"/>
      <c r="O35" s="191"/>
      <c r="P35" s="196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s="55" customFormat="1" ht="13.5" customHeight="1" x14ac:dyDescent="0.25">
      <c r="A36" s="47"/>
      <c r="B36" s="211"/>
      <c r="C36" s="191"/>
      <c r="D36" s="191"/>
      <c r="E36" s="191"/>
      <c r="F36" s="61" t="s">
        <v>81</v>
      </c>
      <c r="G36" s="62">
        <f t="shared" ref="G36" si="18">+E34*0.4</f>
        <v>1.6400000000000001E-2</v>
      </c>
      <c r="H36" s="63"/>
      <c r="I36" s="64"/>
      <c r="J36" s="65">
        <v>0.63400000000000001</v>
      </c>
      <c r="K36" s="191"/>
      <c r="L36" s="191"/>
      <c r="M36" s="191"/>
      <c r="N36" s="191"/>
      <c r="O36" s="191"/>
      <c r="P36" s="196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s="55" customFormat="1" ht="13.5" customHeight="1" x14ac:dyDescent="0.25">
      <c r="A37" s="47"/>
      <c r="B37" s="211"/>
      <c r="C37" s="191"/>
      <c r="D37" s="191"/>
      <c r="E37" s="191"/>
      <c r="F37" s="61" t="s">
        <v>82</v>
      </c>
      <c r="G37" s="62" t="str">
        <f t="shared" ref="G37" si="19">IF(E34&lt;0.125,"NA",IF(0.125&lt;=E34,(0.8*E34)))</f>
        <v>NA</v>
      </c>
      <c r="H37" s="63"/>
      <c r="I37" s="64"/>
      <c r="J37" s="65"/>
      <c r="K37" s="191"/>
      <c r="L37" s="191"/>
      <c r="M37" s="191"/>
      <c r="N37" s="191"/>
      <c r="O37" s="191"/>
      <c r="P37" s="196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s="55" customFormat="1" ht="13.5" customHeight="1" thickBot="1" x14ac:dyDescent="0.3">
      <c r="A38" s="47"/>
      <c r="B38" s="212"/>
      <c r="C38" s="192"/>
      <c r="D38" s="192"/>
      <c r="E38" s="192"/>
      <c r="F38" s="66" t="s">
        <v>83</v>
      </c>
      <c r="G38" s="67">
        <f t="shared" ref="G38" si="20">+E34</f>
        <v>4.1000000000000002E-2</v>
      </c>
      <c r="H38" s="68"/>
      <c r="I38" s="69"/>
      <c r="J38" s="70"/>
      <c r="K38" s="192"/>
      <c r="L38" s="192"/>
      <c r="M38" s="192"/>
      <c r="N38" s="192"/>
      <c r="O38" s="192"/>
      <c r="P38" s="19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s="55" customFormat="1" ht="13.5" customHeight="1" x14ac:dyDescent="0.25">
      <c r="A39" s="47"/>
      <c r="B39" s="210">
        <v>5</v>
      </c>
      <c r="C39" s="213">
        <f>+C34+$N$12</f>
        <v>1</v>
      </c>
      <c r="D39" s="190">
        <v>3.6999999999999998E-2</v>
      </c>
      <c r="E39" s="190">
        <v>0.04</v>
      </c>
      <c r="F39" s="56" t="s">
        <v>79</v>
      </c>
      <c r="G39" s="57">
        <v>0</v>
      </c>
      <c r="H39" s="58"/>
      <c r="I39" s="59"/>
      <c r="J39" s="60"/>
      <c r="K39" s="190">
        <f t="shared" ref="K39" si="21">+IF(E39&lt;=0.12,(J41),(IF(E39&lt;0.16,((J40+2*J41+J42)/4),IF(E39&gt;=0.16,((J39+3*J40+2*J41+3*J42+J43)/10)))))</f>
        <v>0.76900000000000002</v>
      </c>
      <c r="L39" s="190">
        <f t="shared" ref="L39" si="22">ROUND(+(D34+D39)/2*(C39-C34),3)</f>
        <v>8.0000000000000002E-3</v>
      </c>
      <c r="M39" s="190">
        <f t="shared" ref="M39" si="23">ROUND(+K39*L39,4)</f>
        <v>6.1999999999999998E-3</v>
      </c>
      <c r="N39" s="193">
        <f t="shared" ref="N39" si="24">ROUND(+M39/$M$108*100,2)</f>
        <v>11.19</v>
      </c>
      <c r="O39" s="194"/>
      <c r="P39" s="195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s="55" customFormat="1" ht="13.5" customHeight="1" x14ac:dyDescent="0.25">
      <c r="A40" s="47"/>
      <c r="B40" s="211"/>
      <c r="C40" s="191"/>
      <c r="D40" s="191"/>
      <c r="E40" s="191"/>
      <c r="F40" s="61" t="s">
        <v>80</v>
      </c>
      <c r="G40" s="62" t="str">
        <f t="shared" ref="G40" si="25">IF(E39&lt;0.125,"NA",IF(0.125&lt;=E39,(0.2*E39)))</f>
        <v>NA</v>
      </c>
      <c r="H40" s="63"/>
      <c r="I40" s="64"/>
      <c r="J40" s="65"/>
      <c r="K40" s="191"/>
      <c r="L40" s="191"/>
      <c r="M40" s="191"/>
      <c r="N40" s="191"/>
      <c r="O40" s="191"/>
      <c r="P40" s="196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s="55" customFormat="1" ht="13.5" customHeight="1" x14ac:dyDescent="0.25">
      <c r="A41" s="47"/>
      <c r="B41" s="211"/>
      <c r="C41" s="191"/>
      <c r="D41" s="191"/>
      <c r="E41" s="191"/>
      <c r="F41" s="61" t="s">
        <v>81</v>
      </c>
      <c r="G41" s="62">
        <f t="shared" ref="G41" si="26">+E39*0.4</f>
        <v>1.6E-2</v>
      </c>
      <c r="H41" s="63"/>
      <c r="I41" s="64"/>
      <c r="J41" s="65">
        <v>0.76900000000000002</v>
      </c>
      <c r="K41" s="191"/>
      <c r="L41" s="191"/>
      <c r="M41" s="191"/>
      <c r="N41" s="191"/>
      <c r="O41" s="191"/>
      <c r="P41" s="196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s="55" customFormat="1" ht="13.5" customHeight="1" x14ac:dyDescent="0.25">
      <c r="A42" s="47"/>
      <c r="B42" s="211"/>
      <c r="C42" s="191"/>
      <c r="D42" s="191"/>
      <c r="E42" s="191"/>
      <c r="F42" s="61" t="s">
        <v>82</v>
      </c>
      <c r="G42" s="62" t="str">
        <f t="shared" ref="G42" si="27">IF(E39&lt;0.125,"NA",IF(0.125&lt;=E39,(0.8*E39)))</f>
        <v>NA</v>
      </c>
      <c r="H42" s="63"/>
      <c r="I42" s="64"/>
      <c r="J42" s="65"/>
      <c r="K42" s="191"/>
      <c r="L42" s="191"/>
      <c r="M42" s="191"/>
      <c r="N42" s="191"/>
      <c r="O42" s="191"/>
      <c r="P42" s="196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s="55" customFormat="1" ht="13.5" customHeight="1" thickBot="1" x14ac:dyDescent="0.3">
      <c r="A43" s="47"/>
      <c r="B43" s="212"/>
      <c r="C43" s="192"/>
      <c r="D43" s="192"/>
      <c r="E43" s="192"/>
      <c r="F43" s="66" t="s">
        <v>83</v>
      </c>
      <c r="G43" s="67">
        <f t="shared" ref="G43" si="28">+E39</f>
        <v>0.04</v>
      </c>
      <c r="H43" s="68"/>
      <c r="I43" s="69"/>
      <c r="J43" s="70"/>
      <c r="K43" s="192"/>
      <c r="L43" s="192"/>
      <c r="M43" s="192"/>
      <c r="N43" s="192"/>
      <c r="O43" s="192"/>
      <c r="P43" s="19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s="55" customFormat="1" ht="13.5" customHeight="1" x14ac:dyDescent="0.25">
      <c r="A44" s="47"/>
      <c r="B44" s="210">
        <v>6</v>
      </c>
      <c r="C44" s="213">
        <f>+C39+$N$12</f>
        <v>1.2</v>
      </c>
      <c r="D44" s="190">
        <v>3.5999999999999997E-2</v>
      </c>
      <c r="E44" s="190">
        <v>5.1999999999999998E-2</v>
      </c>
      <c r="F44" s="56" t="s">
        <v>79</v>
      </c>
      <c r="G44" s="57">
        <v>0</v>
      </c>
      <c r="H44" s="58"/>
      <c r="I44" s="59"/>
      <c r="J44" s="60"/>
      <c r="K44" s="190">
        <f t="shared" ref="K44" si="29">+IF(E44&lt;=0.12,(J46),(IF(E44&lt;0.16,((J45+2*J46+J47)/4),IF(E44&gt;=0.16,((J44+3*J45+2*J46+3*J47+J48)/10)))))</f>
        <v>0.86799999999999999</v>
      </c>
      <c r="L44" s="190">
        <f t="shared" ref="L44" si="30">ROUND(+(D39+D44)/2*(C44-C39),3)</f>
        <v>7.0000000000000001E-3</v>
      </c>
      <c r="M44" s="190">
        <f t="shared" ref="M44" si="31">ROUND(+K44*L44,4)</f>
        <v>6.1000000000000004E-3</v>
      </c>
      <c r="N44" s="193">
        <f t="shared" ref="N44" si="32">ROUND(+M44/$M$108*100,2)</f>
        <v>11.01</v>
      </c>
      <c r="O44" s="194"/>
      <c r="P44" s="195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s="55" customFormat="1" ht="13.5" customHeight="1" x14ac:dyDescent="0.25">
      <c r="A45" s="47"/>
      <c r="B45" s="211"/>
      <c r="C45" s="191"/>
      <c r="D45" s="191"/>
      <c r="E45" s="191"/>
      <c r="F45" s="61" t="s">
        <v>80</v>
      </c>
      <c r="G45" s="62" t="str">
        <f t="shared" ref="G45" si="33">IF(E44&lt;0.125,"NA",IF(0.125&lt;=E44,(0.2*E44)))</f>
        <v>NA</v>
      </c>
      <c r="H45" s="63"/>
      <c r="I45" s="64"/>
      <c r="J45" s="65"/>
      <c r="K45" s="191"/>
      <c r="L45" s="191"/>
      <c r="M45" s="191"/>
      <c r="N45" s="191"/>
      <c r="O45" s="191"/>
      <c r="P45" s="196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s="55" customFormat="1" ht="13.5" customHeight="1" x14ac:dyDescent="0.25">
      <c r="A46" s="47"/>
      <c r="B46" s="211"/>
      <c r="C46" s="191"/>
      <c r="D46" s="191"/>
      <c r="E46" s="191"/>
      <c r="F46" s="61" t="s">
        <v>81</v>
      </c>
      <c r="G46" s="62">
        <f t="shared" ref="G46" si="34">+E44*0.4</f>
        <v>2.0799999999999999E-2</v>
      </c>
      <c r="H46" s="63"/>
      <c r="I46" s="64"/>
      <c r="J46" s="65">
        <v>0.86799999999999999</v>
      </c>
      <c r="K46" s="191"/>
      <c r="L46" s="191"/>
      <c r="M46" s="191"/>
      <c r="N46" s="191"/>
      <c r="O46" s="191"/>
      <c r="P46" s="196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s="55" customFormat="1" ht="13.5" customHeight="1" x14ac:dyDescent="0.25">
      <c r="A47" s="47"/>
      <c r="B47" s="211"/>
      <c r="C47" s="191"/>
      <c r="D47" s="191"/>
      <c r="E47" s="191"/>
      <c r="F47" s="61" t="s">
        <v>82</v>
      </c>
      <c r="G47" s="62" t="str">
        <f t="shared" ref="G47" si="35">IF(E44&lt;0.125,"NA",IF(0.125&lt;=E44,(0.8*E44)))</f>
        <v>NA</v>
      </c>
      <c r="H47" s="63"/>
      <c r="I47" s="64"/>
      <c r="J47" s="65"/>
      <c r="K47" s="191"/>
      <c r="L47" s="191"/>
      <c r="M47" s="191"/>
      <c r="N47" s="191"/>
      <c r="O47" s="191"/>
      <c r="P47" s="196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s="55" customFormat="1" ht="13.5" customHeight="1" thickBot="1" x14ac:dyDescent="0.3">
      <c r="A48" s="47"/>
      <c r="B48" s="212"/>
      <c r="C48" s="192"/>
      <c r="D48" s="192"/>
      <c r="E48" s="192"/>
      <c r="F48" s="66" t="s">
        <v>83</v>
      </c>
      <c r="G48" s="67">
        <f t="shared" ref="G48" si="36">+E44</f>
        <v>5.1999999999999998E-2</v>
      </c>
      <c r="H48" s="68"/>
      <c r="I48" s="69"/>
      <c r="J48" s="70"/>
      <c r="K48" s="192"/>
      <c r="L48" s="192"/>
      <c r="M48" s="192"/>
      <c r="N48" s="192"/>
      <c r="O48" s="192"/>
      <c r="P48" s="19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s="55" customFormat="1" ht="13.5" customHeight="1" x14ac:dyDescent="0.25">
      <c r="A49" s="47"/>
      <c r="B49" s="210">
        <v>7</v>
      </c>
      <c r="C49" s="213">
        <f>+C44+$N$12</f>
        <v>1.4</v>
      </c>
      <c r="D49" s="190">
        <v>4.2000000000000003E-2</v>
      </c>
      <c r="E49" s="190">
        <v>3.4000000000000002E-2</v>
      </c>
      <c r="F49" s="56" t="s">
        <v>79</v>
      </c>
      <c r="G49" s="57">
        <v>0</v>
      </c>
      <c r="H49" s="58"/>
      <c r="I49" s="59"/>
      <c r="J49" s="60"/>
      <c r="K49" s="190">
        <f t="shared" ref="K49" si="37">+IF(E49&lt;=0.12,(J51),(IF(E49&lt;0.16,((J50+2*J51+J52)/4),IF(E49&gt;=0.16,((J49+3*J50+2*J51+3*J52+J53)/10)))))</f>
        <v>0.80600000000000005</v>
      </c>
      <c r="L49" s="190">
        <f t="shared" ref="L49" si="38">ROUND(+(D44+D49)/2*(C49-C44),3)</f>
        <v>8.0000000000000002E-3</v>
      </c>
      <c r="M49" s="190">
        <f t="shared" ref="M49" si="39">ROUND(+K49*L49,4)</f>
        <v>6.4000000000000003E-3</v>
      </c>
      <c r="N49" s="193">
        <f t="shared" ref="N49" si="40">ROUND(+M49/$M$108*100,2)</f>
        <v>11.55</v>
      </c>
      <c r="O49" s="194"/>
      <c r="P49" s="195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s="55" customFormat="1" ht="13.5" customHeight="1" x14ac:dyDescent="0.25">
      <c r="A50" s="47"/>
      <c r="B50" s="211"/>
      <c r="C50" s="191"/>
      <c r="D50" s="191"/>
      <c r="E50" s="191"/>
      <c r="F50" s="61" t="s">
        <v>80</v>
      </c>
      <c r="G50" s="62" t="str">
        <f t="shared" ref="G50" si="41">IF(E49&lt;0.125,"NA",IF(0.125&lt;=E49,(0.2*E49)))</f>
        <v>NA</v>
      </c>
      <c r="H50" s="63"/>
      <c r="I50" s="64"/>
      <c r="J50" s="65"/>
      <c r="K50" s="191"/>
      <c r="L50" s="191"/>
      <c r="M50" s="191"/>
      <c r="N50" s="191"/>
      <c r="O50" s="191"/>
      <c r="P50" s="196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s="55" customFormat="1" ht="13.5" customHeight="1" x14ac:dyDescent="0.25">
      <c r="A51" s="47"/>
      <c r="B51" s="211"/>
      <c r="C51" s="191"/>
      <c r="D51" s="191"/>
      <c r="E51" s="191"/>
      <c r="F51" s="61" t="s">
        <v>81</v>
      </c>
      <c r="G51" s="62">
        <f t="shared" ref="G51" si="42">+E49*0.4</f>
        <v>1.3600000000000001E-2</v>
      </c>
      <c r="H51" s="63"/>
      <c r="I51" s="64"/>
      <c r="J51" s="65">
        <v>0.80600000000000005</v>
      </c>
      <c r="K51" s="191"/>
      <c r="L51" s="191"/>
      <c r="M51" s="191"/>
      <c r="N51" s="191"/>
      <c r="O51" s="191"/>
      <c r="P51" s="196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s="55" customFormat="1" ht="13.5" customHeight="1" x14ac:dyDescent="0.25">
      <c r="A52" s="47"/>
      <c r="B52" s="211"/>
      <c r="C52" s="191"/>
      <c r="D52" s="191"/>
      <c r="E52" s="191"/>
      <c r="F52" s="61" t="s">
        <v>82</v>
      </c>
      <c r="G52" s="62" t="str">
        <f t="shared" ref="G52" si="43">IF(E49&lt;0.125,"NA",IF(0.125&lt;=E49,(0.8*E49)))</f>
        <v>NA</v>
      </c>
      <c r="H52" s="63"/>
      <c r="I52" s="64"/>
      <c r="J52" s="65"/>
      <c r="K52" s="191"/>
      <c r="L52" s="191"/>
      <c r="M52" s="191"/>
      <c r="N52" s="191"/>
      <c r="O52" s="191"/>
      <c r="P52" s="196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s="55" customFormat="1" ht="13.5" customHeight="1" thickBot="1" x14ac:dyDescent="0.3">
      <c r="A53" s="47"/>
      <c r="B53" s="212"/>
      <c r="C53" s="192"/>
      <c r="D53" s="192"/>
      <c r="E53" s="192"/>
      <c r="F53" s="66" t="s">
        <v>83</v>
      </c>
      <c r="G53" s="67">
        <f t="shared" ref="G53" si="44">+E49</f>
        <v>3.4000000000000002E-2</v>
      </c>
      <c r="H53" s="68"/>
      <c r="I53" s="69"/>
      <c r="J53" s="70"/>
      <c r="K53" s="192"/>
      <c r="L53" s="192"/>
      <c r="M53" s="192"/>
      <c r="N53" s="192"/>
      <c r="O53" s="192"/>
      <c r="P53" s="19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s="55" customFormat="1" ht="13.5" customHeight="1" x14ac:dyDescent="0.25">
      <c r="A54" s="47"/>
      <c r="B54" s="210">
        <v>8</v>
      </c>
      <c r="C54" s="213">
        <f>+C49+$N$12</f>
        <v>1.5999999999999999</v>
      </c>
      <c r="D54" s="190">
        <v>3.9E-2</v>
      </c>
      <c r="E54" s="190">
        <v>4.2999999999999997E-2</v>
      </c>
      <c r="F54" s="56" t="s">
        <v>79</v>
      </c>
      <c r="G54" s="57">
        <v>0</v>
      </c>
      <c r="H54" s="58"/>
      <c r="I54" s="59"/>
      <c r="J54" s="60"/>
      <c r="K54" s="190">
        <f t="shared" ref="K54" si="45">+IF(E54&lt;=0.12,(J56),(IF(E54&lt;0.16,((J55+2*J56+J57)/4),IF(E54&gt;=0.16,((J54+3*J55+2*J56+3*J57+J58)/10)))))</f>
        <v>0.747</v>
      </c>
      <c r="L54" s="190">
        <f t="shared" ref="L54" si="46">ROUND(+(D49+D54)/2*(C54-C49),3)</f>
        <v>8.0000000000000002E-3</v>
      </c>
      <c r="M54" s="190">
        <f t="shared" ref="M54" si="47">ROUND(+K54*L54,4)</f>
        <v>6.0000000000000001E-3</v>
      </c>
      <c r="N54" s="193">
        <f t="shared" ref="N54" si="48">ROUND(+M54/$M$108*100,2)</f>
        <v>10.83</v>
      </c>
      <c r="O54" s="194"/>
      <c r="P54" s="195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s="55" customFormat="1" ht="13.5" customHeight="1" x14ac:dyDescent="0.25">
      <c r="A55" s="47"/>
      <c r="B55" s="211"/>
      <c r="C55" s="191"/>
      <c r="D55" s="191"/>
      <c r="E55" s="191"/>
      <c r="F55" s="61" t="s">
        <v>80</v>
      </c>
      <c r="G55" s="62" t="str">
        <f t="shared" ref="G55" si="49">IF(E54&lt;0.125,"NA",IF(0.125&lt;=E54,(0.2*E54)))</f>
        <v>NA</v>
      </c>
      <c r="H55" s="63"/>
      <c r="I55" s="64"/>
      <c r="J55" s="65"/>
      <c r="K55" s="191"/>
      <c r="L55" s="191"/>
      <c r="M55" s="191"/>
      <c r="N55" s="191"/>
      <c r="O55" s="191"/>
      <c r="P55" s="196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s="55" customFormat="1" ht="13.5" customHeight="1" x14ac:dyDescent="0.25">
      <c r="A56" s="47"/>
      <c r="B56" s="211"/>
      <c r="C56" s="191"/>
      <c r="D56" s="191"/>
      <c r="E56" s="191"/>
      <c r="F56" s="61" t="s">
        <v>81</v>
      </c>
      <c r="G56" s="62">
        <f t="shared" ref="G56" si="50">+E54*0.4</f>
        <v>1.72E-2</v>
      </c>
      <c r="H56" s="63"/>
      <c r="I56" s="64"/>
      <c r="J56" s="65">
        <v>0.747</v>
      </c>
      <c r="K56" s="191"/>
      <c r="L56" s="191"/>
      <c r="M56" s="191"/>
      <c r="N56" s="191"/>
      <c r="O56" s="191"/>
      <c r="P56" s="196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s="55" customFormat="1" ht="13.5" customHeight="1" x14ac:dyDescent="0.25">
      <c r="A57" s="47"/>
      <c r="B57" s="211"/>
      <c r="C57" s="191"/>
      <c r="D57" s="191"/>
      <c r="E57" s="191"/>
      <c r="F57" s="61" t="s">
        <v>82</v>
      </c>
      <c r="G57" s="62" t="str">
        <f t="shared" ref="G57" si="51">IF(E54&lt;0.125,"NA",IF(0.125&lt;=E54,(0.8*E54)))</f>
        <v>NA</v>
      </c>
      <c r="H57" s="63"/>
      <c r="I57" s="64"/>
      <c r="J57" s="65"/>
      <c r="K57" s="191"/>
      <c r="L57" s="191"/>
      <c r="M57" s="191"/>
      <c r="N57" s="191"/>
      <c r="O57" s="191"/>
      <c r="P57" s="196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s="55" customFormat="1" ht="13.5" customHeight="1" thickBot="1" x14ac:dyDescent="0.3">
      <c r="A58" s="47"/>
      <c r="B58" s="212"/>
      <c r="C58" s="192"/>
      <c r="D58" s="192"/>
      <c r="E58" s="192"/>
      <c r="F58" s="66" t="s">
        <v>83</v>
      </c>
      <c r="G58" s="67">
        <f t="shared" ref="G58" si="52">+E54</f>
        <v>4.2999999999999997E-2</v>
      </c>
      <c r="H58" s="68"/>
      <c r="I58" s="69"/>
      <c r="J58" s="70"/>
      <c r="K58" s="192"/>
      <c r="L58" s="192"/>
      <c r="M58" s="192"/>
      <c r="N58" s="192"/>
      <c r="O58" s="192"/>
      <c r="P58" s="19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s="55" customFormat="1" ht="13.5" customHeight="1" x14ac:dyDescent="0.25">
      <c r="A59" s="47"/>
      <c r="B59" s="210">
        <v>9</v>
      </c>
      <c r="C59" s="213">
        <f>+C54+$N$12</f>
        <v>1.7999999999999998</v>
      </c>
      <c r="D59" s="190">
        <v>3.5999999999999997E-2</v>
      </c>
      <c r="E59" s="190">
        <v>3.6999999999999998E-2</v>
      </c>
      <c r="F59" s="56" t="s">
        <v>79</v>
      </c>
      <c r="G59" s="57">
        <v>0</v>
      </c>
      <c r="H59" s="58"/>
      <c r="I59" s="59"/>
      <c r="J59" s="60"/>
      <c r="K59" s="190">
        <f t="shared" ref="K59" si="53">+IF(E59&lt;=0.12,(J61),(IF(E59&lt;0.16,((J60+2*J61+J62)/4),IF(E59&gt;=0.16,((J59+3*J60+2*J61+3*J62+J63)/10)))))</f>
        <v>0.53800000000000003</v>
      </c>
      <c r="L59" s="190">
        <f t="shared" ref="L59" si="54">ROUND(+(D54+D59)/2*(C59-C54),3)</f>
        <v>8.0000000000000002E-3</v>
      </c>
      <c r="M59" s="190">
        <f t="shared" ref="M59" si="55">ROUND(+K59*L59,4)</f>
        <v>4.3E-3</v>
      </c>
      <c r="N59" s="193">
        <f t="shared" ref="N59" si="56">ROUND(+M59/$M$108*100,2)</f>
        <v>7.76</v>
      </c>
      <c r="O59" s="194"/>
      <c r="P59" s="195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s="55" customFormat="1" ht="13.5" customHeight="1" x14ac:dyDescent="0.25">
      <c r="A60" s="47"/>
      <c r="B60" s="211"/>
      <c r="C60" s="191"/>
      <c r="D60" s="191"/>
      <c r="E60" s="191"/>
      <c r="F60" s="61" t="s">
        <v>80</v>
      </c>
      <c r="G60" s="62" t="str">
        <f t="shared" ref="G60" si="57">IF(E59&lt;0.125,"NA",IF(0.125&lt;=E59,(0.2*E59)))</f>
        <v>NA</v>
      </c>
      <c r="H60" s="63"/>
      <c r="I60" s="64"/>
      <c r="J60" s="65"/>
      <c r="K60" s="191"/>
      <c r="L60" s="191"/>
      <c r="M60" s="191"/>
      <c r="N60" s="191"/>
      <c r="O60" s="191"/>
      <c r="P60" s="196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s="55" customFormat="1" ht="13.5" customHeight="1" x14ac:dyDescent="0.25">
      <c r="A61" s="47"/>
      <c r="B61" s="211"/>
      <c r="C61" s="191"/>
      <c r="D61" s="191"/>
      <c r="E61" s="191"/>
      <c r="F61" s="61" t="s">
        <v>81</v>
      </c>
      <c r="G61" s="62">
        <f t="shared" ref="G61" si="58">+E59*0.4</f>
        <v>1.4800000000000001E-2</v>
      </c>
      <c r="H61" s="63"/>
      <c r="I61" s="64"/>
      <c r="J61" s="65">
        <v>0.53800000000000003</v>
      </c>
      <c r="K61" s="191"/>
      <c r="L61" s="191"/>
      <c r="M61" s="191"/>
      <c r="N61" s="191"/>
      <c r="O61" s="191"/>
      <c r="P61" s="196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s="55" customFormat="1" ht="13.5" customHeight="1" x14ac:dyDescent="0.25">
      <c r="A62" s="47"/>
      <c r="B62" s="211"/>
      <c r="C62" s="191"/>
      <c r="D62" s="191"/>
      <c r="E62" s="191"/>
      <c r="F62" s="61" t="s">
        <v>82</v>
      </c>
      <c r="G62" s="62" t="str">
        <f t="shared" ref="G62" si="59">IF(E59&lt;0.125,"NA",IF(0.125&lt;=E59,(0.8*E59)))</f>
        <v>NA</v>
      </c>
      <c r="H62" s="63"/>
      <c r="I62" s="64"/>
      <c r="J62" s="65"/>
      <c r="K62" s="191"/>
      <c r="L62" s="191"/>
      <c r="M62" s="191"/>
      <c r="N62" s="191"/>
      <c r="O62" s="191"/>
      <c r="P62" s="196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s="55" customFormat="1" ht="13.5" customHeight="1" thickBot="1" x14ac:dyDescent="0.3">
      <c r="A63" s="47"/>
      <c r="B63" s="212"/>
      <c r="C63" s="192"/>
      <c r="D63" s="192"/>
      <c r="E63" s="192"/>
      <c r="F63" s="66" t="s">
        <v>83</v>
      </c>
      <c r="G63" s="67">
        <f t="shared" ref="G63" si="60">+E59</f>
        <v>3.6999999999999998E-2</v>
      </c>
      <c r="H63" s="68"/>
      <c r="I63" s="69"/>
      <c r="J63" s="70"/>
      <c r="K63" s="192"/>
      <c r="L63" s="192"/>
      <c r="M63" s="192"/>
      <c r="N63" s="192"/>
      <c r="O63" s="192"/>
      <c r="P63" s="19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s="55" customFormat="1" ht="13.5" customHeight="1" x14ac:dyDescent="0.25">
      <c r="A64" s="47"/>
      <c r="B64" s="210">
        <v>10</v>
      </c>
      <c r="C64" s="213">
        <f>+C59+$N$12</f>
        <v>1.9999999999999998</v>
      </c>
      <c r="D64" s="190">
        <v>3.5000000000000003E-2</v>
      </c>
      <c r="E64" s="190">
        <v>3.1E-2</v>
      </c>
      <c r="F64" s="56" t="s">
        <v>79</v>
      </c>
      <c r="G64" s="57">
        <v>0</v>
      </c>
      <c r="H64" s="58"/>
      <c r="I64" s="59"/>
      <c r="J64" s="60"/>
      <c r="K64" s="190">
        <f t="shared" ref="K64" si="61">+IF(E64&lt;=0.12,(J66),(IF(E64&lt;0.16,((J65+2*J66+J67)/4),IF(E64&gt;=0.16,((J64+3*J65+2*J66+3*J67+J68)/10)))))</f>
        <v>0.55300000000000005</v>
      </c>
      <c r="L64" s="190">
        <f t="shared" ref="L64" si="62">ROUND(+(D59+D64)/2*(C64-C59),3)</f>
        <v>7.0000000000000001E-3</v>
      </c>
      <c r="M64" s="190">
        <f t="shared" ref="M64" si="63">ROUND(+K64*L64,4)</f>
        <v>3.8999999999999998E-3</v>
      </c>
      <c r="N64" s="193">
        <f t="shared" ref="N64" si="64">ROUND(+M64/$M$108*100,2)</f>
        <v>7.04</v>
      </c>
      <c r="O64" s="194"/>
      <c r="P64" s="195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s="55" customFormat="1" ht="13.5" customHeight="1" x14ac:dyDescent="0.25">
      <c r="A65" s="47"/>
      <c r="B65" s="211"/>
      <c r="C65" s="191"/>
      <c r="D65" s="191"/>
      <c r="E65" s="191"/>
      <c r="F65" s="61" t="s">
        <v>80</v>
      </c>
      <c r="G65" s="62" t="str">
        <f t="shared" ref="G65" si="65">IF(E64&lt;0.125,"NA",IF(0.125&lt;=E64,(0.2*E64)))</f>
        <v>NA</v>
      </c>
      <c r="H65" s="63"/>
      <c r="I65" s="64"/>
      <c r="J65" s="65"/>
      <c r="K65" s="191"/>
      <c r="L65" s="191"/>
      <c r="M65" s="191"/>
      <c r="N65" s="191"/>
      <c r="O65" s="191"/>
      <c r="P65" s="196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s="55" customFormat="1" ht="13.5" customHeight="1" x14ac:dyDescent="0.25">
      <c r="A66" s="47"/>
      <c r="B66" s="211"/>
      <c r="C66" s="191"/>
      <c r="D66" s="191"/>
      <c r="E66" s="191"/>
      <c r="F66" s="61" t="s">
        <v>81</v>
      </c>
      <c r="G66" s="62">
        <f t="shared" ref="G66" si="66">+E64*0.4</f>
        <v>1.2400000000000001E-2</v>
      </c>
      <c r="H66" s="63"/>
      <c r="I66" s="64"/>
      <c r="J66" s="65">
        <v>0.55300000000000005</v>
      </c>
      <c r="K66" s="191"/>
      <c r="L66" s="191"/>
      <c r="M66" s="191"/>
      <c r="N66" s="191"/>
      <c r="O66" s="191"/>
      <c r="P66" s="196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s="55" customFormat="1" ht="13.5" customHeight="1" x14ac:dyDescent="0.25">
      <c r="A67" s="47"/>
      <c r="B67" s="211"/>
      <c r="C67" s="191"/>
      <c r="D67" s="191"/>
      <c r="E67" s="191"/>
      <c r="F67" s="61" t="s">
        <v>82</v>
      </c>
      <c r="G67" s="62" t="str">
        <f t="shared" ref="G67" si="67">IF(E64&lt;0.125,"NA",IF(0.125&lt;=E64,(0.8*E64)))</f>
        <v>NA</v>
      </c>
      <c r="H67" s="63"/>
      <c r="I67" s="64"/>
      <c r="J67" s="65"/>
      <c r="K67" s="191"/>
      <c r="L67" s="191"/>
      <c r="M67" s="191"/>
      <c r="N67" s="191"/>
      <c r="O67" s="191"/>
      <c r="P67" s="196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s="55" customFormat="1" ht="13.5" customHeight="1" thickBot="1" x14ac:dyDescent="0.3">
      <c r="A68" s="47"/>
      <c r="B68" s="212"/>
      <c r="C68" s="192"/>
      <c r="D68" s="192"/>
      <c r="E68" s="192"/>
      <c r="F68" s="66" t="s">
        <v>83</v>
      </c>
      <c r="G68" s="67">
        <f t="shared" ref="G68" si="68">+E64</f>
        <v>3.1E-2</v>
      </c>
      <c r="H68" s="68"/>
      <c r="I68" s="69"/>
      <c r="J68" s="70"/>
      <c r="K68" s="192"/>
      <c r="L68" s="192"/>
      <c r="M68" s="192"/>
      <c r="N68" s="192"/>
      <c r="O68" s="192"/>
      <c r="P68" s="19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s="55" customFormat="1" ht="13.5" customHeight="1" x14ac:dyDescent="0.25">
      <c r="A69" s="47"/>
      <c r="B69" s="210">
        <v>11</v>
      </c>
      <c r="C69" s="213">
        <f>+C64+$N$12</f>
        <v>2.1999999999999997</v>
      </c>
      <c r="D69" s="190">
        <v>3.5000000000000003E-2</v>
      </c>
      <c r="E69" s="190">
        <v>3.5999999999999997E-2</v>
      </c>
      <c r="F69" s="56" t="s">
        <v>79</v>
      </c>
      <c r="G69" s="57">
        <v>0</v>
      </c>
      <c r="H69" s="58"/>
      <c r="I69" s="59"/>
      <c r="J69" s="60"/>
      <c r="K69" s="190">
        <f t="shared" ref="K69" si="69">+IF(E69&lt;=0.12,(J71),(IF(E69&lt;0.16,((J70+2*J71+J72)/4),IF(E69&gt;=0.16,((J69+3*J70+2*J71+3*J72+J73)/10)))))</f>
        <v>0.40600000000000003</v>
      </c>
      <c r="L69" s="190">
        <f t="shared" ref="L69" si="70">ROUND(+(D64+D69)/2*(C69-C64),3)</f>
        <v>7.0000000000000001E-3</v>
      </c>
      <c r="M69" s="190">
        <f t="shared" ref="M69" si="71">ROUND(+K69*L69,4)</f>
        <v>2.8E-3</v>
      </c>
      <c r="N69" s="193">
        <f t="shared" ref="N69" si="72">ROUND(+M69/$M$108*100,2)</f>
        <v>5.05</v>
      </c>
      <c r="O69" s="194"/>
      <c r="P69" s="195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s="55" customFormat="1" ht="13.5" customHeight="1" x14ac:dyDescent="0.25">
      <c r="A70" s="47"/>
      <c r="B70" s="211"/>
      <c r="C70" s="191"/>
      <c r="D70" s="191"/>
      <c r="E70" s="191"/>
      <c r="F70" s="61" t="s">
        <v>80</v>
      </c>
      <c r="G70" s="62" t="str">
        <f t="shared" ref="G70" si="73">IF(E69&lt;0.125,"NA",IF(0.125&lt;=E69,(0.2*E69)))</f>
        <v>NA</v>
      </c>
      <c r="H70" s="63"/>
      <c r="I70" s="64"/>
      <c r="J70" s="65"/>
      <c r="K70" s="191"/>
      <c r="L70" s="191"/>
      <c r="M70" s="191"/>
      <c r="N70" s="191"/>
      <c r="O70" s="191"/>
      <c r="P70" s="196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s="55" customFormat="1" ht="13.5" customHeight="1" x14ac:dyDescent="0.25">
      <c r="A71" s="47"/>
      <c r="B71" s="211"/>
      <c r="C71" s="191"/>
      <c r="D71" s="191"/>
      <c r="E71" s="191"/>
      <c r="F71" s="61" t="s">
        <v>81</v>
      </c>
      <c r="G71" s="62">
        <f t="shared" ref="G71" si="74">+E69*0.4</f>
        <v>1.44E-2</v>
      </c>
      <c r="H71" s="63"/>
      <c r="I71" s="64"/>
      <c r="J71" s="65">
        <v>0.40600000000000003</v>
      </c>
      <c r="K71" s="191"/>
      <c r="L71" s="191"/>
      <c r="M71" s="191"/>
      <c r="N71" s="191"/>
      <c r="O71" s="191"/>
      <c r="P71" s="196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s="55" customFormat="1" ht="13.5" customHeight="1" x14ac:dyDescent="0.25">
      <c r="A72" s="47"/>
      <c r="B72" s="211"/>
      <c r="C72" s="191"/>
      <c r="D72" s="191"/>
      <c r="E72" s="191"/>
      <c r="F72" s="61" t="s">
        <v>82</v>
      </c>
      <c r="G72" s="62" t="str">
        <f t="shared" ref="G72" si="75">IF(E69&lt;0.125,"NA",IF(0.125&lt;=E69,(0.8*E69)))</f>
        <v>NA</v>
      </c>
      <c r="H72" s="63"/>
      <c r="I72" s="64"/>
      <c r="J72" s="65"/>
      <c r="K72" s="191"/>
      <c r="L72" s="191"/>
      <c r="M72" s="191"/>
      <c r="N72" s="191"/>
      <c r="O72" s="191"/>
      <c r="P72" s="196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s="55" customFormat="1" ht="13.5" customHeight="1" thickBot="1" x14ac:dyDescent="0.3">
      <c r="A73" s="47"/>
      <c r="B73" s="212"/>
      <c r="C73" s="192"/>
      <c r="D73" s="192"/>
      <c r="E73" s="192"/>
      <c r="F73" s="66" t="s">
        <v>83</v>
      </c>
      <c r="G73" s="67">
        <f t="shared" ref="G73" si="76">+E69</f>
        <v>3.5999999999999997E-2</v>
      </c>
      <c r="H73" s="68"/>
      <c r="I73" s="69"/>
      <c r="J73" s="70"/>
      <c r="K73" s="192"/>
      <c r="L73" s="192"/>
      <c r="M73" s="192"/>
      <c r="N73" s="192"/>
      <c r="O73" s="192"/>
      <c r="P73" s="19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s="55" customFormat="1" ht="13.5" customHeight="1" x14ac:dyDescent="0.25">
      <c r="A74" s="47"/>
      <c r="B74" s="210">
        <f>+B69+1</f>
        <v>12</v>
      </c>
      <c r="C74" s="213">
        <f>+C69+$N$12</f>
        <v>2.4</v>
      </c>
      <c r="D74" s="190">
        <v>3.6999999999999998E-2</v>
      </c>
      <c r="E74" s="190">
        <v>3.4000000000000002E-2</v>
      </c>
      <c r="F74" s="56" t="s">
        <v>79</v>
      </c>
      <c r="G74" s="57">
        <v>0</v>
      </c>
      <c r="H74" s="58"/>
      <c r="I74" s="59"/>
      <c r="J74" s="60"/>
      <c r="K74" s="190">
        <f t="shared" ref="K74" si="77">+IF(E74&lt;=0.12,(J76),(IF(E74&lt;0.16,((J75+2*J76+J77)/4),IF(E74&gt;=0.16,((J74+3*J75+2*J76+3*J77+J78)/10)))))</f>
        <v>0.32800000000000001</v>
      </c>
      <c r="L74" s="190">
        <f t="shared" ref="L74" si="78">ROUND(+(D69+D74)/2*(C74-C69),3)</f>
        <v>7.0000000000000001E-3</v>
      </c>
      <c r="M74" s="190">
        <f t="shared" ref="M74" si="79">ROUND(+K74*L74,4)</f>
        <v>2.3E-3</v>
      </c>
      <c r="N74" s="193">
        <f t="shared" ref="N74" si="80">ROUND(+M74/$M$108*100,2)</f>
        <v>4.1500000000000004</v>
      </c>
      <c r="O74" s="194"/>
      <c r="P74" s="195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s="55" customFormat="1" ht="13.5" customHeight="1" x14ac:dyDescent="0.25">
      <c r="A75" s="47"/>
      <c r="B75" s="211"/>
      <c r="C75" s="191"/>
      <c r="D75" s="191"/>
      <c r="E75" s="191"/>
      <c r="F75" s="61" t="s">
        <v>80</v>
      </c>
      <c r="G75" s="62" t="str">
        <f t="shared" ref="G75" si="81">IF(E74&lt;0.125,"NA",IF(0.125&lt;=E74,(0.2*E74)))</f>
        <v>NA</v>
      </c>
      <c r="H75" s="63"/>
      <c r="I75" s="64"/>
      <c r="J75" s="65"/>
      <c r="K75" s="191"/>
      <c r="L75" s="191"/>
      <c r="M75" s="191"/>
      <c r="N75" s="191"/>
      <c r="O75" s="191"/>
      <c r="P75" s="196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s="55" customFormat="1" ht="13.5" customHeight="1" x14ac:dyDescent="0.25">
      <c r="A76" s="47"/>
      <c r="B76" s="211"/>
      <c r="C76" s="191"/>
      <c r="D76" s="191"/>
      <c r="E76" s="191"/>
      <c r="F76" s="61" t="s">
        <v>81</v>
      </c>
      <c r="G76" s="62">
        <f t="shared" ref="G76" si="82">+E74*0.4</f>
        <v>1.3600000000000001E-2</v>
      </c>
      <c r="H76" s="63"/>
      <c r="I76" s="64"/>
      <c r="J76" s="65">
        <v>0.32800000000000001</v>
      </c>
      <c r="K76" s="191"/>
      <c r="L76" s="191"/>
      <c r="M76" s="191"/>
      <c r="N76" s="191"/>
      <c r="O76" s="191"/>
      <c r="P76" s="196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s="55" customFormat="1" ht="13.5" customHeight="1" x14ac:dyDescent="0.25">
      <c r="A77" s="47"/>
      <c r="B77" s="211"/>
      <c r="C77" s="191"/>
      <c r="D77" s="191"/>
      <c r="E77" s="191"/>
      <c r="F77" s="61" t="s">
        <v>82</v>
      </c>
      <c r="G77" s="62" t="str">
        <f t="shared" ref="G77" si="83">IF(E74&lt;0.125,"NA",IF(0.125&lt;=E74,(0.8*E74)))</f>
        <v>NA</v>
      </c>
      <c r="H77" s="63"/>
      <c r="I77" s="64"/>
      <c r="J77" s="65"/>
      <c r="K77" s="191"/>
      <c r="L77" s="191"/>
      <c r="M77" s="191"/>
      <c r="N77" s="191"/>
      <c r="O77" s="191"/>
      <c r="P77" s="196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s="55" customFormat="1" ht="13.5" customHeight="1" thickBot="1" x14ac:dyDescent="0.3">
      <c r="A78" s="47"/>
      <c r="B78" s="212"/>
      <c r="C78" s="192"/>
      <c r="D78" s="192"/>
      <c r="E78" s="192"/>
      <c r="F78" s="66" t="s">
        <v>83</v>
      </c>
      <c r="G78" s="67">
        <f t="shared" ref="G78" si="84">+E74</f>
        <v>3.4000000000000002E-2</v>
      </c>
      <c r="H78" s="68"/>
      <c r="I78" s="69"/>
      <c r="J78" s="70"/>
      <c r="K78" s="192"/>
      <c r="L78" s="192"/>
      <c r="M78" s="192"/>
      <c r="N78" s="192"/>
      <c r="O78" s="192"/>
      <c r="P78" s="19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s="55" customFormat="1" ht="13.5" customHeight="1" x14ac:dyDescent="0.25">
      <c r="A79" s="47"/>
      <c r="B79" s="210">
        <f t="shared" ref="B79" si="85">+B74+1</f>
        <v>13</v>
      </c>
      <c r="C79" s="213">
        <f>+C74+$N$12</f>
        <v>2.6</v>
      </c>
      <c r="D79" s="190">
        <v>3.3000000000000002E-2</v>
      </c>
      <c r="E79" s="190">
        <v>3.4000000000000002E-2</v>
      </c>
      <c r="F79" s="56" t="s">
        <v>79</v>
      </c>
      <c r="G79" s="57">
        <v>0</v>
      </c>
      <c r="H79" s="58"/>
      <c r="I79" s="59"/>
      <c r="J79" s="60"/>
      <c r="K79" s="190">
        <f t="shared" ref="K79" si="86">+IF(E79&lt;=0.12,(J81),(IF(E79&lt;0.16,((J80+2*J81+J82)/4),IF(E79&gt;=0.16,((J79+3*J80+2*J81+3*J82+J83)/10)))))</f>
        <v>0.372</v>
      </c>
      <c r="L79" s="190">
        <f t="shared" ref="L79" si="87">ROUND(+(D74+D79)/2*(C79-C74),3)</f>
        <v>7.0000000000000001E-3</v>
      </c>
      <c r="M79" s="190">
        <f t="shared" ref="M79" si="88">ROUND(+K79*L79,4)</f>
        <v>2.5999999999999999E-3</v>
      </c>
      <c r="N79" s="193">
        <f t="shared" ref="N79" si="89">ROUND(+M79/$M$108*100,2)</f>
        <v>4.6900000000000004</v>
      </c>
      <c r="O79" s="194"/>
      <c r="P79" s="195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s="55" customFormat="1" ht="13.5" customHeight="1" x14ac:dyDescent="0.25">
      <c r="A80" s="47"/>
      <c r="B80" s="211"/>
      <c r="C80" s="191"/>
      <c r="D80" s="191"/>
      <c r="E80" s="191"/>
      <c r="F80" s="61" t="s">
        <v>80</v>
      </c>
      <c r="G80" s="62" t="str">
        <f t="shared" ref="G80" si="90">IF(E79&lt;0.125,"NA",IF(0.125&lt;=E79,(0.2*E79)))</f>
        <v>NA</v>
      </c>
      <c r="H80" s="63"/>
      <c r="I80" s="64"/>
      <c r="J80" s="65"/>
      <c r="K80" s="191"/>
      <c r="L80" s="191"/>
      <c r="M80" s="191"/>
      <c r="N80" s="191"/>
      <c r="O80" s="191"/>
      <c r="P80" s="196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s="55" customFormat="1" ht="13.5" customHeight="1" x14ac:dyDescent="0.25">
      <c r="A81" s="47"/>
      <c r="B81" s="211"/>
      <c r="C81" s="191"/>
      <c r="D81" s="191"/>
      <c r="E81" s="191"/>
      <c r="F81" s="61" t="s">
        <v>81</v>
      </c>
      <c r="G81" s="62">
        <f t="shared" ref="G81" si="91">+E79*0.4</f>
        <v>1.3600000000000001E-2</v>
      </c>
      <c r="H81" s="63"/>
      <c r="I81" s="64"/>
      <c r="J81" s="65">
        <v>0.372</v>
      </c>
      <c r="K81" s="191"/>
      <c r="L81" s="191"/>
      <c r="M81" s="191"/>
      <c r="N81" s="191"/>
      <c r="O81" s="191"/>
      <c r="P81" s="196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s="55" customFormat="1" ht="13.5" customHeight="1" x14ac:dyDescent="0.25">
      <c r="A82" s="47"/>
      <c r="B82" s="211"/>
      <c r="C82" s="191"/>
      <c r="D82" s="191"/>
      <c r="E82" s="191"/>
      <c r="F82" s="61" t="s">
        <v>82</v>
      </c>
      <c r="G82" s="62" t="str">
        <f t="shared" ref="G82" si="92">IF(E79&lt;0.125,"NA",IF(0.125&lt;=E79,(0.8*E79)))</f>
        <v>NA</v>
      </c>
      <c r="H82" s="63"/>
      <c r="I82" s="64"/>
      <c r="J82" s="65"/>
      <c r="K82" s="191"/>
      <c r="L82" s="191"/>
      <c r="M82" s="191"/>
      <c r="N82" s="191"/>
      <c r="O82" s="191"/>
      <c r="P82" s="196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s="55" customFormat="1" ht="13.5" customHeight="1" thickBot="1" x14ac:dyDescent="0.3">
      <c r="A83" s="47"/>
      <c r="B83" s="212"/>
      <c r="C83" s="192"/>
      <c r="D83" s="192"/>
      <c r="E83" s="192"/>
      <c r="F83" s="66" t="s">
        <v>83</v>
      </c>
      <c r="G83" s="67">
        <f t="shared" ref="G83" si="93">+E79</f>
        <v>3.4000000000000002E-2</v>
      </c>
      <c r="H83" s="68"/>
      <c r="I83" s="69"/>
      <c r="J83" s="70"/>
      <c r="K83" s="192"/>
      <c r="L83" s="192"/>
      <c r="M83" s="192"/>
      <c r="N83" s="192"/>
      <c r="O83" s="192"/>
      <c r="P83" s="19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s="55" customFormat="1" ht="13.5" customHeight="1" x14ac:dyDescent="0.25">
      <c r="A84" s="47"/>
      <c r="B84" s="210">
        <f t="shared" ref="B84" si="94">+B79+1</f>
        <v>14</v>
      </c>
      <c r="C84" s="213">
        <f>+C79+$N$12</f>
        <v>2.8000000000000003</v>
      </c>
      <c r="D84" s="190">
        <v>3.7999999999999999E-2</v>
      </c>
      <c r="E84" s="190">
        <v>3.6999999999999998E-2</v>
      </c>
      <c r="F84" s="56" t="s">
        <v>79</v>
      </c>
      <c r="G84" s="57">
        <v>0</v>
      </c>
      <c r="H84" s="58"/>
      <c r="I84" s="59"/>
      <c r="J84" s="60"/>
      <c r="K84" s="190">
        <f t="shared" ref="K84" si="95">+IF(E84&lt;=0.12,(J86),(IF(E84&lt;0.16,((J85+2*J86+J87)/4),IF(E84&gt;=0.16,((J84+3*J85+2*J86+3*J87+J88)/10)))))</f>
        <v>0.309</v>
      </c>
      <c r="L84" s="190">
        <f t="shared" ref="L84" si="96">ROUND(+(D79+D84)/2*(C84-C79),3)</f>
        <v>7.0000000000000001E-3</v>
      </c>
      <c r="M84" s="190">
        <f t="shared" ref="M84" si="97">ROUND(+K84*L84,4)</f>
        <v>2.2000000000000001E-3</v>
      </c>
      <c r="N84" s="193">
        <f t="shared" ref="N84" si="98">ROUND(+M84/$M$108*100,2)</f>
        <v>3.97</v>
      </c>
      <c r="O84" s="194"/>
      <c r="P84" s="195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s="55" customFormat="1" ht="13.5" customHeight="1" x14ac:dyDescent="0.25">
      <c r="A85" s="47"/>
      <c r="B85" s="211"/>
      <c r="C85" s="191"/>
      <c r="D85" s="191"/>
      <c r="E85" s="191"/>
      <c r="F85" s="61" t="s">
        <v>80</v>
      </c>
      <c r="G85" s="62" t="str">
        <f t="shared" ref="G85" si="99">IF(E84&lt;0.125,"NA",IF(0.125&lt;=E84,(0.2*E84)))</f>
        <v>NA</v>
      </c>
      <c r="H85" s="63"/>
      <c r="I85" s="64"/>
      <c r="J85" s="65"/>
      <c r="K85" s="191"/>
      <c r="L85" s="191"/>
      <c r="M85" s="191"/>
      <c r="N85" s="191"/>
      <c r="O85" s="191"/>
      <c r="P85" s="196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s="55" customFormat="1" ht="13.5" customHeight="1" x14ac:dyDescent="0.25">
      <c r="A86" s="47"/>
      <c r="B86" s="211"/>
      <c r="C86" s="191"/>
      <c r="D86" s="191"/>
      <c r="E86" s="191"/>
      <c r="F86" s="61" t="s">
        <v>81</v>
      </c>
      <c r="G86" s="62">
        <f t="shared" ref="G86" si="100">+E84*0.4</f>
        <v>1.4800000000000001E-2</v>
      </c>
      <c r="H86" s="63"/>
      <c r="I86" s="64"/>
      <c r="J86" s="65">
        <v>0.309</v>
      </c>
      <c r="K86" s="191"/>
      <c r="L86" s="191"/>
      <c r="M86" s="191"/>
      <c r="N86" s="191"/>
      <c r="O86" s="191"/>
      <c r="P86" s="196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s="55" customFormat="1" ht="13.5" customHeight="1" x14ac:dyDescent="0.25">
      <c r="A87" s="47"/>
      <c r="B87" s="211"/>
      <c r="C87" s="191"/>
      <c r="D87" s="191"/>
      <c r="E87" s="191"/>
      <c r="F87" s="61" t="s">
        <v>82</v>
      </c>
      <c r="G87" s="62" t="str">
        <f t="shared" ref="G87" si="101">IF(E84&lt;0.125,"NA",IF(0.125&lt;=E84,(0.8*E84)))</f>
        <v>NA</v>
      </c>
      <c r="H87" s="63"/>
      <c r="I87" s="64"/>
      <c r="J87" s="65"/>
      <c r="K87" s="191"/>
      <c r="L87" s="191"/>
      <c r="M87" s="191"/>
      <c r="N87" s="191"/>
      <c r="O87" s="191"/>
      <c r="P87" s="196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s="55" customFormat="1" ht="13.5" customHeight="1" thickBot="1" x14ac:dyDescent="0.3">
      <c r="A88" s="47"/>
      <c r="B88" s="212"/>
      <c r="C88" s="192"/>
      <c r="D88" s="192"/>
      <c r="E88" s="192"/>
      <c r="F88" s="66" t="s">
        <v>83</v>
      </c>
      <c r="G88" s="67">
        <f t="shared" ref="G88" si="102">+E84</f>
        <v>3.6999999999999998E-2</v>
      </c>
      <c r="H88" s="68"/>
      <c r="I88" s="69"/>
      <c r="J88" s="70"/>
      <c r="K88" s="192"/>
      <c r="L88" s="192"/>
      <c r="M88" s="192"/>
      <c r="N88" s="192"/>
      <c r="O88" s="192"/>
      <c r="P88" s="19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s="3" customFormat="1" ht="14.1" customHeight="1" x14ac:dyDescent="0.2">
      <c r="B89" s="198" t="s">
        <v>28</v>
      </c>
      <c r="C89" s="201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3"/>
    </row>
    <row r="90" spans="1:26" s="3" customFormat="1" ht="14.1" customHeight="1" x14ac:dyDescent="0.2">
      <c r="B90" s="199"/>
      <c r="C90" s="204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6"/>
    </row>
    <row r="91" spans="1:26" s="3" customFormat="1" ht="14.1" customHeight="1" x14ac:dyDescent="0.2">
      <c r="B91" s="199"/>
      <c r="C91" s="204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6"/>
    </row>
    <row r="92" spans="1:26" s="3" customFormat="1" ht="14.1" customHeight="1" x14ac:dyDescent="0.2">
      <c r="B92" s="199"/>
      <c r="C92" s="204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6"/>
    </row>
    <row r="93" spans="1:26" s="3" customFormat="1" ht="14.1" customHeight="1" x14ac:dyDescent="0.2">
      <c r="B93" s="199"/>
      <c r="C93" s="204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6"/>
    </row>
    <row r="94" spans="1:26" s="3" customFormat="1" ht="14.1" customHeight="1" thickBot="1" x14ac:dyDescent="0.25">
      <c r="B94" s="200"/>
      <c r="C94" s="207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9"/>
    </row>
    <row r="95" spans="1:26" s="3" customFormat="1" ht="28.5" customHeight="1" thickBot="1" x14ac:dyDescent="0.25">
      <c r="A95" s="71"/>
      <c r="B95" s="72" t="s">
        <v>84</v>
      </c>
      <c r="C95" s="177" t="s">
        <v>85</v>
      </c>
      <c r="D95" s="177"/>
      <c r="E95" s="177"/>
      <c r="F95" s="177"/>
      <c r="G95" s="177"/>
      <c r="H95" s="178"/>
      <c r="I95" s="179"/>
      <c r="J95" s="72" t="s">
        <v>86</v>
      </c>
      <c r="K95" s="177" t="s">
        <v>87</v>
      </c>
      <c r="L95" s="177"/>
      <c r="M95" s="177"/>
      <c r="N95" s="177"/>
      <c r="O95" s="177"/>
      <c r="P95" s="178"/>
    </row>
    <row r="96" spans="1:26" s="3" customFormat="1" ht="28.5" customHeight="1" thickBot="1" x14ac:dyDescent="0.25">
      <c r="B96" s="73" t="s">
        <v>88</v>
      </c>
      <c r="C96" s="181" t="s">
        <v>89</v>
      </c>
      <c r="D96" s="181"/>
      <c r="E96" s="181"/>
      <c r="F96" s="181"/>
      <c r="G96" s="181"/>
      <c r="H96" s="182"/>
      <c r="I96" s="180"/>
      <c r="J96" s="73" t="s">
        <v>90</v>
      </c>
      <c r="K96" s="181" t="s">
        <v>91</v>
      </c>
      <c r="L96" s="181"/>
      <c r="M96" s="181"/>
      <c r="N96" s="181"/>
      <c r="O96" s="181"/>
      <c r="P96" s="182"/>
    </row>
    <row r="97" spans="1:26" s="19" customFormat="1" ht="13.5" customHeight="1" x14ac:dyDescent="0.25">
      <c r="A97" s="74"/>
      <c r="B97" s="183"/>
      <c r="C97" s="186"/>
      <c r="D97" s="188"/>
      <c r="E97" s="188"/>
      <c r="F97" s="75" t="s">
        <v>79</v>
      </c>
      <c r="G97" s="75">
        <v>0.01</v>
      </c>
      <c r="H97" s="76"/>
      <c r="I97" s="77"/>
      <c r="J97" s="78"/>
      <c r="K97" s="189"/>
      <c r="L97" s="168"/>
      <c r="M97" s="171"/>
      <c r="N97" s="168"/>
      <c r="O97" s="168"/>
      <c r="P97" s="172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s="19" customFormat="1" ht="13.5" customHeight="1" x14ac:dyDescent="0.25">
      <c r="A98" s="74"/>
      <c r="B98" s="184"/>
      <c r="C98" s="169"/>
      <c r="D98" s="169"/>
      <c r="E98" s="169"/>
      <c r="F98" s="80" t="s">
        <v>92</v>
      </c>
      <c r="G98" s="81">
        <f>+E97*0.1</f>
        <v>0</v>
      </c>
      <c r="H98" s="82"/>
      <c r="I98" s="83"/>
      <c r="J98" s="84"/>
      <c r="K98" s="169"/>
      <c r="L98" s="169"/>
      <c r="M98" s="169"/>
      <c r="N98" s="169"/>
      <c r="O98" s="169"/>
      <c r="P98" s="173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s="19" customFormat="1" ht="13.5" customHeight="1" x14ac:dyDescent="0.25">
      <c r="A99" s="74"/>
      <c r="B99" s="184"/>
      <c r="C99" s="169"/>
      <c r="D99" s="169"/>
      <c r="E99" s="169"/>
      <c r="F99" s="80" t="s">
        <v>93</v>
      </c>
      <c r="G99" s="81">
        <f>+E97*0.2</f>
        <v>0</v>
      </c>
      <c r="H99" s="82"/>
      <c r="I99" s="83"/>
      <c r="J99" s="84"/>
      <c r="K99" s="169"/>
      <c r="L99" s="169"/>
      <c r="M99" s="169"/>
      <c r="N99" s="169"/>
      <c r="O99" s="169"/>
      <c r="P99" s="173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s="19" customFormat="1" ht="13.5" customHeight="1" x14ac:dyDescent="0.25">
      <c r="A100" s="74"/>
      <c r="B100" s="184"/>
      <c r="C100" s="169"/>
      <c r="D100" s="169"/>
      <c r="E100" s="169"/>
      <c r="F100" s="80" t="s">
        <v>94</v>
      </c>
      <c r="G100" s="81">
        <f>+E97*0.3</f>
        <v>0</v>
      </c>
      <c r="H100" s="82"/>
      <c r="I100" s="83"/>
      <c r="J100" s="84"/>
      <c r="K100" s="169"/>
      <c r="L100" s="169"/>
      <c r="M100" s="169"/>
      <c r="N100" s="169"/>
      <c r="O100" s="169"/>
      <c r="P100" s="173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s="19" customFormat="1" ht="13.5" customHeight="1" x14ac:dyDescent="0.25">
      <c r="A101" s="74"/>
      <c r="B101" s="184"/>
      <c r="C101" s="187"/>
      <c r="D101" s="187"/>
      <c r="E101" s="169"/>
      <c r="F101" s="80" t="s">
        <v>95</v>
      </c>
      <c r="G101" s="81">
        <f>+E97*0.4</f>
        <v>0</v>
      </c>
      <c r="H101" s="82"/>
      <c r="I101" s="83"/>
      <c r="J101" s="84"/>
      <c r="K101" s="169"/>
      <c r="L101" s="169"/>
      <c r="M101" s="169"/>
      <c r="N101" s="169"/>
      <c r="O101" s="169"/>
      <c r="P101" s="173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s="19" customFormat="1" ht="13.5" customHeight="1" x14ac:dyDescent="0.25">
      <c r="A102" s="74"/>
      <c r="B102" s="184"/>
      <c r="C102" s="175"/>
      <c r="D102" s="176"/>
      <c r="E102" s="169"/>
      <c r="F102" s="80" t="s">
        <v>29</v>
      </c>
      <c r="G102" s="81">
        <f>+E97*0.5</f>
        <v>0</v>
      </c>
      <c r="H102" s="82"/>
      <c r="I102" s="83"/>
      <c r="J102" s="84"/>
      <c r="K102" s="169"/>
      <c r="L102" s="169"/>
      <c r="M102" s="169"/>
      <c r="N102" s="169"/>
      <c r="O102" s="169"/>
      <c r="P102" s="173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s="19" customFormat="1" ht="13.5" customHeight="1" x14ac:dyDescent="0.25">
      <c r="A103" s="74"/>
      <c r="B103" s="184"/>
      <c r="C103" s="169"/>
      <c r="D103" s="169"/>
      <c r="E103" s="169"/>
      <c r="F103" s="80" t="s">
        <v>96</v>
      </c>
      <c r="G103" s="81">
        <f>+E97*0.6</f>
        <v>0</v>
      </c>
      <c r="H103" s="82"/>
      <c r="I103" s="83"/>
      <c r="J103" s="84"/>
      <c r="K103" s="169"/>
      <c r="L103" s="169"/>
      <c r="M103" s="169"/>
      <c r="N103" s="169"/>
      <c r="O103" s="169"/>
      <c r="P103" s="173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s="19" customFormat="1" ht="13.5" customHeight="1" x14ac:dyDescent="0.25">
      <c r="A104" s="74"/>
      <c r="B104" s="184"/>
      <c r="C104" s="169"/>
      <c r="D104" s="169"/>
      <c r="E104" s="169"/>
      <c r="F104" s="80" t="s">
        <v>97</v>
      </c>
      <c r="G104" s="81">
        <f>+E97*0.7</f>
        <v>0</v>
      </c>
      <c r="H104" s="82"/>
      <c r="I104" s="83"/>
      <c r="J104" s="84"/>
      <c r="K104" s="169"/>
      <c r="L104" s="169"/>
      <c r="M104" s="169"/>
      <c r="N104" s="169"/>
      <c r="O104" s="169"/>
      <c r="P104" s="173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s="19" customFormat="1" ht="13.5" customHeight="1" x14ac:dyDescent="0.25">
      <c r="A105" s="74"/>
      <c r="B105" s="184"/>
      <c r="C105" s="169"/>
      <c r="D105" s="169"/>
      <c r="E105" s="169"/>
      <c r="F105" s="80" t="s">
        <v>98</v>
      </c>
      <c r="G105" s="81">
        <f>+E97*0.8</f>
        <v>0</v>
      </c>
      <c r="H105" s="82"/>
      <c r="I105" s="83"/>
      <c r="J105" s="84"/>
      <c r="K105" s="169"/>
      <c r="L105" s="169"/>
      <c r="M105" s="169"/>
      <c r="N105" s="169"/>
      <c r="O105" s="169"/>
      <c r="P105" s="173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s="19" customFormat="1" ht="13.5" customHeight="1" x14ac:dyDescent="0.25">
      <c r="A106" s="74"/>
      <c r="B106" s="184"/>
      <c r="C106" s="169"/>
      <c r="D106" s="169"/>
      <c r="E106" s="169"/>
      <c r="F106" s="80" t="s">
        <v>99</v>
      </c>
      <c r="G106" s="81">
        <f>+E97*0.9</f>
        <v>0</v>
      </c>
      <c r="H106" s="82"/>
      <c r="I106" s="83"/>
      <c r="J106" s="84"/>
      <c r="K106" s="169"/>
      <c r="L106" s="169"/>
      <c r="M106" s="169"/>
      <c r="N106" s="169"/>
      <c r="O106" s="169"/>
      <c r="P106" s="173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s="19" customFormat="1" ht="15.75" thickBot="1" x14ac:dyDescent="0.3">
      <c r="A107" s="74"/>
      <c r="B107" s="185"/>
      <c r="C107" s="170"/>
      <c r="D107" s="170"/>
      <c r="E107" s="170"/>
      <c r="F107" s="85" t="s">
        <v>30</v>
      </c>
      <c r="G107" s="85">
        <f>+E97</f>
        <v>0</v>
      </c>
      <c r="H107" s="86"/>
      <c r="I107" s="87"/>
      <c r="J107" s="88"/>
      <c r="K107" s="170"/>
      <c r="L107" s="170"/>
      <c r="M107" s="170"/>
      <c r="N107" s="170"/>
      <c r="O107" s="170"/>
      <c r="P107" s="174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s="3" customFormat="1" ht="12.75" x14ac:dyDescent="0.2">
      <c r="A108" s="11"/>
      <c r="B108" s="156" t="s">
        <v>31</v>
      </c>
      <c r="C108" s="156"/>
      <c r="D108" s="156"/>
      <c r="E108" s="156"/>
      <c r="F108" s="156"/>
      <c r="G108" s="156"/>
      <c r="H108" s="156"/>
      <c r="I108" s="156"/>
      <c r="J108" s="156"/>
      <c r="K108" s="16">
        <f>ROUND(+M108/L108,3)</f>
        <v>0.55400000000000005</v>
      </c>
      <c r="L108" s="15">
        <f>SUM(L19:L107)</f>
        <v>0.10000000000000003</v>
      </c>
      <c r="M108" s="14">
        <f>SUM(M19:M107)</f>
        <v>5.5399999999999991E-2</v>
      </c>
      <c r="N108" s="12">
        <f>ROUND(SUM(N19:N107),0)</f>
        <v>100</v>
      </c>
      <c r="O108" s="158" t="s">
        <v>32</v>
      </c>
      <c r="P108" s="160"/>
    </row>
    <row r="109" spans="1:26" s="3" customFormat="1" ht="15" customHeight="1" thickBot="1" x14ac:dyDescent="0.25">
      <c r="A109" s="11"/>
      <c r="B109" s="157"/>
      <c r="C109" s="157"/>
      <c r="D109" s="157"/>
      <c r="E109" s="157"/>
      <c r="F109" s="157"/>
      <c r="G109" s="157"/>
      <c r="H109" s="157"/>
      <c r="I109" s="157"/>
      <c r="J109" s="157"/>
      <c r="K109" s="13" t="s">
        <v>33</v>
      </c>
      <c r="L109" s="13" t="s">
        <v>49</v>
      </c>
      <c r="M109" s="13" t="s">
        <v>110</v>
      </c>
      <c r="N109" s="13" t="s">
        <v>34</v>
      </c>
      <c r="O109" s="159"/>
      <c r="P109" s="161"/>
    </row>
    <row r="110" spans="1:26" ht="15" customHeight="1" thickBot="1" x14ac:dyDescent="0.3">
      <c r="A110" s="5"/>
      <c r="B110" s="325" t="s">
        <v>100</v>
      </c>
      <c r="C110" s="326"/>
      <c r="D110" s="326"/>
      <c r="E110" s="326"/>
      <c r="F110" s="327"/>
      <c r="G110" s="328" t="s">
        <v>101</v>
      </c>
      <c r="H110" s="329"/>
      <c r="I110" s="329"/>
      <c r="J110" s="329"/>
      <c r="K110" s="330"/>
      <c r="L110" s="331" t="s">
        <v>51</v>
      </c>
      <c r="M110" s="332"/>
      <c r="N110" s="332"/>
      <c r="O110" s="332"/>
      <c r="P110" s="333"/>
    </row>
    <row r="111" spans="1:26" ht="15" customHeight="1" x14ac:dyDescent="0.25">
      <c r="A111" s="5"/>
      <c r="B111" s="126"/>
      <c r="C111" s="127"/>
      <c r="D111" s="127"/>
      <c r="E111" s="127"/>
      <c r="F111" s="128"/>
      <c r="G111" s="126"/>
      <c r="H111" s="127"/>
      <c r="I111" s="127"/>
      <c r="J111" s="127"/>
      <c r="K111" s="128"/>
      <c r="L111" s="302" t="s">
        <v>102</v>
      </c>
      <c r="M111" s="303"/>
      <c r="N111" s="304"/>
      <c r="O111" s="305">
        <f>+AVERAGE(E18:E88)</f>
        <v>3.6999999999999998E-2</v>
      </c>
      <c r="P111" s="306"/>
    </row>
    <row r="112" spans="1:26" ht="15" customHeight="1" thickBot="1" x14ac:dyDescent="0.3">
      <c r="A112" s="5"/>
      <c r="B112" s="129"/>
      <c r="C112" s="130"/>
      <c r="D112" s="130"/>
      <c r="E112" s="130"/>
      <c r="F112" s="131"/>
      <c r="G112" s="129"/>
      <c r="H112" s="130"/>
      <c r="I112" s="130"/>
      <c r="J112" s="130"/>
      <c r="K112" s="131"/>
      <c r="L112" s="307" t="s">
        <v>103</v>
      </c>
      <c r="M112" s="308"/>
      <c r="N112" s="309"/>
      <c r="O112" s="310">
        <f>+MAX(E18:E88)</f>
        <v>5.1999999999999998E-2</v>
      </c>
      <c r="P112" s="311"/>
    </row>
    <row r="113" spans="1:16" ht="18.600000000000001" customHeight="1" x14ac:dyDescent="0.25">
      <c r="A113" s="6"/>
      <c r="B113" s="129"/>
      <c r="C113" s="130"/>
      <c r="D113" s="130"/>
      <c r="E113" s="130"/>
      <c r="F113" s="131"/>
      <c r="G113" s="129"/>
      <c r="H113" s="130"/>
      <c r="I113" s="130"/>
      <c r="J113" s="130"/>
      <c r="K113" s="131"/>
      <c r="L113" s="312" t="s">
        <v>113</v>
      </c>
      <c r="M113" s="313"/>
      <c r="N113" s="313"/>
      <c r="O113" s="313"/>
      <c r="P113" s="314"/>
    </row>
    <row r="114" spans="1:16" ht="75" customHeight="1" x14ac:dyDescent="0.25">
      <c r="A114" s="10"/>
      <c r="B114" s="129"/>
      <c r="C114" s="130"/>
      <c r="D114" s="130"/>
      <c r="E114" s="130"/>
      <c r="F114" s="131"/>
      <c r="G114" s="129"/>
      <c r="H114" s="130"/>
      <c r="I114" s="130"/>
      <c r="J114" s="130"/>
      <c r="K114" s="131"/>
      <c r="L114" s="315"/>
      <c r="M114" s="316"/>
      <c r="N114" s="316"/>
      <c r="O114" s="316"/>
      <c r="P114" s="317"/>
    </row>
    <row r="115" spans="1:16" ht="15" customHeight="1" thickBot="1" x14ac:dyDescent="0.3">
      <c r="A115" s="5"/>
      <c r="B115" s="129"/>
      <c r="C115" s="130"/>
      <c r="D115" s="130"/>
      <c r="E115" s="130"/>
      <c r="F115" s="131"/>
      <c r="G115" s="129"/>
      <c r="H115" s="130"/>
      <c r="I115" s="130"/>
      <c r="J115" s="130"/>
      <c r="K115" s="131"/>
      <c r="L115" s="318"/>
      <c r="M115" s="109"/>
      <c r="N115" s="109"/>
      <c r="O115" s="109"/>
      <c r="P115" s="110"/>
    </row>
    <row r="116" spans="1:16" ht="22.5" customHeight="1" thickBot="1" x14ac:dyDescent="0.3">
      <c r="A116" s="5"/>
      <c r="B116" s="129"/>
      <c r="C116" s="130"/>
      <c r="D116" s="130"/>
      <c r="E116" s="130"/>
      <c r="F116" s="131"/>
      <c r="G116" s="129"/>
      <c r="H116" s="130"/>
      <c r="I116" s="130"/>
      <c r="J116" s="130"/>
      <c r="K116" s="131"/>
      <c r="L116" s="319" t="s">
        <v>35</v>
      </c>
      <c r="M116" s="320"/>
      <c r="N116" s="320"/>
      <c r="O116" s="321"/>
      <c r="P116" s="98">
        <v>2.66</v>
      </c>
    </row>
    <row r="117" spans="1:16" ht="32.25" customHeight="1" thickBot="1" x14ac:dyDescent="0.3">
      <c r="A117" s="5"/>
      <c r="B117" s="132"/>
      <c r="C117" s="133"/>
      <c r="D117" s="133"/>
      <c r="E117" s="133"/>
      <c r="F117" s="134"/>
      <c r="G117" s="132"/>
      <c r="H117" s="133"/>
      <c r="I117" s="133"/>
      <c r="J117" s="133"/>
      <c r="K117" s="134"/>
      <c r="L117" s="322" t="s">
        <v>50</v>
      </c>
      <c r="M117" s="323"/>
      <c r="N117" s="323"/>
      <c r="O117" s="324"/>
      <c r="P117" s="98">
        <v>0.2276</v>
      </c>
    </row>
    <row r="118" spans="1:16" ht="23.45" customHeight="1" thickBot="1" x14ac:dyDescent="0.3">
      <c r="A118" s="7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</row>
    <row r="119" spans="1:16" ht="15.75" thickBot="1" x14ac:dyDescent="0.3">
      <c r="A119" s="115" t="s">
        <v>36</v>
      </c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7"/>
    </row>
    <row r="120" spans="1:16" ht="159" customHeight="1" thickBot="1" x14ac:dyDescent="0.3">
      <c r="A120" s="4"/>
      <c r="B120" s="118"/>
      <c r="C120" s="119"/>
      <c r="D120" s="119"/>
      <c r="E120" s="119"/>
      <c r="F120" s="120"/>
      <c r="G120" s="118"/>
      <c r="H120" s="119"/>
      <c r="I120" s="119"/>
      <c r="J120" s="119"/>
      <c r="K120" s="120"/>
      <c r="L120" s="118"/>
      <c r="M120" s="119"/>
      <c r="N120" s="119"/>
      <c r="O120" s="119"/>
      <c r="P120" s="121"/>
    </row>
    <row r="121" spans="1:16" ht="21.75" customHeight="1" thickBot="1" x14ac:dyDescent="0.3">
      <c r="A121" s="4"/>
      <c r="B121" s="122" t="s">
        <v>52</v>
      </c>
      <c r="C121" s="123"/>
      <c r="D121" s="123"/>
      <c r="E121" s="123"/>
      <c r="F121" s="124"/>
      <c r="G121" s="122" t="s">
        <v>105</v>
      </c>
      <c r="H121" s="123"/>
      <c r="I121" s="123"/>
      <c r="J121" s="123"/>
      <c r="K121" s="124"/>
      <c r="L121" s="122"/>
      <c r="M121" s="123"/>
      <c r="N121" s="123"/>
      <c r="O121" s="123"/>
      <c r="P121" s="125"/>
    </row>
    <row r="122" spans="1:16" s="9" customFormat="1" ht="16.899999999999999" customHeight="1" thickBot="1" x14ac:dyDescent="0.3">
      <c r="A122" s="8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10"/>
    </row>
    <row r="123" spans="1:16" s="3" customFormat="1" ht="15.75" customHeight="1" thickBot="1" x14ac:dyDescent="0.25">
      <c r="A123" s="111" t="s">
        <v>37</v>
      </c>
      <c r="B123" s="112"/>
      <c r="C123" s="112"/>
      <c r="D123" s="112"/>
      <c r="E123" s="112"/>
      <c r="F123" s="112"/>
      <c r="G123" s="112"/>
      <c r="H123" s="112"/>
      <c r="I123" s="112"/>
      <c r="J123" s="112" t="s">
        <v>38</v>
      </c>
      <c r="K123" s="112"/>
      <c r="L123" s="112"/>
      <c r="M123" s="112"/>
      <c r="N123" s="112"/>
      <c r="O123" s="112"/>
      <c r="P123" s="113"/>
    </row>
  </sheetData>
  <mergeCells count="24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22:P122"/>
    <mergeCell ref="A123:C123"/>
    <mergeCell ref="D123:I123"/>
    <mergeCell ref="J123:K123"/>
    <mergeCell ref="L123:P123"/>
    <mergeCell ref="B118:P118"/>
    <mergeCell ref="A119:P119"/>
    <mergeCell ref="B120:F120"/>
    <mergeCell ref="G120:K120"/>
    <mergeCell ref="L120:P120"/>
    <mergeCell ref="B121:F121"/>
    <mergeCell ref="G121:K121"/>
    <mergeCell ref="L121:P12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3"/>
  <sheetViews>
    <sheetView view="pageBreakPreview" topLeftCell="E1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45"/>
      <c r="B2" s="346"/>
      <c r="C2" s="347"/>
      <c r="D2" s="348"/>
      <c r="E2" s="349" t="s">
        <v>118</v>
      </c>
      <c r="F2" s="350"/>
      <c r="G2" s="350"/>
      <c r="H2" s="350"/>
      <c r="I2" s="350"/>
      <c r="J2" s="350"/>
      <c r="K2" s="350"/>
      <c r="L2" s="350"/>
      <c r="M2" s="350"/>
      <c r="N2" s="350"/>
      <c r="O2" s="351"/>
      <c r="P2" s="352"/>
    </row>
    <row r="3" spans="1:26" s="2" customFormat="1" ht="25.5" customHeight="1" thickBot="1" x14ac:dyDescent="0.3">
      <c r="A3" s="345"/>
      <c r="B3" s="353"/>
      <c r="C3" s="354"/>
      <c r="D3" s="355"/>
      <c r="E3" s="356"/>
      <c r="F3" s="357"/>
      <c r="G3" s="357"/>
      <c r="H3" s="357"/>
      <c r="I3" s="357"/>
      <c r="J3" s="357"/>
      <c r="K3" s="357"/>
      <c r="L3" s="357"/>
      <c r="M3" s="357"/>
      <c r="N3" s="357"/>
      <c r="O3" s="358"/>
      <c r="P3" s="359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43158</v>
      </c>
      <c r="D5" s="298"/>
      <c r="E5" s="22" t="s">
        <v>53</v>
      </c>
      <c r="F5" s="23">
        <v>4</v>
      </c>
      <c r="G5" s="24" t="s">
        <v>1</v>
      </c>
      <c r="H5" s="299" t="s">
        <v>119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2</v>
      </c>
      <c r="C6" s="281"/>
      <c r="D6" s="282" t="s">
        <v>116</v>
      </c>
      <c r="E6" s="283"/>
      <c r="F6" s="283"/>
      <c r="G6" s="283"/>
      <c r="H6" s="283"/>
      <c r="I6" s="284"/>
      <c r="J6" s="28" t="s">
        <v>3</v>
      </c>
      <c r="K6" s="285" t="s">
        <v>107</v>
      </c>
      <c r="L6" s="284"/>
      <c r="M6" s="285" t="s">
        <v>108</v>
      </c>
      <c r="N6" s="286"/>
      <c r="O6" s="29" t="s">
        <v>54</v>
      </c>
      <c r="P6" s="30">
        <v>1881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91" t="s">
        <v>4</v>
      </c>
      <c r="F8" s="259" t="s">
        <v>5</v>
      </c>
      <c r="G8" s="260"/>
      <c r="H8" s="260"/>
      <c r="I8" s="260"/>
      <c r="J8" s="261"/>
      <c r="K8" s="262"/>
      <c r="L8" s="262"/>
      <c r="M8" s="263"/>
      <c r="N8" s="264"/>
      <c r="O8" s="265"/>
      <c r="P8" s="34"/>
    </row>
    <row r="9" spans="1:26" s="26" customFormat="1" ht="21.75" customHeight="1" x14ac:dyDescent="0.25">
      <c r="B9" s="266" t="s">
        <v>6</v>
      </c>
      <c r="C9" s="269" t="s">
        <v>62</v>
      </c>
      <c r="D9" s="270" t="s">
        <v>63</v>
      </c>
      <c r="E9" s="255"/>
      <c r="F9" s="35"/>
      <c r="G9" s="271" t="s">
        <v>7</v>
      </c>
      <c r="H9" s="272" t="s">
        <v>8</v>
      </c>
      <c r="I9" s="258"/>
      <c r="J9" s="36"/>
      <c r="K9" s="269" t="s">
        <v>64</v>
      </c>
      <c r="L9" s="273" t="s">
        <v>117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92" t="s">
        <v>4</v>
      </c>
      <c r="G10" s="212"/>
      <c r="H10" s="253" t="s">
        <v>9</v>
      </c>
      <c r="I10" s="248"/>
      <c r="J10" s="93" t="s">
        <v>4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10</v>
      </c>
      <c r="D11" s="255"/>
      <c r="E11" s="94">
        <v>0.3298611111111111</v>
      </c>
      <c r="F11" s="256" t="s">
        <v>11</v>
      </c>
      <c r="G11" s="255"/>
      <c r="H11" s="37">
        <v>1.59</v>
      </c>
      <c r="I11" s="257" t="s">
        <v>12</v>
      </c>
      <c r="J11" s="258"/>
      <c r="K11" s="95">
        <v>14</v>
      </c>
      <c r="L11" s="254" t="s">
        <v>13</v>
      </c>
      <c r="M11" s="255"/>
      <c r="N11" s="96">
        <v>3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14</v>
      </c>
      <c r="D12" s="248"/>
      <c r="E12" s="94">
        <v>0.3576388888888889</v>
      </c>
      <c r="F12" s="249" t="s">
        <v>15</v>
      </c>
      <c r="G12" s="248"/>
      <c r="H12" s="37">
        <v>1.59</v>
      </c>
      <c r="I12" s="250" t="s">
        <v>16</v>
      </c>
      <c r="J12" s="248"/>
      <c r="K12" s="94">
        <v>0.32291666666666669</v>
      </c>
      <c r="L12" s="247" t="s">
        <v>17</v>
      </c>
      <c r="M12" s="248"/>
      <c r="N12" s="97">
        <v>0.3</v>
      </c>
      <c r="O12" s="251">
        <v>0</v>
      </c>
      <c r="P12" s="252"/>
    </row>
    <row r="13" spans="1:26" s="26" customFormat="1" ht="21.75" customHeight="1" x14ac:dyDescent="0.25">
      <c r="A13" s="20"/>
      <c r="B13" s="230" t="s">
        <v>18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 t="s">
        <v>70</v>
      </c>
      <c r="O13" s="234"/>
      <c r="P13" s="237"/>
      <c r="Q13" s="38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19</v>
      </c>
      <c r="C16" s="221" t="s">
        <v>20</v>
      </c>
      <c r="D16" s="221" t="s">
        <v>41</v>
      </c>
      <c r="E16" s="223" t="s">
        <v>21</v>
      </c>
      <c r="F16" s="224" t="s">
        <v>42</v>
      </c>
      <c r="G16" s="225"/>
      <c r="H16" s="221" t="s">
        <v>77</v>
      </c>
      <c r="I16" s="228" t="s">
        <v>78</v>
      </c>
      <c r="J16" s="39" t="s">
        <v>43</v>
      </c>
      <c r="K16" s="40"/>
      <c r="L16" s="41" t="s">
        <v>44</v>
      </c>
      <c r="M16" s="41" t="s">
        <v>45</v>
      </c>
      <c r="N16" s="41" t="s">
        <v>45</v>
      </c>
      <c r="O16" s="41" t="s">
        <v>46</v>
      </c>
      <c r="P16" s="42" t="s">
        <v>22</v>
      </c>
    </row>
    <row r="17" spans="1:26" s="26" customFormat="1" ht="21.75" customHeight="1" thickBot="1" x14ac:dyDescent="0.3">
      <c r="A17" s="43"/>
      <c r="B17" s="220"/>
      <c r="C17" s="222"/>
      <c r="D17" s="222"/>
      <c r="E17" s="222"/>
      <c r="F17" s="226"/>
      <c r="G17" s="227"/>
      <c r="H17" s="222"/>
      <c r="I17" s="229"/>
      <c r="J17" s="44" t="s">
        <v>23</v>
      </c>
      <c r="K17" s="45" t="s">
        <v>24</v>
      </c>
      <c r="L17" s="45" t="s">
        <v>47</v>
      </c>
      <c r="M17" s="45" t="s">
        <v>48</v>
      </c>
      <c r="N17" s="45" t="s">
        <v>25</v>
      </c>
      <c r="O17" s="45" t="s">
        <v>26</v>
      </c>
      <c r="P17" s="46" t="s">
        <v>27</v>
      </c>
    </row>
    <row r="18" spans="1:26" s="55" customFormat="1" ht="21.75" customHeight="1" thickBot="1" x14ac:dyDescent="0.3">
      <c r="A18" s="47"/>
      <c r="B18" s="48"/>
      <c r="C18" s="49">
        <v>0</v>
      </c>
      <c r="D18" s="49">
        <v>0.02</v>
      </c>
      <c r="E18" s="50"/>
      <c r="F18" s="51"/>
      <c r="G18" s="90"/>
      <c r="H18" s="52"/>
      <c r="I18" s="53"/>
      <c r="J18" s="89"/>
      <c r="K18" s="50"/>
      <c r="L18" s="50"/>
      <c r="M18" s="50"/>
      <c r="N18" s="50"/>
      <c r="O18" s="50"/>
      <c r="P18" s="54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s="55" customFormat="1" ht="13.5" customHeight="1" x14ac:dyDescent="0.25">
      <c r="A19" s="47"/>
      <c r="B19" s="210">
        <v>1</v>
      </c>
      <c r="C19" s="213">
        <v>0.3</v>
      </c>
      <c r="D19" s="190">
        <v>0.08</v>
      </c>
      <c r="E19" s="190">
        <v>4.4999999999999998E-2</v>
      </c>
      <c r="F19" s="56" t="s">
        <v>79</v>
      </c>
      <c r="G19" s="57">
        <v>0</v>
      </c>
      <c r="H19" s="58"/>
      <c r="I19" s="59"/>
      <c r="J19" s="60"/>
      <c r="K19" s="190">
        <f>+IF(E19&lt;=0.12,(J21),(IF(E19&lt;0.16,((J20+2*J21+J22)/4),IF(E19&gt;=0.16,((J19+3*J20+2*J21+3*J22+J23)/10)))))</f>
        <v>0.11600000000000001</v>
      </c>
      <c r="L19" s="190">
        <f>ROUND(+(D18+D19)/2*(C19-C18),3)</f>
        <v>1.4999999999999999E-2</v>
      </c>
      <c r="M19" s="190">
        <f>ROUND(+K19*L19,4)</f>
        <v>1.6999999999999999E-3</v>
      </c>
      <c r="N19" s="193">
        <f>ROUND(+M19/$M$88*100,2)</f>
        <v>2.58</v>
      </c>
      <c r="O19" s="194"/>
      <c r="P19" s="195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s="55" customFormat="1" ht="13.5" customHeight="1" x14ac:dyDescent="0.25">
      <c r="A20" s="47"/>
      <c r="B20" s="211"/>
      <c r="C20" s="191"/>
      <c r="D20" s="191"/>
      <c r="E20" s="191"/>
      <c r="F20" s="61" t="s">
        <v>80</v>
      </c>
      <c r="G20" s="62" t="str">
        <f>IF(E19&lt;0.125,"NA",IF(0.125&lt;=E19,(0.2*E19)))</f>
        <v>NA</v>
      </c>
      <c r="H20" s="63"/>
      <c r="I20" s="64"/>
      <c r="J20" s="65"/>
      <c r="K20" s="191"/>
      <c r="L20" s="191"/>
      <c r="M20" s="191"/>
      <c r="N20" s="191"/>
      <c r="O20" s="191"/>
      <c r="P20" s="196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s="55" customFormat="1" ht="13.5" customHeight="1" x14ac:dyDescent="0.25">
      <c r="A21" s="47"/>
      <c r="B21" s="211"/>
      <c r="C21" s="191"/>
      <c r="D21" s="191"/>
      <c r="E21" s="191"/>
      <c r="F21" s="61" t="s">
        <v>81</v>
      </c>
      <c r="G21" s="62">
        <f>+E19*0.4</f>
        <v>1.7999999999999999E-2</v>
      </c>
      <c r="H21" s="63"/>
      <c r="I21" s="64"/>
      <c r="J21" s="65">
        <v>0.11600000000000001</v>
      </c>
      <c r="K21" s="191"/>
      <c r="L21" s="191"/>
      <c r="M21" s="191"/>
      <c r="N21" s="191"/>
      <c r="O21" s="191"/>
      <c r="P21" s="196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s="55" customFormat="1" ht="13.5" customHeight="1" x14ac:dyDescent="0.25">
      <c r="A22" s="47"/>
      <c r="B22" s="211"/>
      <c r="C22" s="191"/>
      <c r="D22" s="191"/>
      <c r="E22" s="191"/>
      <c r="F22" s="61" t="s">
        <v>82</v>
      </c>
      <c r="G22" s="62" t="str">
        <f>IF(E19&lt;0.125,"NA",IF(0.125&lt;=E19,(0.8*E19)))</f>
        <v>NA</v>
      </c>
      <c r="H22" s="63"/>
      <c r="I22" s="64"/>
      <c r="J22" s="65"/>
      <c r="K22" s="191"/>
      <c r="L22" s="191"/>
      <c r="M22" s="191"/>
      <c r="N22" s="191"/>
      <c r="O22" s="191"/>
      <c r="P22" s="196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s="55" customFormat="1" ht="13.5" customHeight="1" thickBot="1" x14ac:dyDescent="0.3">
      <c r="A23" s="47"/>
      <c r="B23" s="212"/>
      <c r="C23" s="192"/>
      <c r="D23" s="192"/>
      <c r="E23" s="192"/>
      <c r="F23" s="66" t="s">
        <v>83</v>
      </c>
      <c r="G23" s="67">
        <f>+E19</f>
        <v>4.4999999999999998E-2</v>
      </c>
      <c r="H23" s="68"/>
      <c r="I23" s="69"/>
      <c r="J23" s="70"/>
      <c r="K23" s="192"/>
      <c r="L23" s="192"/>
      <c r="M23" s="192"/>
      <c r="N23" s="192"/>
      <c r="O23" s="192"/>
      <c r="P23" s="19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s="55" customFormat="1" ht="13.5" customHeight="1" x14ac:dyDescent="0.25">
      <c r="A24" s="47"/>
      <c r="B24" s="210">
        <v>2</v>
      </c>
      <c r="C24" s="213">
        <f>+C19+$N$12</f>
        <v>0.6</v>
      </c>
      <c r="D24" s="190">
        <v>2.1000000000000001E-2</v>
      </c>
      <c r="E24" s="190">
        <v>3.5000000000000003E-2</v>
      </c>
      <c r="F24" s="56" t="s">
        <v>79</v>
      </c>
      <c r="G24" s="57">
        <v>0</v>
      </c>
      <c r="H24" s="58"/>
      <c r="I24" s="59"/>
      <c r="J24" s="60"/>
      <c r="K24" s="190">
        <f t="shared" ref="K24" si="0">+IF(E24&lt;=0.12,(J26),(IF(E24&lt;0.16,((J25+2*J26+J27)/4),IF(E24&gt;=0.16,((J24+3*J25+2*J26+3*J27+J28)/10)))))</f>
        <v>0.34699999999999998</v>
      </c>
      <c r="L24" s="190">
        <f>ROUND(+(D19+D24)/2*(C24-C19),3)</f>
        <v>1.4999999999999999E-2</v>
      </c>
      <c r="M24" s="190">
        <f t="shared" ref="M24" si="1">ROUND(+K24*L24,4)</f>
        <v>5.1999999999999998E-3</v>
      </c>
      <c r="N24" s="193">
        <f t="shared" ref="N24" si="2">ROUND(+M24/$M$88*100,2)</f>
        <v>7.88</v>
      </c>
      <c r="O24" s="194"/>
      <c r="P24" s="195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s="55" customFormat="1" ht="13.5" customHeight="1" x14ac:dyDescent="0.25">
      <c r="A25" s="47"/>
      <c r="B25" s="211"/>
      <c r="C25" s="191"/>
      <c r="D25" s="191"/>
      <c r="E25" s="191"/>
      <c r="F25" s="61" t="s">
        <v>80</v>
      </c>
      <c r="G25" s="62" t="str">
        <f t="shared" ref="G25" si="3">IF(E24&lt;0.125,"NA",IF(0.125&lt;=E24,(0.2*E24)))</f>
        <v>NA</v>
      </c>
      <c r="H25" s="63"/>
      <c r="I25" s="64"/>
      <c r="J25" s="65"/>
      <c r="K25" s="191"/>
      <c r="L25" s="191"/>
      <c r="M25" s="191"/>
      <c r="N25" s="191"/>
      <c r="O25" s="191"/>
      <c r="P25" s="196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s="55" customFormat="1" ht="13.5" customHeight="1" x14ac:dyDescent="0.25">
      <c r="A26" s="47"/>
      <c r="B26" s="211"/>
      <c r="C26" s="191"/>
      <c r="D26" s="191"/>
      <c r="E26" s="191"/>
      <c r="F26" s="61" t="s">
        <v>81</v>
      </c>
      <c r="G26" s="62">
        <f t="shared" ref="G26" si="4">+E24*0.4</f>
        <v>1.4000000000000002E-2</v>
      </c>
      <c r="H26" s="63"/>
      <c r="I26" s="64"/>
      <c r="J26" s="65">
        <v>0.34699999999999998</v>
      </c>
      <c r="K26" s="191"/>
      <c r="L26" s="191"/>
      <c r="M26" s="191"/>
      <c r="N26" s="191"/>
      <c r="O26" s="191"/>
      <c r="P26" s="196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s="55" customFormat="1" ht="13.5" customHeight="1" x14ac:dyDescent="0.25">
      <c r="A27" s="47"/>
      <c r="B27" s="211"/>
      <c r="C27" s="191"/>
      <c r="D27" s="191"/>
      <c r="E27" s="191"/>
      <c r="F27" s="61" t="s">
        <v>82</v>
      </c>
      <c r="G27" s="62" t="str">
        <f t="shared" ref="G27" si="5">IF(E24&lt;0.125,"NA",IF(0.125&lt;=E24,(0.8*E24)))</f>
        <v>NA</v>
      </c>
      <c r="H27" s="63"/>
      <c r="I27" s="64"/>
      <c r="J27" s="65"/>
      <c r="K27" s="191"/>
      <c r="L27" s="191"/>
      <c r="M27" s="191"/>
      <c r="N27" s="191"/>
      <c r="O27" s="191"/>
      <c r="P27" s="196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s="55" customFormat="1" ht="13.5" customHeight="1" thickBot="1" x14ac:dyDescent="0.3">
      <c r="A28" s="47"/>
      <c r="B28" s="212"/>
      <c r="C28" s="192"/>
      <c r="D28" s="192"/>
      <c r="E28" s="192"/>
      <c r="F28" s="66" t="s">
        <v>83</v>
      </c>
      <c r="G28" s="67">
        <f t="shared" ref="G28" si="6">+E24</f>
        <v>3.5000000000000003E-2</v>
      </c>
      <c r="H28" s="68"/>
      <c r="I28" s="69"/>
      <c r="J28" s="70"/>
      <c r="K28" s="192"/>
      <c r="L28" s="192"/>
      <c r="M28" s="192"/>
      <c r="N28" s="192"/>
      <c r="O28" s="192"/>
      <c r="P28" s="19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s="55" customFormat="1" ht="13.5" customHeight="1" x14ac:dyDescent="0.25">
      <c r="A29" s="47"/>
      <c r="B29" s="210">
        <v>3</v>
      </c>
      <c r="C29" s="213">
        <f>+C24+$N$12</f>
        <v>0.89999999999999991</v>
      </c>
      <c r="D29" s="190">
        <v>0.05</v>
      </c>
      <c r="E29" s="190">
        <v>1.6E-2</v>
      </c>
      <c r="F29" s="56" t="s">
        <v>79</v>
      </c>
      <c r="G29" s="57">
        <v>0</v>
      </c>
      <c r="H29" s="58"/>
      <c r="I29" s="59"/>
      <c r="J29" s="60"/>
      <c r="K29" s="190">
        <f t="shared" ref="K29" si="7">+IF(E29&lt;=0.12,(J31),(IF(E29&lt;0.16,((J30+2*J31+J32)/4),IF(E29&gt;=0.16,((J29+3*J30+2*J31+3*J32+J33)/10)))))</f>
        <v>0.44700000000000001</v>
      </c>
      <c r="L29" s="190">
        <f t="shared" ref="L29" si="8">ROUND(+(D24+D29)/2*(C29-C24),3)</f>
        <v>1.0999999999999999E-2</v>
      </c>
      <c r="M29" s="190">
        <f t="shared" ref="M29" si="9">ROUND(+K29*L29,4)</f>
        <v>4.8999999999999998E-3</v>
      </c>
      <c r="N29" s="193">
        <f t="shared" ref="N29" si="10">ROUND(+M29/$M$88*100,2)</f>
        <v>7.42</v>
      </c>
      <c r="O29" s="194"/>
      <c r="P29" s="195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s="55" customFormat="1" ht="13.5" customHeight="1" x14ac:dyDescent="0.25">
      <c r="A30" s="47"/>
      <c r="B30" s="211"/>
      <c r="C30" s="191"/>
      <c r="D30" s="191"/>
      <c r="E30" s="191"/>
      <c r="F30" s="61" t="s">
        <v>80</v>
      </c>
      <c r="G30" s="62" t="str">
        <f t="shared" ref="G30" si="11">IF(E29&lt;0.125,"NA",IF(0.125&lt;=E29,(0.2*E29)))</f>
        <v>NA</v>
      </c>
      <c r="H30" s="63"/>
      <c r="I30" s="64"/>
      <c r="J30" s="65"/>
      <c r="K30" s="191"/>
      <c r="L30" s="191"/>
      <c r="M30" s="191"/>
      <c r="N30" s="191"/>
      <c r="O30" s="191"/>
      <c r="P30" s="196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s="55" customFormat="1" ht="13.5" customHeight="1" x14ac:dyDescent="0.25">
      <c r="A31" s="47"/>
      <c r="B31" s="211"/>
      <c r="C31" s="191"/>
      <c r="D31" s="191"/>
      <c r="E31" s="191"/>
      <c r="F31" s="61" t="s">
        <v>81</v>
      </c>
      <c r="G31" s="62">
        <f t="shared" ref="G31" si="12">+E29*0.4</f>
        <v>6.4000000000000003E-3</v>
      </c>
      <c r="H31" s="63"/>
      <c r="I31" s="64"/>
      <c r="J31" s="65">
        <v>0.44700000000000001</v>
      </c>
      <c r="K31" s="191"/>
      <c r="L31" s="191"/>
      <c r="M31" s="191"/>
      <c r="N31" s="191"/>
      <c r="O31" s="191"/>
      <c r="P31" s="196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s="55" customFormat="1" ht="13.5" customHeight="1" x14ac:dyDescent="0.25">
      <c r="A32" s="47"/>
      <c r="B32" s="211"/>
      <c r="C32" s="191"/>
      <c r="D32" s="191"/>
      <c r="E32" s="191"/>
      <c r="F32" s="61" t="s">
        <v>82</v>
      </c>
      <c r="G32" s="62" t="str">
        <f t="shared" ref="G32" si="13">IF(E29&lt;0.125,"NA",IF(0.125&lt;=E29,(0.8*E29)))</f>
        <v>NA</v>
      </c>
      <c r="H32" s="63"/>
      <c r="I32" s="64"/>
      <c r="J32" s="65"/>
      <c r="K32" s="191"/>
      <c r="L32" s="191"/>
      <c r="M32" s="191"/>
      <c r="N32" s="191"/>
      <c r="O32" s="191"/>
      <c r="P32" s="196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s="55" customFormat="1" ht="13.5" customHeight="1" thickBot="1" x14ac:dyDescent="0.3">
      <c r="A33" s="47"/>
      <c r="B33" s="212"/>
      <c r="C33" s="192"/>
      <c r="D33" s="192"/>
      <c r="E33" s="192"/>
      <c r="F33" s="66" t="s">
        <v>83</v>
      </c>
      <c r="G33" s="67">
        <f t="shared" ref="G33" si="14">+E29</f>
        <v>1.6E-2</v>
      </c>
      <c r="H33" s="68"/>
      <c r="I33" s="69"/>
      <c r="J33" s="70"/>
      <c r="K33" s="192"/>
      <c r="L33" s="192"/>
      <c r="M33" s="192"/>
      <c r="N33" s="192"/>
      <c r="O33" s="192"/>
      <c r="P33" s="19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s="55" customFormat="1" ht="13.5" customHeight="1" x14ac:dyDescent="0.25">
      <c r="A34" s="47"/>
      <c r="B34" s="210">
        <v>4</v>
      </c>
      <c r="C34" s="213">
        <f t="shared" ref="C34" si="15">+C29+$N$12</f>
        <v>1.2</v>
      </c>
      <c r="D34" s="190">
        <v>3.1E-2</v>
      </c>
      <c r="E34" s="190">
        <v>2.1000000000000001E-2</v>
      </c>
      <c r="F34" s="56" t="s">
        <v>79</v>
      </c>
      <c r="G34" s="57">
        <v>0</v>
      </c>
      <c r="H34" s="58"/>
      <c r="I34" s="59"/>
      <c r="J34" s="60"/>
      <c r="K34" s="190">
        <f t="shared" ref="K34" si="16">+IF(E34&lt;=0.12,(J36),(IF(E34&lt;0.16,((J35+2*J36+J37)/4),IF(E34&gt;=0.16,((J34+3*J35+2*J36+3*J37+J38)/10)))))</f>
        <v>0.65800000000000003</v>
      </c>
      <c r="L34" s="190">
        <f>ROUND(+(D29+D34)/2*(C34-C29),3)</f>
        <v>1.2E-2</v>
      </c>
      <c r="M34" s="190">
        <f t="shared" ref="M34" si="17">ROUND(+K34*L34,4)</f>
        <v>7.9000000000000008E-3</v>
      </c>
      <c r="N34" s="193">
        <f t="shared" ref="N34" si="18">ROUND(+M34/$M$88*100,2)</f>
        <v>11.97</v>
      </c>
      <c r="O34" s="194"/>
      <c r="P34" s="195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s="55" customFormat="1" ht="13.5" customHeight="1" x14ac:dyDescent="0.25">
      <c r="A35" s="47"/>
      <c r="B35" s="211"/>
      <c r="C35" s="191"/>
      <c r="D35" s="191"/>
      <c r="E35" s="191"/>
      <c r="F35" s="61" t="s">
        <v>80</v>
      </c>
      <c r="G35" s="62" t="str">
        <f t="shared" ref="G35" si="19">IF(E34&lt;0.125,"NA",IF(0.125&lt;=E34,(0.2*E34)))</f>
        <v>NA</v>
      </c>
      <c r="H35" s="63"/>
      <c r="I35" s="64"/>
      <c r="J35" s="65"/>
      <c r="K35" s="191"/>
      <c r="L35" s="191"/>
      <c r="M35" s="191"/>
      <c r="N35" s="191"/>
      <c r="O35" s="191"/>
      <c r="P35" s="196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s="55" customFormat="1" ht="13.5" customHeight="1" x14ac:dyDescent="0.25">
      <c r="A36" s="47"/>
      <c r="B36" s="211"/>
      <c r="C36" s="191"/>
      <c r="D36" s="191"/>
      <c r="E36" s="191"/>
      <c r="F36" s="61" t="s">
        <v>81</v>
      </c>
      <c r="G36" s="62">
        <f t="shared" ref="G36" si="20">+E34*0.4</f>
        <v>8.4000000000000012E-3</v>
      </c>
      <c r="H36" s="63"/>
      <c r="I36" s="64"/>
      <c r="J36" s="65">
        <v>0.65800000000000003</v>
      </c>
      <c r="K36" s="191"/>
      <c r="L36" s="191"/>
      <c r="M36" s="191"/>
      <c r="N36" s="191"/>
      <c r="O36" s="191"/>
      <c r="P36" s="196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s="55" customFormat="1" ht="13.5" customHeight="1" x14ac:dyDescent="0.25">
      <c r="A37" s="47"/>
      <c r="B37" s="211"/>
      <c r="C37" s="191"/>
      <c r="D37" s="191"/>
      <c r="E37" s="191"/>
      <c r="F37" s="61" t="s">
        <v>82</v>
      </c>
      <c r="G37" s="62" t="str">
        <f t="shared" ref="G37" si="21">IF(E34&lt;0.125,"NA",IF(0.125&lt;=E34,(0.8*E34)))</f>
        <v>NA</v>
      </c>
      <c r="H37" s="63"/>
      <c r="I37" s="64"/>
      <c r="J37" s="65"/>
      <c r="K37" s="191"/>
      <c r="L37" s="191"/>
      <c r="M37" s="191"/>
      <c r="N37" s="191"/>
      <c r="O37" s="191"/>
      <c r="P37" s="196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s="55" customFormat="1" ht="13.5" customHeight="1" thickBot="1" x14ac:dyDescent="0.3">
      <c r="A38" s="47"/>
      <c r="B38" s="212"/>
      <c r="C38" s="192"/>
      <c r="D38" s="192"/>
      <c r="E38" s="192"/>
      <c r="F38" s="66" t="s">
        <v>83</v>
      </c>
      <c r="G38" s="67">
        <f t="shared" ref="G38" si="22">+E34</f>
        <v>2.1000000000000001E-2</v>
      </c>
      <c r="H38" s="68"/>
      <c r="I38" s="69"/>
      <c r="J38" s="70"/>
      <c r="K38" s="192"/>
      <c r="L38" s="192"/>
      <c r="M38" s="192"/>
      <c r="N38" s="192"/>
      <c r="O38" s="192"/>
      <c r="P38" s="19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s="55" customFormat="1" ht="13.5" customHeight="1" x14ac:dyDescent="0.25">
      <c r="A39" s="47"/>
      <c r="B39" s="210">
        <v>5</v>
      </c>
      <c r="C39" s="213">
        <f t="shared" ref="C39" si="23">+C34+$N$12</f>
        <v>1.5</v>
      </c>
      <c r="D39" s="190">
        <v>1.0999999999999999E-2</v>
      </c>
      <c r="E39" s="190">
        <v>2.1000000000000001E-2</v>
      </c>
      <c r="F39" s="56" t="s">
        <v>79</v>
      </c>
      <c r="G39" s="57">
        <v>0</v>
      </c>
      <c r="H39" s="58"/>
      <c r="I39" s="59"/>
      <c r="J39" s="60"/>
      <c r="K39" s="190">
        <f t="shared" ref="K39" si="24">+IF(E39&lt;=0.12,(J41),(IF(E39&lt;0.16,((J40+2*J41+J42)/4),IF(E39&gt;=0.16,((J39+3*J40+2*J41+3*J42+J43)/10)))))</f>
        <v>0.79900000000000004</v>
      </c>
      <c r="L39" s="190">
        <f t="shared" ref="L39" si="25">ROUND(+(D34+D39)/2*(C39-C34),3)</f>
        <v>6.0000000000000001E-3</v>
      </c>
      <c r="M39" s="190">
        <f t="shared" ref="M39" si="26">ROUND(+K39*L39,4)</f>
        <v>4.7999999999999996E-3</v>
      </c>
      <c r="N39" s="193">
        <f t="shared" ref="N39" si="27">ROUND(+M39/$M$88*100,2)</f>
        <v>7.27</v>
      </c>
      <c r="O39" s="194"/>
      <c r="P39" s="195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s="55" customFormat="1" ht="13.5" customHeight="1" x14ac:dyDescent="0.25">
      <c r="A40" s="47"/>
      <c r="B40" s="211"/>
      <c r="C40" s="191"/>
      <c r="D40" s="191"/>
      <c r="E40" s="191"/>
      <c r="F40" s="61" t="s">
        <v>80</v>
      </c>
      <c r="G40" s="62" t="str">
        <f t="shared" ref="G40" si="28">IF(E39&lt;0.125,"NA",IF(0.125&lt;=E39,(0.2*E39)))</f>
        <v>NA</v>
      </c>
      <c r="H40" s="63"/>
      <c r="I40" s="64"/>
      <c r="J40" s="65"/>
      <c r="K40" s="191"/>
      <c r="L40" s="191"/>
      <c r="M40" s="191"/>
      <c r="N40" s="191"/>
      <c r="O40" s="191"/>
      <c r="P40" s="196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s="55" customFormat="1" ht="13.5" customHeight="1" x14ac:dyDescent="0.25">
      <c r="A41" s="47"/>
      <c r="B41" s="211"/>
      <c r="C41" s="191"/>
      <c r="D41" s="191"/>
      <c r="E41" s="191"/>
      <c r="F41" s="61" t="s">
        <v>81</v>
      </c>
      <c r="G41" s="62">
        <f t="shared" ref="G41" si="29">+E39*0.4</f>
        <v>8.4000000000000012E-3</v>
      </c>
      <c r="H41" s="63"/>
      <c r="I41" s="64"/>
      <c r="J41" s="65">
        <v>0.79900000000000004</v>
      </c>
      <c r="K41" s="191"/>
      <c r="L41" s="191"/>
      <c r="M41" s="191"/>
      <c r="N41" s="191"/>
      <c r="O41" s="191"/>
      <c r="P41" s="196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s="55" customFormat="1" ht="13.5" customHeight="1" x14ac:dyDescent="0.25">
      <c r="A42" s="47"/>
      <c r="B42" s="211"/>
      <c r="C42" s="191"/>
      <c r="D42" s="191"/>
      <c r="E42" s="191"/>
      <c r="F42" s="61" t="s">
        <v>82</v>
      </c>
      <c r="G42" s="62" t="str">
        <f t="shared" ref="G42" si="30">IF(E39&lt;0.125,"NA",IF(0.125&lt;=E39,(0.8*E39)))</f>
        <v>NA</v>
      </c>
      <c r="H42" s="63"/>
      <c r="I42" s="64"/>
      <c r="J42" s="65"/>
      <c r="K42" s="191"/>
      <c r="L42" s="191"/>
      <c r="M42" s="191"/>
      <c r="N42" s="191"/>
      <c r="O42" s="191"/>
      <c r="P42" s="196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s="55" customFormat="1" ht="13.5" customHeight="1" thickBot="1" x14ac:dyDescent="0.3">
      <c r="A43" s="47"/>
      <c r="B43" s="212"/>
      <c r="C43" s="192"/>
      <c r="D43" s="192"/>
      <c r="E43" s="192"/>
      <c r="F43" s="66" t="s">
        <v>83</v>
      </c>
      <c r="G43" s="67">
        <f t="shared" ref="G43" si="31">+E39</f>
        <v>2.1000000000000001E-2</v>
      </c>
      <c r="H43" s="68"/>
      <c r="I43" s="69"/>
      <c r="J43" s="70"/>
      <c r="K43" s="192"/>
      <c r="L43" s="192"/>
      <c r="M43" s="192"/>
      <c r="N43" s="192"/>
      <c r="O43" s="192"/>
      <c r="P43" s="19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s="55" customFormat="1" ht="13.5" customHeight="1" x14ac:dyDescent="0.25">
      <c r="A44" s="47"/>
      <c r="B44" s="210">
        <v>6</v>
      </c>
      <c r="C44" s="213">
        <f t="shared" ref="C44" si="32">+C39+$N$12</f>
        <v>1.8</v>
      </c>
      <c r="D44" s="190">
        <v>2.5000000000000001E-2</v>
      </c>
      <c r="E44" s="190">
        <v>5.6000000000000001E-2</v>
      </c>
      <c r="F44" s="56" t="s">
        <v>79</v>
      </c>
      <c r="G44" s="57">
        <v>0</v>
      </c>
      <c r="H44" s="58"/>
      <c r="I44" s="59"/>
      <c r="J44" s="60"/>
      <c r="K44" s="190">
        <f t="shared" ref="K44" si="33">+IF(E44&lt;=0.12,(J46),(IF(E44&lt;0.16,((J45+2*J46+J47)/4),IF(E44&gt;=0.16,((J44+3*J45+2*J46+3*J47+J48)/10)))))</f>
        <v>1.155</v>
      </c>
      <c r="L44" s="190">
        <f t="shared" ref="L44" si="34">ROUND(+(D39+D44)/2*(C44-C39),3)</f>
        <v>5.0000000000000001E-3</v>
      </c>
      <c r="M44" s="190">
        <f t="shared" ref="M44" si="35">ROUND(+K44*L44,4)</f>
        <v>5.7999999999999996E-3</v>
      </c>
      <c r="N44" s="193">
        <f t="shared" ref="N44" si="36">ROUND(+M44/$M$88*100,2)</f>
        <v>8.7899999999999991</v>
      </c>
      <c r="O44" s="194"/>
      <c r="P44" s="195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s="55" customFormat="1" ht="13.5" customHeight="1" x14ac:dyDescent="0.25">
      <c r="A45" s="47"/>
      <c r="B45" s="211"/>
      <c r="C45" s="191"/>
      <c r="D45" s="191"/>
      <c r="E45" s="191"/>
      <c r="F45" s="61" t="s">
        <v>80</v>
      </c>
      <c r="G45" s="62" t="str">
        <f t="shared" ref="G45" si="37">IF(E44&lt;0.125,"NA",IF(0.125&lt;=E44,(0.2*E44)))</f>
        <v>NA</v>
      </c>
      <c r="H45" s="63"/>
      <c r="I45" s="64"/>
      <c r="J45" s="65"/>
      <c r="K45" s="191"/>
      <c r="L45" s="191"/>
      <c r="M45" s="191"/>
      <c r="N45" s="191"/>
      <c r="O45" s="191"/>
      <c r="P45" s="196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s="55" customFormat="1" ht="13.5" customHeight="1" x14ac:dyDescent="0.25">
      <c r="A46" s="47"/>
      <c r="B46" s="211"/>
      <c r="C46" s="191"/>
      <c r="D46" s="191"/>
      <c r="E46" s="191"/>
      <c r="F46" s="61" t="s">
        <v>81</v>
      </c>
      <c r="G46" s="62">
        <f t="shared" ref="G46" si="38">+E44*0.4</f>
        <v>2.2400000000000003E-2</v>
      </c>
      <c r="H46" s="63"/>
      <c r="I46" s="64"/>
      <c r="J46" s="65">
        <v>1.155</v>
      </c>
      <c r="K46" s="191"/>
      <c r="L46" s="191"/>
      <c r="M46" s="191"/>
      <c r="N46" s="191"/>
      <c r="O46" s="191"/>
      <c r="P46" s="196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s="55" customFormat="1" ht="13.5" customHeight="1" x14ac:dyDescent="0.25">
      <c r="A47" s="47"/>
      <c r="B47" s="211"/>
      <c r="C47" s="191"/>
      <c r="D47" s="191"/>
      <c r="E47" s="191"/>
      <c r="F47" s="61" t="s">
        <v>82</v>
      </c>
      <c r="G47" s="62" t="str">
        <f t="shared" ref="G47" si="39">IF(E44&lt;0.125,"NA",IF(0.125&lt;=E44,(0.8*E44)))</f>
        <v>NA</v>
      </c>
      <c r="H47" s="63"/>
      <c r="I47" s="64"/>
      <c r="J47" s="65"/>
      <c r="K47" s="191"/>
      <c r="L47" s="191"/>
      <c r="M47" s="191"/>
      <c r="N47" s="191"/>
      <c r="O47" s="191"/>
      <c r="P47" s="196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s="55" customFormat="1" ht="13.5" customHeight="1" thickBot="1" x14ac:dyDescent="0.3">
      <c r="A48" s="47"/>
      <c r="B48" s="212"/>
      <c r="C48" s="192"/>
      <c r="D48" s="192"/>
      <c r="E48" s="192"/>
      <c r="F48" s="66" t="s">
        <v>83</v>
      </c>
      <c r="G48" s="67">
        <f t="shared" ref="G48" si="40">+E44</f>
        <v>5.6000000000000001E-2</v>
      </c>
      <c r="H48" s="68"/>
      <c r="I48" s="69"/>
      <c r="J48" s="70"/>
      <c r="K48" s="192"/>
      <c r="L48" s="192"/>
      <c r="M48" s="192"/>
      <c r="N48" s="192"/>
      <c r="O48" s="192"/>
      <c r="P48" s="19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s="55" customFormat="1" ht="13.5" customHeight="1" x14ac:dyDescent="0.25">
      <c r="A49" s="47"/>
      <c r="B49" s="210">
        <v>7</v>
      </c>
      <c r="C49" s="213">
        <f t="shared" ref="C49" si="41">+C44+$N$12</f>
        <v>2.1</v>
      </c>
      <c r="D49" s="190">
        <v>1.0999999999999999E-2</v>
      </c>
      <c r="E49" s="190">
        <v>2.1000000000000001E-2</v>
      </c>
      <c r="F49" s="56" t="s">
        <v>79</v>
      </c>
      <c r="G49" s="57">
        <v>0</v>
      </c>
      <c r="H49" s="58"/>
      <c r="I49" s="59"/>
      <c r="J49" s="60"/>
      <c r="K49" s="190">
        <f t="shared" ref="K49" si="42">+IF(E49&lt;=0.12,(J51),(IF(E49&lt;0.16,((J50+2*J51+J52)/4),IF(E49&gt;=0.16,((J49+3*J50+2*J51+3*J52+J53)/10)))))</f>
        <v>0.89300000000000002</v>
      </c>
      <c r="L49" s="190">
        <f t="shared" ref="L49" si="43">ROUND(+(D44+D49)/2*(C49-C44),3)</f>
        <v>5.0000000000000001E-3</v>
      </c>
      <c r="M49" s="190">
        <f t="shared" ref="M49" si="44">ROUND(+K49*L49,4)</f>
        <v>4.4999999999999997E-3</v>
      </c>
      <c r="N49" s="193">
        <f t="shared" ref="N49" si="45">ROUND(+M49/$M$88*100,2)</f>
        <v>6.82</v>
      </c>
      <c r="O49" s="194"/>
      <c r="P49" s="195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s="55" customFormat="1" ht="13.5" customHeight="1" x14ac:dyDescent="0.25">
      <c r="A50" s="47"/>
      <c r="B50" s="211"/>
      <c r="C50" s="191"/>
      <c r="D50" s="191"/>
      <c r="E50" s="191"/>
      <c r="F50" s="61" t="s">
        <v>80</v>
      </c>
      <c r="G50" s="62" t="str">
        <f t="shared" ref="G50" si="46">IF(E49&lt;0.125,"NA",IF(0.125&lt;=E49,(0.2*E49)))</f>
        <v>NA</v>
      </c>
      <c r="H50" s="63"/>
      <c r="I50" s="64"/>
      <c r="J50" s="65"/>
      <c r="K50" s="191"/>
      <c r="L50" s="191"/>
      <c r="M50" s="191"/>
      <c r="N50" s="191"/>
      <c r="O50" s="191"/>
      <c r="P50" s="196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s="55" customFormat="1" ht="13.5" customHeight="1" x14ac:dyDescent="0.25">
      <c r="A51" s="47"/>
      <c r="B51" s="211"/>
      <c r="C51" s="191"/>
      <c r="D51" s="191"/>
      <c r="E51" s="191"/>
      <c r="F51" s="61" t="s">
        <v>81</v>
      </c>
      <c r="G51" s="62">
        <f t="shared" ref="G51" si="47">+E49*0.4</f>
        <v>8.4000000000000012E-3</v>
      </c>
      <c r="H51" s="63"/>
      <c r="I51" s="64"/>
      <c r="J51" s="65">
        <v>0.89300000000000002</v>
      </c>
      <c r="K51" s="191"/>
      <c r="L51" s="191"/>
      <c r="M51" s="191"/>
      <c r="N51" s="191"/>
      <c r="O51" s="191"/>
      <c r="P51" s="196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s="55" customFormat="1" ht="13.5" customHeight="1" x14ac:dyDescent="0.25">
      <c r="A52" s="47"/>
      <c r="B52" s="211"/>
      <c r="C52" s="191"/>
      <c r="D52" s="191"/>
      <c r="E52" s="191"/>
      <c r="F52" s="61" t="s">
        <v>82</v>
      </c>
      <c r="G52" s="62" t="str">
        <f t="shared" ref="G52" si="48">IF(E49&lt;0.125,"NA",IF(0.125&lt;=E49,(0.8*E49)))</f>
        <v>NA</v>
      </c>
      <c r="H52" s="63"/>
      <c r="I52" s="64"/>
      <c r="J52" s="65"/>
      <c r="K52" s="191"/>
      <c r="L52" s="191"/>
      <c r="M52" s="191"/>
      <c r="N52" s="191"/>
      <c r="O52" s="191"/>
      <c r="P52" s="196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s="55" customFormat="1" ht="13.5" customHeight="1" thickBot="1" x14ac:dyDescent="0.3">
      <c r="A53" s="47"/>
      <c r="B53" s="212"/>
      <c r="C53" s="192"/>
      <c r="D53" s="192"/>
      <c r="E53" s="192"/>
      <c r="F53" s="66" t="s">
        <v>83</v>
      </c>
      <c r="G53" s="67">
        <f t="shared" ref="G53" si="49">+E49</f>
        <v>2.1000000000000001E-2</v>
      </c>
      <c r="H53" s="68"/>
      <c r="I53" s="69"/>
      <c r="J53" s="70"/>
      <c r="K53" s="192"/>
      <c r="L53" s="192"/>
      <c r="M53" s="192"/>
      <c r="N53" s="192"/>
      <c r="O53" s="192"/>
      <c r="P53" s="19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s="55" customFormat="1" ht="13.5" customHeight="1" x14ac:dyDescent="0.25">
      <c r="A54" s="47"/>
      <c r="B54" s="210">
        <v>8</v>
      </c>
      <c r="C54" s="213">
        <f t="shared" ref="C54" si="50">+C49+$N$12</f>
        <v>2.4</v>
      </c>
      <c r="D54" s="190">
        <v>3.1E-2</v>
      </c>
      <c r="E54" s="190">
        <v>2.5999999999999999E-2</v>
      </c>
      <c r="F54" s="56" t="s">
        <v>79</v>
      </c>
      <c r="G54" s="57">
        <v>0</v>
      </c>
      <c r="H54" s="58"/>
      <c r="I54" s="59"/>
      <c r="J54" s="60"/>
      <c r="K54" s="190">
        <f t="shared" ref="K54" si="51">+IF(E54&lt;=0.12,(J56),(IF(E54&lt;0.16,((J55+2*J56+J57)/4),IF(E54&gt;=0.16,((J54+3*J55+2*J56+3*J57+J58)/10)))))</f>
        <v>0.124</v>
      </c>
      <c r="L54" s="190">
        <f t="shared" ref="L54" si="52">ROUND(+(D49+D54)/2*(C54-C49),3)</f>
        <v>6.0000000000000001E-3</v>
      </c>
      <c r="M54" s="190">
        <f t="shared" ref="M54" si="53">ROUND(+K54*L54,4)</f>
        <v>6.9999999999999999E-4</v>
      </c>
      <c r="N54" s="193">
        <f t="shared" ref="N54" si="54">ROUND(+M54/$M$88*100,2)</f>
        <v>1.06</v>
      </c>
      <c r="O54" s="194"/>
      <c r="P54" s="195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s="55" customFormat="1" ht="13.5" customHeight="1" x14ac:dyDescent="0.25">
      <c r="A55" s="47"/>
      <c r="B55" s="211"/>
      <c r="C55" s="191"/>
      <c r="D55" s="191"/>
      <c r="E55" s="191"/>
      <c r="F55" s="61" t="s">
        <v>80</v>
      </c>
      <c r="G55" s="62" t="str">
        <f t="shared" ref="G55" si="55">IF(E54&lt;0.125,"NA",IF(0.125&lt;=E54,(0.2*E54)))</f>
        <v>NA</v>
      </c>
      <c r="H55" s="63"/>
      <c r="I55" s="64"/>
      <c r="J55" s="65"/>
      <c r="K55" s="191"/>
      <c r="L55" s="191"/>
      <c r="M55" s="191"/>
      <c r="N55" s="191"/>
      <c r="O55" s="191"/>
      <c r="P55" s="196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s="55" customFormat="1" ht="13.5" customHeight="1" x14ac:dyDescent="0.25">
      <c r="A56" s="47"/>
      <c r="B56" s="211"/>
      <c r="C56" s="191"/>
      <c r="D56" s="191"/>
      <c r="E56" s="191"/>
      <c r="F56" s="61" t="s">
        <v>81</v>
      </c>
      <c r="G56" s="62">
        <f t="shared" ref="G56" si="56">+E54*0.4</f>
        <v>1.04E-2</v>
      </c>
      <c r="H56" s="63"/>
      <c r="I56" s="64"/>
      <c r="J56" s="65">
        <v>0.124</v>
      </c>
      <c r="K56" s="191"/>
      <c r="L56" s="191"/>
      <c r="M56" s="191"/>
      <c r="N56" s="191"/>
      <c r="O56" s="191"/>
      <c r="P56" s="196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s="55" customFormat="1" ht="13.5" customHeight="1" x14ac:dyDescent="0.25">
      <c r="A57" s="47"/>
      <c r="B57" s="211"/>
      <c r="C57" s="191"/>
      <c r="D57" s="191"/>
      <c r="E57" s="191"/>
      <c r="F57" s="61" t="s">
        <v>82</v>
      </c>
      <c r="G57" s="62" t="str">
        <f t="shared" ref="G57" si="57">IF(E54&lt;0.125,"NA",IF(0.125&lt;=E54,(0.8*E54)))</f>
        <v>NA</v>
      </c>
      <c r="H57" s="63"/>
      <c r="I57" s="64"/>
      <c r="J57" s="65"/>
      <c r="K57" s="191"/>
      <c r="L57" s="191"/>
      <c r="M57" s="191"/>
      <c r="N57" s="191"/>
      <c r="O57" s="191"/>
      <c r="P57" s="196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s="55" customFormat="1" ht="13.5" customHeight="1" thickBot="1" x14ac:dyDescent="0.3">
      <c r="A58" s="47"/>
      <c r="B58" s="212"/>
      <c r="C58" s="192"/>
      <c r="D58" s="192"/>
      <c r="E58" s="192"/>
      <c r="F58" s="66" t="s">
        <v>83</v>
      </c>
      <c r="G58" s="67">
        <f t="shared" ref="G58" si="58">+E54</f>
        <v>2.5999999999999999E-2</v>
      </c>
      <c r="H58" s="68"/>
      <c r="I58" s="69"/>
      <c r="J58" s="70"/>
      <c r="K58" s="192"/>
      <c r="L58" s="192"/>
      <c r="M58" s="192"/>
      <c r="N58" s="192"/>
      <c r="O58" s="192"/>
      <c r="P58" s="19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s="55" customFormat="1" ht="13.5" customHeight="1" x14ac:dyDescent="0.25">
      <c r="A59" s="47"/>
      <c r="B59" s="210">
        <v>9</v>
      </c>
      <c r="C59" s="213">
        <f t="shared" ref="C59" si="59">+C54+$N$12</f>
        <v>2.6999999999999997</v>
      </c>
      <c r="D59" s="190">
        <v>0.45</v>
      </c>
      <c r="E59" s="190">
        <v>3.1E-2</v>
      </c>
      <c r="F59" s="56" t="s">
        <v>79</v>
      </c>
      <c r="G59" s="57">
        <v>0</v>
      </c>
      <c r="H59" s="58"/>
      <c r="I59" s="59"/>
      <c r="J59" s="60"/>
      <c r="K59" s="190">
        <f t="shared" ref="K59" si="60">+IF(E59&lt;=0.12,(J61),(IF(E59&lt;0.16,((J60+2*J61+J62)/4),IF(E59&gt;=0.16,((J59+3*J60+2*J61+3*J62+J63)/10)))))</f>
        <v>0.40600000000000003</v>
      </c>
      <c r="L59" s="190">
        <f t="shared" ref="L59" si="61">ROUND(+(D54+D59)/2*(C59-C54),3)</f>
        <v>7.1999999999999995E-2</v>
      </c>
      <c r="M59" s="190">
        <f t="shared" ref="M59" si="62">ROUND(+K59*L59,4)</f>
        <v>2.92E-2</v>
      </c>
      <c r="N59" s="193">
        <f t="shared" ref="N59" si="63">ROUND(+M59/$M$88*100,2)</f>
        <v>44.24</v>
      </c>
      <c r="O59" s="194"/>
      <c r="P59" s="195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s="55" customFormat="1" ht="13.5" customHeight="1" x14ac:dyDescent="0.25">
      <c r="A60" s="47"/>
      <c r="B60" s="211"/>
      <c r="C60" s="191"/>
      <c r="D60" s="191"/>
      <c r="E60" s="191"/>
      <c r="F60" s="61" t="s">
        <v>80</v>
      </c>
      <c r="G60" s="62" t="str">
        <f t="shared" ref="G60" si="64">IF(E59&lt;0.125,"NA",IF(0.125&lt;=E59,(0.2*E59)))</f>
        <v>NA</v>
      </c>
      <c r="H60" s="63"/>
      <c r="I60" s="64"/>
      <c r="J60" s="65"/>
      <c r="K60" s="191"/>
      <c r="L60" s="191"/>
      <c r="M60" s="191"/>
      <c r="N60" s="191"/>
      <c r="O60" s="191"/>
      <c r="P60" s="196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s="55" customFormat="1" ht="13.5" customHeight="1" x14ac:dyDescent="0.25">
      <c r="A61" s="47"/>
      <c r="B61" s="211"/>
      <c r="C61" s="191"/>
      <c r="D61" s="191"/>
      <c r="E61" s="191"/>
      <c r="F61" s="61" t="s">
        <v>81</v>
      </c>
      <c r="G61" s="62">
        <f t="shared" ref="G61" si="65">+E59*0.4</f>
        <v>1.2400000000000001E-2</v>
      </c>
      <c r="H61" s="63"/>
      <c r="I61" s="64"/>
      <c r="J61" s="65">
        <v>0.40600000000000003</v>
      </c>
      <c r="K61" s="191"/>
      <c r="L61" s="191"/>
      <c r="M61" s="191"/>
      <c r="N61" s="191"/>
      <c r="O61" s="191"/>
      <c r="P61" s="196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s="55" customFormat="1" ht="13.5" customHeight="1" x14ac:dyDescent="0.25">
      <c r="A62" s="47"/>
      <c r="B62" s="211"/>
      <c r="C62" s="191"/>
      <c r="D62" s="191"/>
      <c r="E62" s="191"/>
      <c r="F62" s="61" t="s">
        <v>82</v>
      </c>
      <c r="G62" s="62" t="str">
        <f t="shared" ref="G62" si="66">IF(E59&lt;0.125,"NA",IF(0.125&lt;=E59,(0.8*E59)))</f>
        <v>NA</v>
      </c>
      <c r="H62" s="63"/>
      <c r="I62" s="64"/>
      <c r="J62" s="65"/>
      <c r="K62" s="191"/>
      <c r="L62" s="191"/>
      <c r="M62" s="191"/>
      <c r="N62" s="191"/>
      <c r="O62" s="191"/>
      <c r="P62" s="196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s="55" customFormat="1" ht="13.5" customHeight="1" thickBot="1" x14ac:dyDescent="0.3">
      <c r="A63" s="47"/>
      <c r="B63" s="212"/>
      <c r="C63" s="192"/>
      <c r="D63" s="192"/>
      <c r="E63" s="192"/>
      <c r="F63" s="66" t="s">
        <v>83</v>
      </c>
      <c r="G63" s="67">
        <f t="shared" ref="G63" si="67">+E59</f>
        <v>3.1E-2</v>
      </c>
      <c r="H63" s="68"/>
      <c r="I63" s="69"/>
      <c r="J63" s="70"/>
      <c r="K63" s="192"/>
      <c r="L63" s="192"/>
      <c r="M63" s="192"/>
      <c r="N63" s="192"/>
      <c r="O63" s="192"/>
      <c r="P63" s="19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s="55" customFormat="1" ht="13.5" customHeight="1" x14ac:dyDescent="0.25">
      <c r="A64" s="47"/>
      <c r="B64" s="210">
        <v>10</v>
      </c>
      <c r="C64" s="213">
        <f t="shared" ref="C64" si="68">+C59+$N$12</f>
        <v>2.9999999999999996</v>
      </c>
      <c r="D64" s="190">
        <v>0.01</v>
      </c>
      <c r="E64" s="190">
        <v>0.3</v>
      </c>
      <c r="F64" s="56" t="s">
        <v>79</v>
      </c>
      <c r="G64" s="57">
        <v>0</v>
      </c>
      <c r="H64" s="58"/>
      <c r="I64" s="59"/>
      <c r="J64" s="60"/>
      <c r="K64" s="190">
        <f t="shared" ref="K64" si="69">+IF(E64&lt;=0.12,(J66),(IF(E64&lt;0.16,((J65+2*J66+J67)/4),IF(E64&gt;=0.16,((J64+3*J65+2*J66+3*J67+J68)/10)))))</f>
        <v>1.9E-2</v>
      </c>
      <c r="L64" s="190">
        <f t="shared" ref="L64" si="70">ROUND(+(D59+D64)/2*(C64-C59),3)</f>
        <v>6.9000000000000006E-2</v>
      </c>
      <c r="M64" s="190">
        <f t="shared" ref="M64" si="71">ROUND(+K64*L64,4)</f>
        <v>1.2999999999999999E-3</v>
      </c>
      <c r="N64" s="193">
        <f t="shared" ref="N64" si="72">ROUND(+M64/$M$88*100,2)</f>
        <v>1.97</v>
      </c>
      <c r="O64" s="194"/>
      <c r="P64" s="195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s="55" customFormat="1" ht="13.5" customHeight="1" x14ac:dyDescent="0.25">
      <c r="A65" s="47"/>
      <c r="B65" s="211"/>
      <c r="C65" s="191"/>
      <c r="D65" s="191"/>
      <c r="E65" s="191"/>
      <c r="F65" s="61" t="s">
        <v>80</v>
      </c>
      <c r="G65" s="62">
        <f t="shared" ref="G65" si="73">IF(E64&lt;0.125,"NA",IF(0.125&lt;=E64,(0.2*E64)))</f>
        <v>0.06</v>
      </c>
      <c r="H65" s="63"/>
      <c r="I65" s="64"/>
      <c r="J65" s="65"/>
      <c r="K65" s="191"/>
      <c r="L65" s="191"/>
      <c r="M65" s="191"/>
      <c r="N65" s="191"/>
      <c r="O65" s="191"/>
      <c r="P65" s="196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s="55" customFormat="1" ht="13.5" customHeight="1" x14ac:dyDescent="0.25">
      <c r="A66" s="47"/>
      <c r="B66" s="211"/>
      <c r="C66" s="191"/>
      <c r="D66" s="191"/>
      <c r="E66" s="191"/>
      <c r="F66" s="61" t="s">
        <v>81</v>
      </c>
      <c r="G66" s="62">
        <f t="shared" ref="G66" si="74">+E64*0.4</f>
        <v>0.12</v>
      </c>
      <c r="H66" s="63"/>
      <c r="I66" s="64"/>
      <c r="J66" s="65">
        <v>9.5000000000000001E-2</v>
      </c>
      <c r="K66" s="191"/>
      <c r="L66" s="191"/>
      <c r="M66" s="191"/>
      <c r="N66" s="191"/>
      <c r="O66" s="191"/>
      <c r="P66" s="196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s="55" customFormat="1" ht="13.5" customHeight="1" x14ac:dyDescent="0.25">
      <c r="A67" s="47"/>
      <c r="B67" s="211"/>
      <c r="C67" s="191"/>
      <c r="D67" s="191"/>
      <c r="E67" s="191"/>
      <c r="F67" s="61" t="s">
        <v>82</v>
      </c>
      <c r="G67" s="62">
        <f t="shared" ref="G67" si="75">IF(E64&lt;0.125,"NA",IF(0.125&lt;=E64,(0.8*E64)))</f>
        <v>0.24</v>
      </c>
      <c r="H67" s="63"/>
      <c r="I67" s="64"/>
      <c r="J67" s="65"/>
      <c r="K67" s="191"/>
      <c r="L67" s="191"/>
      <c r="M67" s="191"/>
      <c r="N67" s="191"/>
      <c r="O67" s="191"/>
      <c r="P67" s="196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s="55" customFormat="1" ht="13.5" customHeight="1" thickBot="1" x14ac:dyDescent="0.3">
      <c r="A68" s="47"/>
      <c r="B68" s="212"/>
      <c r="C68" s="192"/>
      <c r="D68" s="192"/>
      <c r="E68" s="192"/>
      <c r="F68" s="66" t="s">
        <v>83</v>
      </c>
      <c r="G68" s="67">
        <f t="shared" ref="G68" si="76">+E64</f>
        <v>0.3</v>
      </c>
      <c r="H68" s="68"/>
      <c r="I68" s="69"/>
      <c r="J68" s="70"/>
      <c r="K68" s="192"/>
      <c r="L68" s="192"/>
      <c r="M68" s="192"/>
      <c r="N68" s="192"/>
      <c r="O68" s="192"/>
      <c r="P68" s="19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s="3" customFormat="1" ht="14.1" customHeight="1" x14ac:dyDescent="0.2">
      <c r="B69" s="198" t="s">
        <v>28</v>
      </c>
      <c r="C69" s="201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</row>
    <row r="70" spans="1:26" s="3" customFormat="1" ht="14.1" customHeight="1" x14ac:dyDescent="0.2">
      <c r="B70" s="199"/>
      <c r="C70" s="204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6"/>
    </row>
    <row r="71" spans="1:26" s="3" customFormat="1" ht="14.1" customHeight="1" x14ac:dyDescent="0.2">
      <c r="B71" s="199"/>
      <c r="C71" s="204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6"/>
    </row>
    <row r="72" spans="1:26" s="3" customFormat="1" ht="14.1" customHeight="1" x14ac:dyDescent="0.2">
      <c r="B72" s="199"/>
      <c r="C72" s="204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6"/>
    </row>
    <row r="73" spans="1:26" s="3" customFormat="1" ht="14.1" customHeight="1" x14ac:dyDescent="0.2">
      <c r="B73" s="199"/>
      <c r="C73" s="204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6"/>
    </row>
    <row r="74" spans="1:26" s="3" customFormat="1" ht="14.1" customHeight="1" thickBot="1" x14ac:dyDescent="0.25">
      <c r="B74" s="200"/>
      <c r="C74" s="207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9"/>
    </row>
    <row r="75" spans="1:26" s="3" customFormat="1" ht="28.5" customHeight="1" thickBot="1" x14ac:dyDescent="0.25">
      <c r="A75" s="71"/>
      <c r="B75" s="72" t="s">
        <v>84</v>
      </c>
      <c r="C75" s="177" t="s">
        <v>85</v>
      </c>
      <c r="D75" s="177"/>
      <c r="E75" s="177"/>
      <c r="F75" s="177"/>
      <c r="G75" s="177"/>
      <c r="H75" s="178"/>
      <c r="I75" s="179"/>
      <c r="J75" s="72" t="s">
        <v>86</v>
      </c>
      <c r="K75" s="177" t="s">
        <v>87</v>
      </c>
      <c r="L75" s="177"/>
      <c r="M75" s="177"/>
      <c r="N75" s="177"/>
      <c r="O75" s="177"/>
      <c r="P75" s="178"/>
    </row>
    <row r="76" spans="1:26" s="3" customFormat="1" ht="28.5" customHeight="1" thickBot="1" x14ac:dyDescent="0.25">
      <c r="B76" s="73" t="s">
        <v>88</v>
      </c>
      <c r="C76" s="181" t="s">
        <v>89</v>
      </c>
      <c r="D76" s="181"/>
      <c r="E76" s="181"/>
      <c r="F76" s="181"/>
      <c r="G76" s="181"/>
      <c r="H76" s="182"/>
      <c r="I76" s="180"/>
      <c r="J76" s="73" t="s">
        <v>90</v>
      </c>
      <c r="K76" s="181" t="s">
        <v>91</v>
      </c>
      <c r="L76" s="181"/>
      <c r="M76" s="181"/>
      <c r="N76" s="181"/>
      <c r="O76" s="181"/>
      <c r="P76" s="182"/>
    </row>
    <row r="77" spans="1:26" s="19" customFormat="1" ht="13.5" customHeight="1" x14ac:dyDescent="0.25">
      <c r="A77" s="74"/>
      <c r="B77" s="183"/>
      <c r="C77" s="186"/>
      <c r="D77" s="188"/>
      <c r="E77" s="188"/>
      <c r="F77" s="75" t="s">
        <v>79</v>
      </c>
      <c r="G77" s="75">
        <v>0.01</v>
      </c>
      <c r="H77" s="76"/>
      <c r="I77" s="77"/>
      <c r="J77" s="78"/>
      <c r="K77" s="189"/>
      <c r="L77" s="168"/>
      <c r="M77" s="171"/>
      <c r="N77" s="168"/>
      <c r="O77" s="168"/>
      <c r="P77" s="172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s="19" customFormat="1" ht="13.5" customHeight="1" x14ac:dyDescent="0.25">
      <c r="A78" s="74"/>
      <c r="B78" s="184"/>
      <c r="C78" s="169"/>
      <c r="D78" s="169"/>
      <c r="E78" s="169"/>
      <c r="F78" s="80" t="s">
        <v>92</v>
      </c>
      <c r="G78" s="81">
        <f>+E77*0.1</f>
        <v>0</v>
      </c>
      <c r="H78" s="82"/>
      <c r="I78" s="83"/>
      <c r="J78" s="84"/>
      <c r="K78" s="169"/>
      <c r="L78" s="169"/>
      <c r="M78" s="169"/>
      <c r="N78" s="169"/>
      <c r="O78" s="169"/>
      <c r="P78" s="173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s="19" customFormat="1" ht="13.5" customHeight="1" x14ac:dyDescent="0.25">
      <c r="A79" s="74"/>
      <c r="B79" s="184"/>
      <c r="C79" s="169"/>
      <c r="D79" s="169"/>
      <c r="E79" s="169"/>
      <c r="F79" s="80" t="s">
        <v>93</v>
      </c>
      <c r="G79" s="81">
        <f>+E77*0.2</f>
        <v>0</v>
      </c>
      <c r="H79" s="82"/>
      <c r="I79" s="83"/>
      <c r="J79" s="84"/>
      <c r="K79" s="169"/>
      <c r="L79" s="169"/>
      <c r="M79" s="169"/>
      <c r="N79" s="169"/>
      <c r="O79" s="169"/>
      <c r="P79" s="173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s="19" customFormat="1" ht="13.5" customHeight="1" x14ac:dyDescent="0.25">
      <c r="A80" s="74"/>
      <c r="B80" s="184"/>
      <c r="C80" s="169"/>
      <c r="D80" s="169"/>
      <c r="E80" s="169"/>
      <c r="F80" s="80" t="s">
        <v>94</v>
      </c>
      <c r="G80" s="81">
        <f>+E77*0.3</f>
        <v>0</v>
      </c>
      <c r="H80" s="82"/>
      <c r="I80" s="83"/>
      <c r="J80" s="84"/>
      <c r="K80" s="169"/>
      <c r="L80" s="169"/>
      <c r="M80" s="169"/>
      <c r="N80" s="169"/>
      <c r="O80" s="169"/>
      <c r="P80" s="173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s="19" customFormat="1" ht="13.5" customHeight="1" x14ac:dyDescent="0.25">
      <c r="A81" s="74"/>
      <c r="B81" s="184"/>
      <c r="C81" s="187"/>
      <c r="D81" s="187"/>
      <c r="E81" s="169"/>
      <c r="F81" s="80" t="s">
        <v>95</v>
      </c>
      <c r="G81" s="81">
        <f>+E77*0.4</f>
        <v>0</v>
      </c>
      <c r="H81" s="82"/>
      <c r="I81" s="83"/>
      <c r="J81" s="84"/>
      <c r="K81" s="169"/>
      <c r="L81" s="169"/>
      <c r="M81" s="169"/>
      <c r="N81" s="169"/>
      <c r="O81" s="169"/>
      <c r="P81" s="173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s="19" customFormat="1" ht="13.5" customHeight="1" x14ac:dyDescent="0.25">
      <c r="A82" s="74"/>
      <c r="B82" s="184"/>
      <c r="C82" s="175"/>
      <c r="D82" s="176"/>
      <c r="E82" s="169"/>
      <c r="F82" s="80" t="s">
        <v>29</v>
      </c>
      <c r="G82" s="81">
        <f>+E77*0.5</f>
        <v>0</v>
      </c>
      <c r="H82" s="82"/>
      <c r="I82" s="83"/>
      <c r="J82" s="84"/>
      <c r="K82" s="169"/>
      <c r="L82" s="169"/>
      <c r="M82" s="169"/>
      <c r="N82" s="169"/>
      <c r="O82" s="169"/>
      <c r="P82" s="173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s="19" customFormat="1" ht="13.5" customHeight="1" x14ac:dyDescent="0.25">
      <c r="A83" s="74"/>
      <c r="B83" s="184"/>
      <c r="C83" s="169"/>
      <c r="D83" s="169"/>
      <c r="E83" s="169"/>
      <c r="F83" s="80" t="s">
        <v>96</v>
      </c>
      <c r="G83" s="81">
        <f>+E77*0.6</f>
        <v>0</v>
      </c>
      <c r="H83" s="82"/>
      <c r="I83" s="83"/>
      <c r="J83" s="84"/>
      <c r="K83" s="169"/>
      <c r="L83" s="169"/>
      <c r="M83" s="169"/>
      <c r="N83" s="169"/>
      <c r="O83" s="169"/>
      <c r="P83" s="173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s="19" customFormat="1" ht="13.5" customHeight="1" x14ac:dyDescent="0.25">
      <c r="A84" s="74"/>
      <c r="B84" s="184"/>
      <c r="C84" s="169"/>
      <c r="D84" s="169"/>
      <c r="E84" s="169"/>
      <c r="F84" s="80" t="s">
        <v>97</v>
      </c>
      <c r="G84" s="81">
        <f>+E77*0.7</f>
        <v>0</v>
      </c>
      <c r="H84" s="82"/>
      <c r="I84" s="83"/>
      <c r="J84" s="84"/>
      <c r="K84" s="169"/>
      <c r="L84" s="169"/>
      <c r="M84" s="169"/>
      <c r="N84" s="169"/>
      <c r="O84" s="169"/>
      <c r="P84" s="173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s="19" customFormat="1" ht="13.5" customHeight="1" x14ac:dyDescent="0.25">
      <c r="A85" s="74"/>
      <c r="B85" s="184"/>
      <c r="C85" s="169"/>
      <c r="D85" s="169"/>
      <c r="E85" s="169"/>
      <c r="F85" s="80" t="s">
        <v>98</v>
      </c>
      <c r="G85" s="81">
        <f>+E77*0.8</f>
        <v>0</v>
      </c>
      <c r="H85" s="82"/>
      <c r="I85" s="83"/>
      <c r="J85" s="84"/>
      <c r="K85" s="169"/>
      <c r="L85" s="169"/>
      <c r="M85" s="169"/>
      <c r="N85" s="169"/>
      <c r="O85" s="169"/>
      <c r="P85" s="173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s="19" customFormat="1" ht="13.5" customHeight="1" x14ac:dyDescent="0.25">
      <c r="A86" s="74"/>
      <c r="B86" s="184"/>
      <c r="C86" s="169"/>
      <c r="D86" s="169"/>
      <c r="E86" s="169"/>
      <c r="F86" s="80" t="s">
        <v>99</v>
      </c>
      <c r="G86" s="81">
        <f>+E77*0.9</f>
        <v>0</v>
      </c>
      <c r="H86" s="82"/>
      <c r="I86" s="83"/>
      <c r="J86" s="84"/>
      <c r="K86" s="169"/>
      <c r="L86" s="169"/>
      <c r="M86" s="169"/>
      <c r="N86" s="169"/>
      <c r="O86" s="169"/>
      <c r="P86" s="173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s="19" customFormat="1" ht="15.75" thickBot="1" x14ac:dyDescent="0.3">
      <c r="A87" s="74"/>
      <c r="B87" s="185"/>
      <c r="C87" s="170"/>
      <c r="D87" s="170"/>
      <c r="E87" s="170"/>
      <c r="F87" s="85" t="s">
        <v>30</v>
      </c>
      <c r="G87" s="85">
        <f>+E77</f>
        <v>0</v>
      </c>
      <c r="H87" s="86"/>
      <c r="I87" s="87"/>
      <c r="J87" s="88"/>
      <c r="K87" s="170"/>
      <c r="L87" s="170"/>
      <c r="M87" s="170"/>
      <c r="N87" s="170"/>
      <c r="O87" s="170"/>
      <c r="P87" s="174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s="3" customFormat="1" ht="12.75" x14ac:dyDescent="0.2">
      <c r="A88" s="11"/>
      <c r="B88" s="156" t="s">
        <v>31</v>
      </c>
      <c r="C88" s="156"/>
      <c r="D88" s="156"/>
      <c r="E88" s="156"/>
      <c r="F88" s="156"/>
      <c r="G88" s="156"/>
      <c r="H88" s="156"/>
      <c r="I88" s="156"/>
      <c r="J88" s="156"/>
      <c r="K88" s="16">
        <f>ROUND(+M88/L88,3)</f>
        <v>0.30599999999999999</v>
      </c>
      <c r="L88" s="15">
        <f>SUM(L19:L68)</f>
        <v>0.216</v>
      </c>
      <c r="M88" s="14">
        <f>SUM(M19:M68)</f>
        <v>6.5999999999999989E-2</v>
      </c>
      <c r="N88" s="12">
        <f>ROUND(SUM(N19:N68),0)</f>
        <v>100</v>
      </c>
      <c r="O88" s="158" t="s">
        <v>32</v>
      </c>
      <c r="P88" s="160"/>
    </row>
    <row r="89" spans="1:26" s="3" customFormat="1" ht="15" customHeight="1" thickBot="1" x14ac:dyDescent="0.25">
      <c r="A89" s="11"/>
      <c r="B89" s="157"/>
      <c r="C89" s="157"/>
      <c r="D89" s="157"/>
      <c r="E89" s="157"/>
      <c r="F89" s="157"/>
      <c r="G89" s="157"/>
      <c r="H89" s="157"/>
      <c r="I89" s="157"/>
      <c r="J89" s="157"/>
      <c r="K89" s="13" t="s">
        <v>33</v>
      </c>
      <c r="L89" s="13" t="s">
        <v>49</v>
      </c>
      <c r="M89" s="13" t="s">
        <v>110</v>
      </c>
      <c r="N89" s="13" t="s">
        <v>34</v>
      </c>
      <c r="O89" s="159"/>
      <c r="P89" s="161"/>
    </row>
    <row r="90" spans="1:26" ht="15" customHeight="1" thickBot="1" x14ac:dyDescent="0.3">
      <c r="A90" s="5"/>
      <c r="B90" s="325" t="s">
        <v>100</v>
      </c>
      <c r="C90" s="326"/>
      <c r="D90" s="326"/>
      <c r="E90" s="326"/>
      <c r="F90" s="327"/>
      <c r="G90" s="328" t="s">
        <v>101</v>
      </c>
      <c r="H90" s="329"/>
      <c r="I90" s="329"/>
      <c r="J90" s="329"/>
      <c r="K90" s="330"/>
      <c r="L90" s="331" t="s">
        <v>51</v>
      </c>
      <c r="M90" s="332"/>
      <c r="N90" s="332"/>
      <c r="O90" s="332"/>
      <c r="P90" s="333"/>
    </row>
    <row r="91" spans="1:26" ht="15" customHeight="1" x14ac:dyDescent="0.25">
      <c r="A91" s="5"/>
      <c r="B91" s="126"/>
      <c r="C91" s="127"/>
      <c r="D91" s="127"/>
      <c r="E91" s="127"/>
      <c r="F91" s="128"/>
      <c r="G91" s="126"/>
      <c r="H91" s="127"/>
      <c r="I91" s="127"/>
      <c r="J91" s="127"/>
      <c r="K91" s="128"/>
      <c r="L91" s="302" t="s">
        <v>102</v>
      </c>
      <c r="M91" s="303"/>
      <c r="N91" s="304"/>
      <c r="O91" s="305">
        <f>+AVERAGE(E18:E68)</f>
        <v>5.7200000000000008E-2</v>
      </c>
      <c r="P91" s="306"/>
    </row>
    <row r="92" spans="1:26" ht="15" customHeight="1" thickBot="1" x14ac:dyDescent="0.3">
      <c r="A92" s="5"/>
      <c r="B92" s="129"/>
      <c r="C92" s="130"/>
      <c r="D92" s="130"/>
      <c r="E92" s="130"/>
      <c r="F92" s="131"/>
      <c r="G92" s="129"/>
      <c r="H92" s="130"/>
      <c r="I92" s="130"/>
      <c r="J92" s="130"/>
      <c r="K92" s="131"/>
      <c r="L92" s="307" t="s">
        <v>103</v>
      </c>
      <c r="M92" s="308"/>
      <c r="N92" s="309"/>
      <c r="O92" s="343">
        <f>+MAX(E18:E68)</f>
        <v>0.3</v>
      </c>
      <c r="P92" s="344"/>
    </row>
    <row r="93" spans="1:26" ht="18.600000000000001" customHeight="1" x14ac:dyDescent="0.25">
      <c r="A93" s="6"/>
      <c r="B93" s="129"/>
      <c r="C93" s="130"/>
      <c r="D93" s="130"/>
      <c r="E93" s="130"/>
      <c r="F93" s="131"/>
      <c r="G93" s="129"/>
      <c r="H93" s="130"/>
      <c r="I93" s="130"/>
      <c r="J93" s="130"/>
      <c r="K93" s="131"/>
      <c r="L93" s="312"/>
      <c r="M93" s="313"/>
      <c r="N93" s="313"/>
      <c r="O93" s="313"/>
      <c r="P93" s="314"/>
    </row>
    <row r="94" spans="1:26" ht="75" customHeight="1" x14ac:dyDescent="0.25">
      <c r="A94" s="10"/>
      <c r="B94" s="129"/>
      <c r="C94" s="130"/>
      <c r="D94" s="130"/>
      <c r="E94" s="130"/>
      <c r="F94" s="131"/>
      <c r="G94" s="129"/>
      <c r="H94" s="130"/>
      <c r="I94" s="130"/>
      <c r="J94" s="130"/>
      <c r="K94" s="131"/>
      <c r="L94" s="315"/>
      <c r="M94" s="316"/>
      <c r="N94" s="316"/>
      <c r="O94" s="316"/>
      <c r="P94" s="317"/>
    </row>
    <row r="95" spans="1:26" ht="15" customHeight="1" thickBot="1" x14ac:dyDescent="0.3">
      <c r="A95" s="5"/>
      <c r="B95" s="129"/>
      <c r="C95" s="130"/>
      <c r="D95" s="130"/>
      <c r="E95" s="130"/>
      <c r="F95" s="131"/>
      <c r="G95" s="129"/>
      <c r="H95" s="130"/>
      <c r="I95" s="130"/>
      <c r="J95" s="130"/>
      <c r="K95" s="131"/>
      <c r="L95" s="318"/>
      <c r="M95" s="109"/>
      <c r="N95" s="109"/>
      <c r="O95" s="109"/>
      <c r="P95" s="110"/>
    </row>
    <row r="96" spans="1:26" ht="22.5" customHeight="1" thickBot="1" x14ac:dyDescent="0.3">
      <c r="A96" s="5"/>
      <c r="B96" s="129"/>
      <c r="C96" s="130"/>
      <c r="D96" s="130"/>
      <c r="E96" s="130"/>
      <c r="F96" s="131"/>
      <c r="G96" s="129"/>
      <c r="H96" s="130"/>
      <c r="I96" s="130"/>
      <c r="J96" s="130"/>
      <c r="K96" s="131"/>
      <c r="L96" s="319" t="s">
        <v>35</v>
      </c>
      <c r="M96" s="320"/>
      <c r="N96" s="320"/>
      <c r="O96" s="321"/>
      <c r="P96" s="98">
        <v>2.64</v>
      </c>
    </row>
    <row r="97" spans="1:16" ht="32.25" customHeight="1" thickBot="1" x14ac:dyDescent="0.3">
      <c r="A97" s="5"/>
      <c r="B97" s="132"/>
      <c r="C97" s="133"/>
      <c r="D97" s="133"/>
      <c r="E97" s="133"/>
      <c r="F97" s="134"/>
      <c r="G97" s="132"/>
      <c r="H97" s="133"/>
      <c r="I97" s="133"/>
      <c r="J97" s="133"/>
      <c r="K97" s="134"/>
      <c r="L97" s="322" t="s">
        <v>50</v>
      </c>
      <c r="M97" s="323"/>
      <c r="N97" s="323"/>
      <c r="O97" s="324"/>
      <c r="P97" s="98">
        <v>0.23499999999999999</v>
      </c>
    </row>
    <row r="98" spans="1:16" ht="23.45" customHeight="1" thickBot="1" x14ac:dyDescent="0.3">
      <c r="A98" s="7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</row>
    <row r="99" spans="1:16" ht="15.75" thickBot="1" x14ac:dyDescent="0.3">
      <c r="A99" s="115" t="s">
        <v>36</v>
      </c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7"/>
    </row>
    <row r="100" spans="1:16" ht="159" customHeight="1" thickBot="1" x14ac:dyDescent="0.3">
      <c r="A100" s="4"/>
      <c r="B100" s="334"/>
      <c r="C100" s="335"/>
      <c r="D100" s="335"/>
      <c r="E100" s="335"/>
      <c r="F100" s="335"/>
      <c r="G100" s="335"/>
      <c r="H100" s="335"/>
      <c r="I100" s="336"/>
      <c r="J100" s="120"/>
      <c r="K100" s="335"/>
      <c r="L100" s="335"/>
      <c r="M100" s="335"/>
      <c r="N100" s="335"/>
      <c r="O100" s="335"/>
      <c r="P100" s="337"/>
    </row>
    <row r="101" spans="1:16" ht="21.75" customHeight="1" thickBot="1" x14ac:dyDescent="0.3">
      <c r="A101" s="4"/>
      <c r="B101" s="338"/>
      <c r="C101" s="339"/>
      <c r="D101" s="339"/>
      <c r="E101" s="339"/>
      <c r="F101" s="339"/>
      <c r="G101" s="339"/>
      <c r="H101" s="339"/>
      <c r="I101" s="340"/>
      <c r="J101" s="341"/>
      <c r="K101" s="339"/>
      <c r="L101" s="339"/>
      <c r="M101" s="339"/>
      <c r="N101" s="339"/>
      <c r="O101" s="339"/>
      <c r="P101" s="342"/>
    </row>
    <row r="102" spans="1:16" s="9" customFormat="1" ht="16.899999999999999" customHeight="1" thickBot="1" x14ac:dyDescent="0.3">
      <c r="A102" s="8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10"/>
    </row>
    <row r="103" spans="1:16" s="3" customFormat="1" ht="15.75" customHeight="1" thickBot="1" x14ac:dyDescent="0.25">
      <c r="A103" s="111" t="s">
        <v>37</v>
      </c>
      <c r="B103" s="112"/>
      <c r="C103" s="112"/>
      <c r="D103" s="112"/>
      <c r="E103" s="112"/>
      <c r="F103" s="112"/>
      <c r="G103" s="112"/>
      <c r="H103" s="112"/>
      <c r="I103" s="112"/>
      <c r="J103" s="112" t="s">
        <v>38</v>
      </c>
      <c r="K103" s="112"/>
      <c r="L103" s="112"/>
      <c r="M103" s="112"/>
      <c r="N103" s="112"/>
      <c r="O103" s="112"/>
      <c r="P103" s="113"/>
    </row>
  </sheetData>
  <mergeCells count="20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I100"/>
    <mergeCell ref="J100:P100"/>
    <mergeCell ref="B101:I101"/>
    <mergeCell ref="J101:P101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2019-05-16T21:00:32Z</dcterms:modified>
</cp:coreProperties>
</file>