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1"/>
  </bookViews>
  <sheets>
    <sheet name="Planta y sección típica" sheetId="1" r:id="rId1"/>
    <sheet name="Aforo 1" sheetId="17" r:id="rId2"/>
    <sheet name="Aforo 2" sheetId="18" r:id="rId3"/>
    <sheet name="Aforo 3" sheetId="19" r:id="rId4"/>
    <sheet name="Aforo 4" sheetId="20" r:id="rId5"/>
    <sheet name="Aforo 5" sheetId="21" r:id="rId6"/>
    <sheet name="Aforo 6" sheetId="22" r:id="rId7"/>
  </sheets>
  <definedNames>
    <definedName name="_xlnm.Print_Area" localSheetId="1">'Aforo 1'!$B$1:$P$71</definedName>
    <definedName name="_xlnm.Print_Area" localSheetId="2">'Aforo 2'!$B$1:$P$72</definedName>
    <definedName name="_xlnm.Print_Area" localSheetId="3">'Aforo 3'!$B$1:$P$72</definedName>
    <definedName name="_xlnm.Print_Area" localSheetId="4">'Aforo 4'!$B$1:$P$72</definedName>
    <definedName name="_xlnm.Print_Area" localSheetId="5">'Aforo 5'!$B$1:$P$69</definedName>
    <definedName name="_xlnm.Print_Area" localSheetId="6">'Aforo 6'!$B$1:$P$72</definedName>
    <definedName name="_xlnm.Print_Titles" localSheetId="1">'Aforo 1'!$1:$15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5" i="22" l="1"/>
  <c r="G52" i="22"/>
  <c r="G51" i="22"/>
  <c r="D51" i="22"/>
  <c r="G49" i="22"/>
  <c r="G48" i="22"/>
  <c r="K46" i="22"/>
  <c r="E46" i="22"/>
  <c r="G54" i="22" s="1"/>
  <c r="D46" i="22"/>
  <c r="L46" i="22" s="1"/>
  <c r="M46" i="22" s="1"/>
  <c r="G45" i="22"/>
  <c r="G44" i="22"/>
  <c r="K43" i="22"/>
  <c r="G43" i="22"/>
  <c r="D43" i="22"/>
  <c r="L43" i="22" s="1"/>
  <c r="M43" i="22" s="1"/>
  <c r="D40" i="22"/>
  <c r="G39" i="22"/>
  <c r="G38" i="22"/>
  <c r="K37" i="22"/>
  <c r="G37" i="22"/>
  <c r="D37" i="22"/>
  <c r="G36" i="22"/>
  <c r="G35" i="22"/>
  <c r="K34" i="22"/>
  <c r="G34" i="22"/>
  <c r="D34" i="22"/>
  <c r="G33" i="22"/>
  <c r="G32" i="22"/>
  <c r="K31" i="22"/>
  <c r="G31" i="22"/>
  <c r="D31" i="22"/>
  <c r="G30" i="22"/>
  <c r="G29" i="22"/>
  <c r="K28" i="22"/>
  <c r="G28" i="22"/>
  <c r="D28" i="22"/>
  <c r="G27" i="22"/>
  <c r="G26" i="22"/>
  <c r="K25" i="22"/>
  <c r="G25" i="22"/>
  <c r="D25" i="22"/>
  <c r="G24" i="22"/>
  <c r="G23" i="22"/>
  <c r="K22" i="22"/>
  <c r="G22" i="22"/>
  <c r="D22" i="22"/>
  <c r="G21" i="22"/>
  <c r="G20" i="22"/>
  <c r="K19" i="22"/>
  <c r="G19" i="22"/>
  <c r="D19" i="22"/>
  <c r="G18" i="22"/>
  <c r="G17" i="22"/>
  <c r="K16" i="22"/>
  <c r="G16" i="22"/>
  <c r="C16" i="22"/>
  <c r="C18" i="22" s="1"/>
  <c r="L37" i="22" l="1"/>
  <c r="L16" i="22"/>
  <c r="C19" i="22"/>
  <c r="C21" i="22" s="1"/>
  <c r="C22" i="22" s="1"/>
  <c r="C24" i="22" s="1"/>
  <c r="C25" i="22" s="1"/>
  <c r="C27" i="22" s="1"/>
  <c r="C28" i="22" s="1"/>
  <c r="C30" i="22" s="1"/>
  <c r="C31" i="22" s="1"/>
  <c r="C33" i="22" s="1"/>
  <c r="C34" i="22" s="1"/>
  <c r="C36" i="22" s="1"/>
  <c r="C37" i="22" s="1"/>
  <c r="C39" i="22" s="1"/>
  <c r="L28" i="22"/>
  <c r="M28" i="22" s="1"/>
  <c r="L25" i="22"/>
  <c r="M25" i="22" s="1"/>
  <c r="L19" i="22"/>
  <c r="M19" i="22" s="1"/>
  <c r="L31" i="22"/>
  <c r="M31" i="22" s="1"/>
  <c r="M37" i="22"/>
  <c r="L22" i="22"/>
  <c r="M22" i="22" s="1"/>
  <c r="L34" i="22"/>
  <c r="M34" i="22" s="1"/>
  <c r="G50" i="22"/>
  <c r="G53" i="22"/>
  <c r="G47" i="22"/>
  <c r="M16" i="22" l="1"/>
  <c r="L56" i="22"/>
  <c r="M56" i="22" l="1"/>
  <c r="N16" i="22" s="1"/>
  <c r="K56" i="22" l="1"/>
  <c r="N46" i="22"/>
  <c r="N43" i="22"/>
  <c r="N31" i="22"/>
  <c r="N22" i="22"/>
  <c r="N19" i="22"/>
  <c r="N56" i="22" s="1"/>
  <c r="N25" i="22"/>
  <c r="N34" i="22"/>
  <c r="N37" i="22"/>
  <c r="N28" i="22"/>
  <c r="G49" i="21" l="1"/>
  <c r="D48" i="21"/>
  <c r="G46" i="21"/>
  <c r="K43" i="21"/>
  <c r="E43" i="21"/>
  <c r="G52" i="21" s="1"/>
  <c r="D43" i="21"/>
  <c r="L43" i="21" s="1"/>
  <c r="M43" i="21" s="1"/>
  <c r="D40" i="21"/>
  <c r="G39" i="21"/>
  <c r="G38" i="21"/>
  <c r="K37" i="21"/>
  <c r="G37" i="21"/>
  <c r="D37" i="21"/>
  <c r="G36" i="21"/>
  <c r="G35" i="21"/>
  <c r="K34" i="21"/>
  <c r="G34" i="21"/>
  <c r="D34" i="21"/>
  <c r="G33" i="21"/>
  <c r="G32" i="21"/>
  <c r="K31" i="21"/>
  <c r="G31" i="21"/>
  <c r="D31" i="21"/>
  <c r="G30" i="21"/>
  <c r="G29" i="21"/>
  <c r="K28" i="21"/>
  <c r="G28" i="21"/>
  <c r="D28" i="21"/>
  <c r="G27" i="21"/>
  <c r="G26" i="21"/>
  <c r="K25" i="21"/>
  <c r="G25" i="21"/>
  <c r="D25" i="21"/>
  <c r="G24" i="21"/>
  <c r="G23" i="21"/>
  <c r="K22" i="21"/>
  <c r="G22" i="21"/>
  <c r="D22" i="21"/>
  <c r="G21" i="21"/>
  <c r="G20" i="21"/>
  <c r="K19" i="21"/>
  <c r="G19" i="21"/>
  <c r="D19" i="21"/>
  <c r="G18" i="21"/>
  <c r="G17" i="21"/>
  <c r="K16" i="21"/>
  <c r="G16" i="21"/>
  <c r="C16" i="21"/>
  <c r="C18" i="21" s="1"/>
  <c r="L37" i="21" l="1"/>
  <c r="L16" i="21"/>
  <c r="C19" i="21"/>
  <c r="C21" i="21" s="1"/>
  <c r="C22" i="21" s="1"/>
  <c r="C24" i="21" s="1"/>
  <c r="C25" i="21" s="1"/>
  <c r="C27" i="21" s="1"/>
  <c r="C28" i="21" s="1"/>
  <c r="C30" i="21" s="1"/>
  <c r="C31" i="21" s="1"/>
  <c r="C33" i="21" s="1"/>
  <c r="C34" i="21" s="1"/>
  <c r="C36" i="21" s="1"/>
  <c r="C37" i="21" s="1"/>
  <c r="C39" i="21" s="1"/>
  <c r="M19" i="21"/>
  <c r="L19" i="21"/>
  <c r="L31" i="21"/>
  <c r="M31" i="21" s="1"/>
  <c r="M37" i="21"/>
  <c r="L22" i="21"/>
  <c r="M22" i="21" s="1"/>
  <c r="L34" i="21"/>
  <c r="M34" i="21" s="1"/>
  <c r="G47" i="21"/>
  <c r="G50" i="21"/>
  <c r="G44" i="21"/>
  <c r="G51" i="21"/>
  <c r="G45" i="21"/>
  <c r="G48" i="21"/>
  <c r="L53" i="21" l="1"/>
  <c r="M16" i="21"/>
  <c r="L28" i="21"/>
  <c r="M28" i="21" s="1"/>
  <c r="L25" i="21"/>
  <c r="M25" i="21" s="1"/>
  <c r="M53" i="21" l="1"/>
  <c r="N16" i="21" s="1"/>
  <c r="N25" i="21"/>
  <c r="K53" i="21" l="1"/>
  <c r="N43" i="21"/>
  <c r="N31" i="21"/>
  <c r="N34" i="21"/>
  <c r="N37" i="21"/>
  <c r="N19" i="21"/>
  <c r="N53" i="21" s="1"/>
  <c r="N22" i="21"/>
  <c r="N28" i="21"/>
  <c r="C51" i="20" l="1"/>
  <c r="K46" i="20"/>
  <c r="E46" i="20"/>
  <c r="G55" i="20" s="1"/>
  <c r="C46" i="20"/>
  <c r="D45" i="20"/>
  <c r="E43" i="20"/>
  <c r="G44" i="20" s="1"/>
  <c r="D43" i="20"/>
  <c r="L43" i="20" s="1"/>
  <c r="D42" i="20"/>
  <c r="D51" i="20" s="1"/>
  <c r="D39" i="20"/>
  <c r="D40" i="20" s="1"/>
  <c r="D46" i="20" s="1"/>
  <c r="E37" i="20"/>
  <c r="G39" i="20" s="1"/>
  <c r="D36" i="20"/>
  <c r="D37" i="20" s="1"/>
  <c r="L37" i="20" s="1"/>
  <c r="E34" i="20"/>
  <c r="G36" i="20" s="1"/>
  <c r="D33" i="20"/>
  <c r="D34" i="20" s="1"/>
  <c r="E31" i="20"/>
  <c r="G33" i="20" s="1"/>
  <c r="D30" i="20"/>
  <c r="D31" i="20" s="1"/>
  <c r="L31" i="20" s="1"/>
  <c r="E28" i="20"/>
  <c r="G30" i="20" s="1"/>
  <c r="D27" i="20"/>
  <c r="D28" i="20" s="1"/>
  <c r="E25" i="20"/>
  <c r="G27" i="20" s="1"/>
  <c r="D24" i="20"/>
  <c r="D25" i="20" s="1"/>
  <c r="L25" i="20" s="1"/>
  <c r="E22" i="20"/>
  <c r="G24" i="20" s="1"/>
  <c r="D21" i="20"/>
  <c r="D22" i="20" s="1"/>
  <c r="E19" i="20"/>
  <c r="G21" i="20" s="1"/>
  <c r="D18" i="20"/>
  <c r="D19" i="20" s="1"/>
  <c r="L19" i="20" s="1"/>
  <c r="E16" i="20"/>
  <c r="G18" i="20" s="1"/>
  <c r="D16" i="20"/>
  <c r="C16" i="20"/>
  <c r="C18" i="20" s="1"/>
  <c r="C19" i="20" s="1"/>
  <c r="C21" i="20" s="1"/>
  <c r="C22" i="20" s="1"/>
  <c r="C24" i="20" s="1"/>
  <c r="C25" i="20" s="1"/>
  <c r="C27" i="20" s="1"/>
  <c r="C28" i="20" s="1"/>
  <c r="C30" i="20" s="1"/>
  <c r="C31" i="20" s="1"/>
  <c r="C33" i="20" s="1"/>
  <c r="C34" i="20" s="1"/>
  <c r="C36" i="20" s="1"/>
  <c r="C37" i="20" s="1"/>
  <c r="C39" i="20" s="1"/>
  <c r="M46" i="20" l="1"/>
  <c r="L16" i="20"/>
  <c r="L22" i="20"/>
  <c r="L28" i="20"/>
  <c r="L34" i="20"/>
  <c r="L46" i="20"/>
  <c r="G16" i="20"/>
  <c r="G47" i="20"/>
  <c r="K16" i="20"/>
  <c r="M16" i="20" s="1"/>
  <c r="G17" i="20"/>
  <c r="K19" i="20"/>
  <c r="M19" i="20" s="1"/>
  <c r="G20" i="20"/>
  <c r="K22" i="20"/>
  <c r="M22" i="20" s="1"/>
  <c r="G23" i="20"/>
  <c r="K25" i="20"/>
  <c r="M25" i="20" s="1"/>
  <c r="G26" i="20"/>
  <c r="K28" i="20"/>
  <c r="M28" i="20" s="1"/>
  <c r="G29" i="20"/>
  <c r="K31" i="20"/>
  <c r="M31" i="20" s="1"/>
  <c r="G32" i="20"/>
  <c r="K34" i="20"/>
  <c r="M34" i="20" s="1"/>
  <c r="G35" i="20"/>
  <c r="K37" i="20"/>
  <c r="M37" i="20" s="1"/>
  <c r="G38" i="20"/>
  <c r="G43" i="20"/>
  <c r="G48" i="20"/>
  <c r="G54" i="20"/>
  <c r="G50" i="20"/>
  <c r="G52" i="20"/>
  <c r="G19" i="20"/>
  <c r="G22" i="20"/>
  <c r="G25" i="20"/>
  <c r="G28" i="20"/>
  <c r="G31" i="20"/>
  <c r="G34" i="20"/>
  <c r="G37" i="20"/>
  <c r="G45" i="20"/>
  <c r="G53" i="20"/>
  <c r="K43" i="20"/>
  <c r="M43" i="20" s="1"/>
  <c r="G49" i="20"/>
  <c r="G51" i="20"/>
  <c r="N28" i="20" l="1"/>
  <c r="N22" i="20"/>
  <c r="N16" i="20"/>
  <c r="M56" i="20"/>
  <c r="N46" i="20"/>
  <c r="N43" i="20"/>
  <c r="N37" i="20"/>
  <c r="N31" i="20"/>
  <c r="N25" i="20"/>
  <c r="N19" i="20"/>
  <c r="L56" i="20"/>
  <c r="K56" i="20" l="1"/>
  <c r="N34" i="20"/>
  <c r="N56" i="20" s="1"/>
  <c r="G55" i="19" l="1"/>
  <c r="G54" i="19"/>
  <c r="G53" i="19"/>
  <c r="G52" i="19"/>
  <c r="G51" i="19"/>
  <c r="G50" i="19"/>
  <c r="G49" i="19"/>
  <c r="G48" i="19"/>
  <c r="G47" i="19"/>
  <c r="L46" i="19"/>
  <c r="M46" i="19" s="1"/>
  <c r="K46" i="19"/>
  <c r="G45" i="19"/>
  <c r="G44" i="19"/>
  <c r="L43" i="19"/>
  <c r="K43" i="19"/>
  <c r="M43" i="19" s="1"/>
  <c r="G43" i="19"/>
  <c r="D43" i="19"/>
  <c r="D40" i="19"/>
  <c r="G39" i="19"/>
  <c r="G38" i="19"/>
  <c r="K37" i="19"/>
  <c r="G37" i="19"/>
  <c r="D37" i="19"/>
  <c r="G36" i="19"/>
  <c r="G35" i="19"/>
  <c r="K34" i="19"/>
  <c r="G34" i="19"/>
  <c r="D34" i="19"/>
  <c r="G33" i="19"/>
  <c r="G32" i="19"/>
  <c r="K31" i="19"/>
  <c r="G31" i="19"/>
  <c r="D31" i="19"/>
  <c r="G30" i="19"/>
  <c r="G29" i="19"/>
  <c r="K28" i="19"/>
  <c r="G28" i="19"/>
  <c r="D28" i="19"/>
  <c r="G27" i="19"/>
  <c r="G26" i="19"/>
  <c r="K25" i="19"/>
  <c r="G25" i="19"/>
  <c r="D25" i="19"/>
  <c r="G24" i="19"/>
  <c r="G23" i="19"/>
  <c r="K22" i="19"/>
  <c r="G22" i="19"/>
  <c r="D22" i="19"/>
  <c r="G21" i="19"/>
  <c r="G20" i="19"/>
  <c r="K19" i="19"/>
  <c r="G19" i="19"/>
  <c r="D19" i="19"/>
  <c r="G18" i="19"/>
  <c r="G17" i="19"/>
  <c r="K16" i="19"/>
  <c r="G16" i="19"/>
  <c r="C16" i="19"/>
  <c r="C18" i="19" s="1"/>
  <c r="C19" i="19" l="1"/>
  <c r="C21" i="19" s="1"/>
  <c r="L16" i="19"/>
  <c r="C22" i="19" l="1"/>
  <c r="C24" i="19" s="1"/>
  <c r="L19" i="19"/>
  <c r="M19" i="19" s="1"/>
  <c r="M16" i="19"/>
  <c r="C25" i="19" l="1"/>
  <c r="C27" i="19" s="1"/>
  <c r="L22" i="19"/>
  <c r="C28" i="19" l="1"/>
  <c r="C30" i="19" s="1"/>
  <c r="L25" i="19"/>
  <c r="M25" i="19" s="1"/>
  <c r="M22" i="19"/>
  <c r="C31" i="19" l="1"/>
  <c r="C33" i="19" s="1"/>
  <c r="L28" i="19"/>
  <c r="L31" i="19" l="1"/>
  <c r="M31" i="19" s="1"/>
  <c r="C34" i="19"/>
  <c r="C36" i="19" s="1"/>
  <c r="M28" i="19"/>
  <c r="C37" i="19" l="1"/>
  <c r="C39" i="19" s="1"/>
  <c r="L37" i="19" s="1"/>
  <c r="M37" i="19" s="1"/>
  <c r="L34" i="19"/>
  <c r="M34" i="19" l="1"/>
  <c r="L56" i="19"/>
  <c r="M56" i="19" l="1"/>
  <c r="K56" i="19" l="1"/>
  <c r="N43" i="19"/>
  <c r="N46" i="19"/>
  <c r="N19" i="19"/>
  <c r="N16" i="19"/>
  <c r="N22" i="19"/>
  <c r="N25" i="19"/>
  <c r="N28" i="19"/>
  <c r="N31" i="19"/>
  <c r="N37" i="19"/>
  <c r="N34" i="19"/>
  <c r="N56" i="19" l="1"/>
  <c r="G55" i="18" l="1"/>
  <c r="G54" i="18"/>
  <c r="G53" i="18"/>
  <c r="G52" i="18"/>
  <c r="G51" i="18"/>
  <c r="G50" i="18"/>
  <c r="G49" i="18"/>
  <c r="G48" i="18"/>
  <c r="G47" i="18"/>
  <c r="L46" i="18"/>
  <c r="M46" i="18" s="1"/>
  <c r="K46" i="18"/>
  <c r="G45" i="18"/>
  <c r="G44" i="18"/>
  <c r="L43" i="18"/>
  <c r="K43" i="18"/>
  <c r="M43" i="18" s="1"/>
  <c r="G43" i="18"/>
  <c r="G39" i="18"/>
  <c r="G38" i="18"/>
  <c r="K37" i="18"/>
  <c r="G37" i="18"/>
  <c r="D37" i="18"/>
  <c r="G36" i="18"/>
  <c r="G35" i="18"/>
  <c r="K34" i="18"/>
  <c r="G34" i="18"/>
  <c r="D34" i="18"/>
  <c r="G33" i="18"/>
  <c r="G32" i="18"/>
  <c r="K31" i="18"/>
  <c r="G31" i="18"/>
  <c r="D31" i="18"/>
  <c r="G30" i="18"/>
  <c r="G29" i="18"/>
  <c r="K28" i="18"/>
  <c r="G28" i="18"/>
  <c r="D28" i="18"/>
  <c r="G27" i="18"/>
  <c r="G26" i="18"/>
  <c r="K25" i="18"/>
  <c r="G25" i="18"/>
  <c r="D25" i="18"/>
  <c r="G24" i="18"/>
  <c r="G23" i="18"/>
  <c r="K22" i="18"/>
  <c r="G22" i="18"/>
  <c r="D22" i="18"/>
  <c r="G21" i="18"/>
  <c r="G20" i="18"/>
  <c r="K19" i="18"/>
  <c r="G19" i="18"/>
  <c r="D19" i="18"/>
  <c r="L19" i="18" s="1"/>
  <c r="G18" i="18"/>
  <c r="C18" i="18"/>
  <c r="C19" i="18" s="1"/>
  <c r="C21" i="18" s="1"/>
  <c r="C22" i="18" s="1"/>
  <c r="C24" i="18" s="1"/>
  <c r="G17" i="18"/>
  <c r="K16" i="18"/>
  <c r="G16" i="18"/>
  <c r="C16" i="18"/>
  <c r="C25" i="18" l="1"/>
  <c r="C27" i="18" s="1"/>
  <c r="C28" i="18" s="1"/>
  <c r="C30" i="18" s="1"/>
  <c r="L22" i="18"/>
  <c r="M22" i="18" s="1"/>
  <c r="M19" i="18"/>
  <c r="L16" i="18"/>
  <c r="M16" i="18" l="1"/>
  <c r="L28" i="18"/>
  <c r="M28" i="18" s="1"/>
  <c r="C31" i="18"/>
  <c r="C33" i="18" s="1"/>
  <c r="L25" i="18"/>
  <c r="M25" i="18" s="1"/>
  <c r="C34" i="18" l="1"/>
  <c r="C36" i="18" s="1"/>
  <c r="L31" i="18"/>
  <c r="M31" i="18" s="1"/>
  <c r="C37" i="18" l="1"/>
  <c r="C39" i="18" s="1"/>
  <c r="L37" i="18" s="1"/>
  <c r="M37" i="18" s="1"/>
  <c r="L34" i="18"/>
  <c r="M34" i="18" l="1"/>
  <c r="L56" i="18"/>
  <c r="M56" i="18" l="1"/>
  <c r="K56" i="18" l="1"/>
  <c r="N46" i="18"/>
  <c r="N43" i="18"/>
  <c r="N22" i="18"/>
  <c r="N19" i="18"/>
  <c r="N25" i="18"/>
  <c r="N28" i="18"/>
  <c r="N16" i="18"/>
  <c r="N56" i="18" s="1"/>
  <c r="N31" i="18"/>
  <c r="N37" i="18"/>
  <c r="N34" i="18"/>
  <c r="G55" i="17" l="1"/>
  <c r="G54" i="17"/>
  <c r="G53" i="17"/>
  <c r="G52" i="17"/>
  <c r="G51" i="17"/>
  <c r="G50" i="17"/>
  <c r="G49" i="17"/>
  <c r="G48" i="17"/>
  <c r="G47" i="17"/>
  <c r="L46" i="17"/>
  <c r="K46" i="17"/>
  <c r="M46" i="17" s="1"/>
  <c r="G45" i="17"/>
  <c r="G44" i="17"/>
  <c r="K43" i="17"/>
  <c r="G43" i="17"/>
  <c r="G39" i="17"/>
  <c r="G38" i="17"/>
  <c r="K37" i="17"/>
  <c r="G37" i="17"/>
  <c r="G36" i="17"/>
  <c r="G35" i="17"/>
  <c r="K34" i="17"/>
  <c r="G34" i="17"/>
  <c r="G33" i="17"/>
  <c r="G32" i="17"/>
  <c r="K31" i="17"/>
  <c r="G31" i="17"/>
  <c r="G30" i="17"/>
  <c r="G29" i="17"/>
  <c r="K28" i="17"/>
  <c r="G28" i="17"/>
  <c r="G27" i="17"/>
  <c r="G26" i="17"/>
  <c r="K25" i="17"/>
  <c r="G25" i="17"/>
  <c r="G24" i="17"/>
  <c r="G23" i="17"/>
  <c r="K22" i="17"/>
  <c r="G22" i="17"/>
  <c r="G21" i="17"/>
  <c r="G20" i="17"/>
  <c r="K19" i="17"/>
  <c r="G19" i="17"/>
  <c r="C19" i="17"/>
  <c r="C21" i="17" s="1"/>
  <c r="G18" i="17"/>
  <c r="G17" i="17"/>
  <c r="L16" i="17"/>
  <c r="K16" i="17"/>
  <c r="M16" i="17" s="1"/>
  <c r="G16" i="17"/>
  <c r="C22" i="17" l="1"/>
  <c r="C24" i="17" s="1"/>
  <c r="L19" i="17"/>
  <c r="M19" i="17"/>
  <c r="C25" i="17" l="1"/>
  <c r="C27" i="17" s="1"/>
  <c r="L22" i="17"/>
  <c r="M22" i="17" s="1"/>
  <c r="L25" i="17" l="1"/>
  <c r="M25" i="17" s="1"/>
  <c r="C28" i="17"/>
  <c r="C30" i="17" s="1"/>
  <c r="C31" i="17" l="1"/>
  <c r="C33" i="17" s="1"/>
  <c r="L28" i="17"/>
  <c r="M28" i="17" s="1"/>
  <c r="C34" i="17" l="1"/>
  <c r="C36" i="17" s="1"/>
  <c r="L31" i="17"/>
  <c r="M31" i="17" s="1"/>
  <c r="L34" i="17" l="1"/>
  <c r="M34" i="17" s="1"/>
  <c r="C37" i="17"/>
  <c r="C39" i="17" s="1"/>
  <c r="L37" i="17" l="1"/>
  <c r="M37" i="17" s="1"/>
  <c r="C40" i="17"/>
  <c r="C42" i="17" s="1"/>
  <c r="C43" i="17" s="1"/>
  <c r="L43" i="17" s="1"/>
  <c r="M43" i="17" l="1"/>
  <c r="L56" i="17"/>
  <c r="M56" i="17" l="1"/>
  <c r="K56" i="17" l="1"/>
  <c r="N46" i="17"/>
  <c r="N16" i="17"/>
  <c r="N19" i="17"/>
  <c r="N22" i="17"/>
  <c r="N25" i="17"/>
  <c r="N28" i="17"/>
  <c r="N31" i="17"/>
  <c r="N34" i="17"/>
  <c r="N37" i="17"/>
  <c r="N43" i="17"/>
  <c r="N56" i="17" l="1"/>
</calcChain>
</file>

<file path=xl/sharedStrings.xml><?xml version="1.0" encoding="utf-8"?>
<sst xmlns="http://schemas.openxmlformats.org/spreadsheetml/2006/main" count="704" uniqueCount="106">
  <si>
    <t>Fecha</t>
  </si>
  <si>
    <t xml:space="preserve">Aforo No. 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</si>
  <si>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</si>
  <si>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</si>
  <si>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</si>
  <si>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</si>
  <si>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</si>
  <si>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</si>
  <si>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</si>
  <si>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</si>
  <si>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</si>
  <si>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</si>
  <si>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</si>
  <si>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</si>
  <si>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</si>
  <si>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</si>
  <si>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</si>
  <si>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</si>
  <si>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</si>
  <si>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</si>
  <si>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</si>
  <si>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</si>
  <si>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</si>
  <si>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</si>
  <si>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</si>
  <si>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</si>
  <si>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</si>
  <si>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</si>
  <si>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</si>
  <si>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</si>
  <si>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</si>
  <si>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</si>
  <si>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</si>
  <si>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</si>
  <si>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</si>
  <si>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</si>
  <si>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</si>
  <si>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</si>
  <si>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</si>
  <si>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</si>
  <si>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</si>
  <si>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</si>
  <si>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</si>
  <si>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</si>
  <si>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</si>
  <si>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</si>
  <si>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</si>
  <si>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</si>
  <si>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</si>
  <si>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</si>
  <si>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</si>
  <si>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</si>
  <si>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</si>
  <si>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</si>
  <si>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Formato L1.2: Medición de caudal por el método área-velocidad: medidas desde la superficie del agua con medidor electromagnético</t>
  </si>
  <si>
    <t>Marca/Referencia del equipo</t>
  </si>
  <si>
    <t>Abscisa: Inicio Dovela # 1</t>
  </si>
  <si>
    <r>
      <rPr>
        <b/>
        <i/>
        <sz val="10"/>
        <color theme="1"/>
        <rFont val="Calibri"/>
        <family val="2"/>
        <scheme val="minor"/>
      </rPr>
      <t>Vi</t>
    </r>
    <r>
      <rPr>
        <sz val="10"/>
        <color theme="1"/>
        <rFont val="Calibri"/>
        <family val="2"/>
        <scheme val="minor"/>
      </rPr>
      <t>= Velocidad a cada yi</t>
    </r>
  </si>
  <si>
    <r>
      <rPr>
        <b/>
        <i/>
        <sz val="10"/>
        <color theme="1"/>
        <rFont val="Calibri"/>
        <family val="2"/>
        <scheme val="minor"/>
      </rPr>
      <t>hi</t>
    </r>
    <r>
      <rPr>
        <sz val="10"/>
        <color theme="1"/>
        <rFont val="Calibri"/>
        <family val="2"/>
        <scheme val="minor"/>
      </rPr>
      <t>= Profundidad correspondiente a cada abscisa</t>
    </r>
  </si>
  <si>
    <r>
      <rPr>
        <b/>
        <i/>
        <sz val="10"/>
        <color theme="1"/>
        <rFont val="Calibri"/>
        <family val="2"/>
        <scheme val="minor"/>
      </rPr>
      <t>y</t>
    </r>
    <r>
      <rPr>
        <b/>
        <sz val="10"/>
        <color theme="1"/>
        <rFont val="Calibri"/>
        <family val="2"/>
        <scheme val="minor"/>
      </rPr>
      <t>=</t>
    </r>
    <r>
      <rPr>
        <sz val="10"/>
        <color theme="1"/>
        <rFont val="Calibri"/>
        <family val="2"/>
        <scheme val="minor"/>
      </rPr>
      <t xml:space="preserve"> Profundidad en la mitad dovela</t>
    </r>
  </si>
  <si>
    <r>
      <rPr>
        <b/>
        <i/>
        <sz val="10"/>
        <color theme="1"/>
        <rFont val="Calibri"/>
        <family val="2"/>
        <scheme val="minor"/>
      </rPr>
      <t>Qi</t>
    </r>
    <r>
      <rPr>
        <sz val="10"/>
        <color theme="1"/>
        <rFont val="Calibri"/>
        <family val="2"/>
        <scheme val="minor"/>
      </rPr>
      <t>= Caudal por dovela</t>
    </r>
  </si>
  <si>
    <r>
      <rPr>
        <b/>
        <i/>
        <sz val="10"/>
        <color theme="1"/>
        <rFont val="Calibri"/>
        <family val="2"/>
        <scheme val="minor"/>
      </rPr>
      <t>T</t>
    </r>
    <r>
      <rPr>
        <b/>
        <i/>
        <vertAlign val="subscript"/>
        <sz val="10"/>
        <color theme="1"/>
        <rFont val="Calibri"/>
        <family val="2"/>
        <scheme val="minor"/>
      </rPr>
      <t>ll</t>
    </r>
    <r>
      <rPr>
        <sz val="10"/>
        <color theme="1"/>
        <rFont val="Calibri"/>
        <family val="2"/>
        <scheme val="minor"/>
      </rPr>
      <t>= Tiempo de llenado-solidos suspendidos</t>
    </r>
  </si>
  <si>
    <r>
      <rPr>
        <b/>
        <i/>
        <sz val="10"/>
        <color theme="1"/>
        <rFont val="Calibri"/>
        <family val="2"/>
        <scheme val="minor"/>
      </rPr>
      <t>Ai</t>
    </r>
    <r>
      <rPr>
        <sz val="10"/>
        <color theme="1"/>
        <rFont val="Calibri"/>
        <family val="2"/>
        <scheme val="minor"/>
      </rPr>
      <t>= Área por dovela</t>
    </r>
  </si>
  <si>
    <t xml:space="preserve">      = Velocidad promedio por dovela</t>
  </si>
  <si>
    <r>
      <rPr>
        <b/>
        <i/>
        <sz val="10"/>
        <color theme="1"/>
        <rFont val="Calibri"/>
        <family val="2"/>
        <scheme val="minor"/>
      </rPr>
      <t>Bq</t>
    </r>
    <r>
      <rPr>
        <sz val="10"/>
        <color theme="1"/>
        <rFont val="Calibri"/>
        <family val="2"/>
        <scheme val="minor"/>
      </rPr>
      <t xml:space="preserve"> = Boquilla muestreador solidos suspendidos</t>
    </r>
  </si>
  <si>
    <t>0.2y</t>
  </si>
  <si>
    <t>0.6y</t>
  </si>
  <si>
    <t>0.8y</t>
  </si>
  <si>
    <t>0.1y</t>
  </si>
  <si>
    <t>0.3y</t>
  </si>
  <si>
    <t>0.4y</t>
  </si>
  <si>
    <t>0.7y</t>
  </si>
  <si>
    <t>0.9y</t>
  </si>
  <si>
    <t xml:space="preserve">Nota 1:  Qi&lt;= 0.2Qt. Si no se cumple repetir                      
</t>
  </si>
  <si>
    <t xml:space="preserve">Nota 2:  Tomar la velocidad superficial del formato L2 </t>
  </si>
  <si>
    <t xml:space="preserve">Nota 3:  Para y&lt;0.2m medir solo a 0.4y </t>
  </si>
  <si>
    <t>Clima:</t>
  </si>
  <si>
    <t>Nota 4:  Tll es a partir de la curva "Sampling Volume 690 CC"   ingresando           en [ft/s]</t>
  </si>
  <si>
    <t>Detalle general</t>
  </si>
  <si>
    <t>Medida Nivel Inicial</t>
  </si>
  <si>
    <t>Detalle general del aforo</t>
  </si>
  <si>
    <t>NATALIA PEREZ VALENCIA</t>
  </si>
  <si>
    <t xml:space="preserve">Cálido </t>
  </si>
  <si>
    <t>Nivel inicial [cm]</t>
  </si>
  <si>
    <t>Nivel final [cm]</t>
  </si>
  <si>
    <t>DETERMINACION BANCA LLENA</t>
  </si>
  <si>
    <t>PERFIL TRANSVERSAL</t>
  </si>
  <si>
    <t>DETALLE DEL AFORO</t>
  </si>
  <si>
    <t>Quebrada El Guamo - Lavadero los puentes</t>
  </si>
  <si>
    <t>N 5° 4' 27.06"</t>
  </si>
  <si>
    <t>W 75° 29'54.54"</t>
  </si>
  <si>
    <t>Cálido con presencia de algunas llovisnas</t>
  </si>
  <si>
    <t>Durante la jornada se construyeron los anclajes para intalar la línea de vida. Teniendo en cuenta las observaciones de los asesores del GTA en Ingeniería Hidráulica y Ambiental: Si y&lt;0.20 m solo se toma la velocidad a 0.6 de y. Si y&gt;=0.20 se debe tomar velocidades a 0,2 - 0,6 y 0,8 de y</t>
  </si>
  <si>
    <r>
      <rPr>
        <b/>
        <sz val="11"/>
        <color theme="1"/>
        <rFont val="Calibri"/>
        <family val="2"/>
        <scheme val="minor"/>
      </rPr>
      <t>Nivel del agua en el sensor (m)</t>
    </r>
    <r>
      <rPr>
        <sz val="8"/>
        <color theme="1"/>
        <rFont val="Calibri"/>
        <family val="2"/>
        <scheme val="minor"/>
      </rPr>
      <t xml:space="preserve"> (Dato dado por el Operador de la red)</t>
    </r>
  </si>
  <si>
    <t>Detalle toma de temperatura</t>
  </si>
  <si>
    <t>Quebrada El Guamo-Lavadero Los Puentes</t>
  </si>
  <si>
    <t>N 5°4'27.36"</t>
  </si>
  <si>
    <t>W 75° 29'54.96"</t>
  </si>
  <si>
    <t>Durante la jornada se determinó banca llena. Teniendo en cuenta las observaciones de los asesores del GTA en Ingeniería Hidráulica y Ambiental: Si y&lt;0.120 m solo se toma la velocidad a 0.6 de y.</t>
  </si>
  <si>
    <t>Ubicación Dovelas</t>
  </si>
  <si>
    <t>W 75° 29' 54.96"</t>
  </si>
  <si>
    <t>Durante la jornada se determinó: Banca llena; perfil de la sección de aforo. Teniendo en cuenta las observaciones de los asesores del GTA en Ingeniería Hidráulica y Ambiental: Si y&lt;0.120 m solo se toma la velocidad a 0.6 de y. Si y&gt;=0.12m se toman velocidades a 0,2 -0,6 y 0,8 de y</t>
  </si>
  <si>
    <t>Durante la jornada se determinó: Perfil de la sección de aforo. Teniendo en cuenta las observaciones de los asesores del GTA en Ingeniería Hidráulica y Ambiental: Si y&lt;0.120 m solo se toma la velocidad a 0.6 de y. Si y&gt;=0.12m se toman velocidades a 0,2 -0,6 y 0,8 de y</t>
  </si>
  <si>
    <t>Perfil longitudinal</t>
  </si>
  <si>
    <t>Durante la jornada de aforo se determinó: Perfil de la sección de aforo, banca llena; Altura del nivel del agua al sensor. Teniendo en cuenta las observaciones de los asesores del GTA de Ingeniería Hidráulica y Ambiental los aforos se realizaron así: Si y &lt;= 0.12m se toma la velocidad a 0.6 de h. Si y&gt;0.12m se toman velocidades a 0.2 - 0.6 y 0.8 de y</t>
  </si>
  <si>
    <t>Convenio 221/2016 OPERACIÓN Y MANTENIMIENTO REDES HIDROMEOROLÓGICAS,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</si>
</sst>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  <numFmt numFmtId="168" formatCode="0.00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vertAlign val="sub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3" fillId="0" borderId="0" applyFont="0" applyFill="0" applyBorder="0" applyAlignment="0" applyProtection="0"/>
  </cellStyleXfs>
  <cellXfs count="328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6" xfId="0" applyFont="1" applyFill="1" applyBorder="1" applyAlignment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4" xfId="0" applyBorder="1" applyAlignment="1"/>
    <xf numFmtId="0" fontId="0" fillId="0" borderId="34" xfId="0" applyFont="1" applyBorder="1"/>
    <xf numFmtId="0" fontId="3" fillId="0" borderId="34" xfId="0" applyFont="1" applyBorder="1"/>
    <xf numFmtId="164" fontId="5" fillId="0" borderId="44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0" fontId="3" fillId="0" borderId="34" xfId="0" applyFont="1" applyFill="1" applyBorder="1"/>
    <xf numFmtId="0" fontId="3" fillId="0" borderId="0" xfId="0" applyFont="1" applyFill="1"/>
    <xf numFmtId="0" fontId="0" fillId="0" borderId="34" xfId="0" applyFill="1" applyBorder="1"/>
    <xf numFmtId="0" fontId="0" fillId="0" borderId="0" xfId="0" applyFill="1"/>
    <xf numFmtId="20" fontId="6" fillId="0" borderId="12" xfId="0" applyNumberFormat="1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vertical="center"/>
    </xf>
    <xf numFmtId="0" fontId="3" fillId="0" borderId="40" xfId="0" applyFont="1" applyFill="1" applyBorder="1" applyAlignment="1">
      <alignment vertical="center"/>
    </xf>
    <xf numFmtId="0" fontId="3" fillId="0" borderId="40" xfId="0" applyFont="1" applyFill="1" applyBorder="1" applyAlignment="1">
      <alignment horizontal="center" vertical="center"/>
    </xf>
    <xf numFmtId="20" fontId="6" fillId="0" borderId="14" xfId="0" applyNumberFormat="1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 vertical="center"/>
    </xf>
    <xf numFmtId="0" fontId="0" fillId="0" borderId="18" xfId="0" applyFill="1" applyBorder="1"/>
    <xf numFmtId="0" fontId="3" fillId="0" borderId="12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0" xfId="0" applyFont="1" applyBorder="1"/>
    <xf numFmtId="0" fontId="3" fillId="0" borderId="0" xfId="0" applyFont="1" applyBorder="1" applyAlignment="1"/>
    <xf numFmtId="0" fontId="1" fillId="4" borderId="15" xfId="0" applyFont="1" applyFill="1" applyBorder="1" applyAlignment="1">
      <alignment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2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6" fontId="5" fillId="0" borderId="16" xfId="0" applyNumberFormat="1" applyFont="1" applyBorder="1" applyAlignment="1">
      <alignment horizontal="center" vertical="center"/>
    </xf>
    <xf numFmtId="166" fontId="5" fillId="0" borderId="44" xfId="0" applyNumberFormat="1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164" fontId="0" fillId="0" borderId="0" xfId="0" applyNumberFormat="1" applyFont="1"/>
    <xf numFmtId="0" fontId="5" fillId="3" borderId="16" xfId="0" applyFont="1" applyFill="1" applyBorder="1" applyAlignment="1">
      <alignment horizontal="center"/>
    </xf>
    <xf numFmtId="0" fontId="0" fillId="0" borderId="18" xfId="0" applyBorder="1"/>
    <xf numFmtId="0" fontId="0" fillId="0" borderId="17" xfId="0" applyFont="1" applyBorder="1" applyAlignment="1">
      <alignment vertical="top" wrapText="1"/>
    </xf>
    <xf numFmtId="0" fontId="5" fillId="0" borderId="44" xfId="0" applyFont="1" applyBorder="1" applyAlignment="1">
      <alignment horizontal="center"/>
    </xf>
    <xf numFmtId="164" fontId="5" fillId="0" borderId="16" xfId="0" applyNumberFormat="1" applyFont="1" applyBorder="1" applyAlignment="1">
      <alignment horizontal="center" vertical="center"/>
    </xf>
    <xf numFmtId="164" fontId="5" fillId="0" borderId="44" xfId="0" applyNumberFormat="1" applyFont="1" applyBorder="1" applyAlignment="1">
      <alignment horizontal="center" vertical="center"/>
    </xf>
    <xf numFmtId="164" fontId="3" fillId="0" borderId="0" xfId="0" applyNumberFormat="1" applyFont="1"/>
    <xf numFmtId="20" fontId="6" fillId="0" borderId="23" xfId="0" applyNumberFormat="1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20" fontId="6" fillId="0" borderId="22" xfId="0" applyNumberFormat="1" applyFont="1" applyFill="1" applyBorder="1" applyAlignment="1">
      <alignment horizontal="center"/>
    </xf>
    <xf numFmtId="2" fontId="6" fillId="0" borderId="14" xfId="0" applyNumberFormat="1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center"/>
    </xf>
    <xf numFmtId="0" fontId="5" fillId="3" borderId="44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50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50" xfId="0" applyFont="1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4" borderId="9" xfId="0" applyFont="1" applyFill="1" applyBorder="1" applyAlignment="1">
      <alignment horizontal="left" vertical="top"/>
    </xf>
    <xf numFmtId="0" fontId="1" fillId="4" borderId="17" xfId="0" applyFont="1" applyFill="1" applyBorder="1" applyAlignment="1">
      <alignment horizontal="left" vertical="top"/>
    </xf>
    <xf numFmtId="0" fontId="1" fillId="4" borderId="50" xfId="0" applyFont="1" applyFill="1" applyBorder="1" applyAlignment="1">
      <alignment horizontal="left" vertical="top"/>
    </xf>
    <xf numFmtId="0" fontId="0" fillId="0" borderId="17" xfId="0" applyFont="1" applyBorder="1" applyAlignment="1">
      <alignment horizontal="center" vertical="top" wrapText="1"/>
    </xf>
    <xf numFmtId="0" fontId="0" fillId="0" borderId="50" xfId="0" applyFont="1" applyBorder="1" applyAlignment="1">
      <alignment horizontal="center" vertical="top" wrapText="1"/>
    </xf>
    <xf numFmtId="0" fontId="0" fillId="0" borderId="9" xfId="0" applyBorder="1" applyAlignment="1">
      <alignment horizontal="justify" vertical="justify" wrapText="1"/>
    </xf>
    <xf numFmtId="0" fontId="0" fillId="0" borderId="17" xfId="0" applyBorder="1" applyAlignment="1">
      <alignment horizontal="justify" vertical="justify" wrapText="1"/>
    </xf>
    <xf numFmtId="0" fontId="0" fillId="0" borderId="50" xfId="0" applyBorder="1" applyAlignment="1">
      <alignment horizontal="justify" vertical="justify" wrapText="1"/>
    </xf>
    <xf numFmtId="0" fontId="1" fillId="0" borderId="4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5" borderId="4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9" xfId="0" applyFont="1" applyBorder="1" applyAlignment="1">
      <alignment horizontal="center" wrapText="1"/>
    </xf>
    <xf numFmtId="0" fontId="0" fillId="0" borderId="30" xfId="0" applyFont="1" applyBorder="1" applyAlignment="1">
      <alignment horizontal="center" wrapText="1"/>
    </xf>
    <xf numFmtId="0" fontId="0" fillId="5" borderId="17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4" fillId="4" borderId="9" xfId="0" applyFont="1" applyFill="1" applyBorder="1" applyAlignment="1">
      <alignment horizontal="center" vertical="top" wrapText="1"/>
    </xf>
    <xf numFmtId="0" fontId="4" fillId="4" borderId="17" xfId="0" applyFont="1" applyFill="1" applyBorder="1" applyAlignment="1">
      <alignment horizontal="center" vertical="top" wrapText="1"/>
    </xf>
    <xf numFmtId="0" fontId="4" fillId="4" borderId="50" xfId="0" applyFont="1" applyFill="1" applyBorder="1" applyAlignment="1">
      <alignment horizontal="center" vertical="top" wrapText="1"/>
    </xf>
    <xf numFmtId="0" fontId="6" fillId="4" borderId="43" xfId="0" applyFont="1" applyFill="1" applyBorder="1" applyAlignment="1">
      <alignment horizontal="left" vertical="top" wrapText="1"/>
    </xf>
    <xf numFmtId="0" fontId="6" fillId="4" borderId="44" xfId="0" applyFont="1" applyFill="1" applyBorder="1" applyAlignment="1">
      <alignment horizontal="left" vertical="top" wrapText="1"/>
    </xf>
    <xf numFmtId="0" fontId="6" fillId="4" borderId="13" xfId="0" applyFont="1" applyFill="1" applyBorder="1" applyAlignment="1">
      <alignment horizontal="left" vertical="top" wrapText="1"/>
    </xf>
    <xf numFmtId="0" fontId="6" fillId="4" borderId="16" xfId="0" applyFont="1" applyFill="1" applyBorder="1" applyAlignment="1">
      <alignment horizontal="left" vertical="top" wrapText="1"/>
    </xf>
    <xf numFmtId="0" fontId="6" fillId="4" borderId="43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horizontal="center" vertical="top" wrapText="1"/>
    </xf>
    <xf numFmtId="0" fontId="1" fillId="0" borderId="4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9" xfId="0" applyFont="1" applyFill="1" applyBorder="1" applyAlignment="1">
      <alignment horizontal="center" vertical="top" wrapText="1"/>
    </xf>
    <xf numFmtId="0" fontId="1" fillId="0" borderId="30" xfId="0" applyFont="1" applyFill="1" applyBorder="1" applyAlignment="1">
      <alignment horizontal="center" vertical="top" wrapText="1"/>
    </xf>
    <xf numFmtId="0" fontId="1" fillId="0" borderId="31" xfId="0" applyFont="1" applyFill="1" applyBorder="1" applyAlignment="1">
      <alignment horizontal="center" vertical="top" wrapText="1"/>
    </xf>
    <xf numFmtId="0" fontId="5" fillId="3" borderId="18" xfId="0" applyFont="1" applyFill="1" applyBorder="1" applyAlignment="1">
      <alignment horizontal="center"/>
    </xf>
    <xf numFmtId="164" fontId="0" fillId="3" borderId="18" xfId="0" applyNumberFormat="1" applyFont="1" applyFill="1" applyBorder="1" applyAlignment="1">
      <alignment horizontal="center"/>
    </xf>
    <xf numFmtId="164" fontId="0" fillId="3" borderId="44" xfId="0" applyNumberFormat="1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 vertical="center"/>
    </xf>
    <xf numFmtId="164" fontId="5" fillId="3" borderId="18" xfId="0" applyNumberFormat="1" applyFont="1" applyFill="1" applyBorder="1" applyAlignment="1">
      <alignment horizontal="center" vertical="center"/>
    </xf>
    <xf numFmtId="164" fontId="5" fillId="3" borderId="44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166" fontId="5" fillId="3" borderId="15" xfId="0" applyNumberFormat="1" applyFont="1" applyFill="1" applyBorder="1" applyAlignment="1">
      <alignment horizontal="center" vertical="center"/>
    </xf>
    <xf numFmtId="166" fontId="5" fillId="3" borderId="18" xfId="0" applyNumberFormat="1" applyFont="1" applyFill="1" applyBorder="1" applyAlignment="1">
      <alignment horizontal="center" vertical="center"/>
    </xf>
    <xf numFmtId="166" fontId="5" fillId="3" borderId="16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/>
    </xf>
    <xf numFmtId="164" fontId="5" fillId="0" borderId="15" xfId="0" applyNumberFormat="1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66" fontId="5" fillId="0" borderId="15" xfId="0" applyNumberFormat="1" applyFont="1" applyBorder="1" applyAlignment="1">
      <alignment horizontal="center" vertical="center"/>
    </xf>
    <xf numFmtId="166" fontId="5" fillId="0" borderId="18" xfId="0" applyNumberFormat="1" applyFont="1" applyBorder="1" applyAlignment="1">
      <alignment horizontal="center" vertical="center"/>
    </xf>
    <xf numFmtId="166" fontId="5" fillId="0" borderId="16" xfId="0" applyNumberFormat="1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165" fontId="5" fillId="0" borderId="18" xfId="0" applyNumberFormat="1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5" fillId="0" borderId="18" xfId="0" applyNumberFormat="1" applyFont="1" applyBorder="1" applyAlignment="1">
      <alignment horizontal="center" vertical="center"/>
    </xf>
    <xf numFmtId="164" fontId="5" fillId="0" borderId="48" xfId="0" applyNumberFormat="1" applyFont="1" applyBorder="1" applyAlignment="1">
      <alignment horizontal="center" vertical="center"/>
    </xf>
    <xf numFmtId="164" fontId="5" fillId="0" borderId="4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2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168" fontId="5" fillId="0" borderId="15" xfId="0" applyNumberFormat="1" applyFont="1" applyBorder="1" applyAlignment="1">
      <alignment horizontal="center" vertical="center"/>
    </xf>
    <xf numFmtId="168" fontId="5" fillId="0" borderId="18" xfId="0" applyNumberFormat="1" applyFont="1" applyBorder="1" applyAlignment="1">
      <alignment horizontal="center" vertical="center"/>
    </xf>
    <xf numFmtId="168" fontId="5" fillId="0" borderId="16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164" fontId="5" fillId="0" borderId="32" xfId="0" applyNumberFormat="1" applyFont="1" applyBorder="1" applyAlignment="1">
      <alignment horizontal="center" vertical="center"/>
    </xf>
    <xf numFmtId="164" fontId="5" fillId="0" borderId="57" xfId="0" applyNumberFormat="1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166" fontId="5" fillId="0" borderId="48" xfId="0" applyNumberFormat="1" applyFont="1" applyBorder="1" applyAlignment="1">
      <alignment horizontal="center" vertical="center"/>
    </xf>
    <xf numFmtId="166" fontId="5" fillId="0" borderId="32" xfId="0" applyNumberFormat="1" applyFont="1" applyBorder="1" applyAlignment="1">
      <alignment horizontal="center" vertical="center"/>
    </xf>
    <xf numFmtId="166" fontId="5" fillId="0" borderId="57" xfId="0" applyNumberFormat="1" applyFont="1" applyBorder="1" applyAlignment="1">
      <alignment horizontal="center" vertical="center"/>
    </xf>
    <xf numFmtId="165" fontId="5" fillId="0" borderId="48" xfId="0" applyNumberFormat="1" applyFont="1" applyBorder="1" applyAlignment="1">
      <alignment horizontal="center" vertical="center"/>
    </xf>
    <xf numFmtId="165" fontId="5" fillId="0" borderId="32" xfId="0" applyNumberFormat="1" applyFont="1" applyBorder="1" applyAlignment="1">
      <alignment horizontal="center" vertical="center"/>
    </xf>
    <xf numFmtId="165" fontId="5" fillId="0" borderId="57" xfId="0" applyNumberFormat="1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53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top"/>
    </xf>
    <xf numFmtId="0" fontId="3" fillId="0" borderId="16" xfId="0" applyFont="1" applyFill="1" applyBorder="1" applyAlignment="1">
      <alignment horizontal="center" vertical="top"/>
    </xf>
    <xf numFmtId="20" fontId="6" fillId="0" borderId="16" xfId="0" applyNumberFormat="1" applyFont="1" applyFill="1" applyBorder="1" applyAlignment="1">
      <alignment horizontal="center" vertical="top"/>
    </xf>
    <xf numFmtId="0" fontId="6" fillId="0" borderId="14" xfId="0" applyFont="1" applyFill="1" applyBorder="1" applyAlignment="1">
      <alignment horizontal="center" vertical="top"/>
    </xf>
    <xf numFmtId="0" fontId="6" fillId="4" borderId="54" xfId="0" applyFont="1" applyFill="1" applyBorder="1" applyAlignment="1">
      <alignment horizontal="center" vertical="center" textRotation="90" wrapText="1"/>
    </xf>
    <xf numFmtId="0" fontId="6" fillId="4" borderId="55" xfId="0" applyFont="1" applyFill="1" applyBorder="1" applyAlignment="1">
      <alignment horizontal="center" vertical="center" textRotation="90" wrapText="1"/>
    </xf>
    <xf numFmtId="0" fontId="6" fillId="4" borderId="56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0" fontId="6" fillId="4" borderId="4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53" xfId="0" applyFont="1" applyFill="1" applyBorder="1" applyAlignment="1">
      <alignment horizontal="center" vertical="center" wrapText="1"/>
    </xf>
    <xf numFmtId="0" fontId="6" fillId="0" borderId="5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center" vertical="top"/>
    </xf>
    <xf numFmtId="0" fontId="6" fillId="0" borderId="15" xfId="0" applyFont="1" applyFill="1" applyBorder="1" applyAlignment="1">
      <alignment horizontal="center" vertical="top"/>
    </xf>
    <xf numFmtId="0" fontId="6" fillId="0" borderId="12" xfId="0" applyFont="1" applyFill="1" applyBorder="1" applyAlignment="1">
      <alignment horizontal="center" vertical="top"/>
    </xf>
    <xf numFmtId="0" fontId="3" fillId="0" borderId="29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6" fillId="0" borderId="49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5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center"/>
    </xf>
    <xf numFmtId="0" fontId="3" fillId="0" borderId="38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11" fillId="0" borderId="4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14" fontId="6" fillId="0" borderId="30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50" xfId="0" applyBorder="1" applyAlignment="1">
      <alignment horizontal="center"/>
    </xf>
    <xf numFmtId="166" fontId="5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/>
    </xf>
    <xf numFmtId="166" fontId="5" fillId="3" borderId="44" xfId="0" applyNumberFormat="1" applyFont="1" applyFill="1" applyBorder="1" applyAlignment="1">
      <alignment horizontal="center" vertical="center"/>
    </xf>
    <xf numFmtId="2" fontId="5" fillId="3" borderId="44" xfId="0" applyNumberFormat="1" applyFont="1" applyFill="1" applyBorder="1" applyAlignment="1">
      <alignment horizontal="center" vertical="center"/>
    </xf>
    <xf numFmtId="2" fontId="5" fillId="3" borderId="18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164" fontId="5" fillId="3" borderId="18" xfId="0" applyNumberFormat="1" applyFont="1" applyFill="1" applyBorder="1" applyAlignment="1">
      <alignment horizontal="center"/>
    </xf>
    <xf numFmtId="164" fontId="5" fillId="3" borderId="16" xfId="0" applyNumberFormat="1" applyFont="1" applyFill="1" applyBorder="1" applyAlignment="1">
      <alignment horizontal="center"/>
    </xf>
    <xf numFmtId="164" fontId="5" fillId="3" borderId="16" xfId="0" applyNumberFormat="1" applyFont="1" applyFill="1" applyBorder="1" applyAlignment="1">
      <alignment horizontal="center" vertical="center"/>
    </xf>
    <xf numFmtId="164" fontId="5" fillId="3" borderId="15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164" fontId="5" fillId="3" borderId="15" xfId="0" applyNumberFormat="1" applyFont="1" applyFill="1" applyBorder="1" applyAlignment="1">
      <alignment horizontal="center"/>
    </xf>
    <xf numFmtId="164" fontId="0" fillId="5" borderId="9" xfId="0" applyNumberFormat="1" applyFill="1" applyBorder="1" applyAlignment="1">
      <alignment horizontal="center"/>
    </xf>
    <xf numFmtId="164" fontId="0" fillId="5" borderId="50" xfId="0" applyNumberFormat="1" applyFill="1" applyBorder="1" applyAlignment="1">
      <alignment horizontal="center"/>
    </xf>
    <xf numFmtId="0" fontId="0" fillId="0" borderId="17" xfId="0" applyFont="1" applyBorder="1" applyAlignment="1">
      <alignment horizontal="left" vertical="top" wrapText="1"/>
    </xf>
    <xf numFmtId="0" fontId="0" fillId="0" borderId="50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center" wrapText="1"/>
    </xf>
    <xf numFmtId="0" fontId="0" fillId="0" borderId="17" xfId="0" applyFont="1" applyBorder="1" applyAlignment="1">
      <alignment horizontal="center" wrapText="1"/>
    </xf>
    <xf numFmtId="0" fontId="0" fillId="0" borderId="50" xfId="0" applyFont="1" applyBorder="1" applyAlignment="1">
      <alignment horizontal="center" wrapText="1"/>
    </xf>
    <xf numFmtId="0" fontId="0" fillId="5" borderId="9" xfId="0" applyFill="1" applyBorder="1" applyAlignment="1">
      <alignment horizontal="center"/>
    </xf>
    <xf numFmtId="0" fontId="0" fillId="0" borderId="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5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47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2" fontId="6" fillId="0" borderId="52" xfId="0" applyNumberFormat="1" applyFont="1" applyFill="1" applyBorder="1" applyAlignment="1">
      <alignment horizontal="center" vertical="center" wrapText="1"/>
    </xf>
    <xf numFmtId="2" fontId="6" fillId="0" borderId="10" xfId="0" applyNumberFormat="1" applyFont="1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 vertical="center"/>
    </xf>
    <xf numFmtId="0" fontId="6" fillId="0" borderId="49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50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/>
    </xf>
    <xf numFmtId="0" fontId="0" fillId="0" borderId="4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2" fillId="0" borderId="42" xfId="0" applyFont="1" applyBorder="1" applyAlignment="1">
      <alignment horizontal="center" wrapText="1"/>
    </xf>
    <xf numFmtId="0" fontId="0" fillId="0" borderId="2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2" fillId="0" borderId="26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" Type="http://schemas.openxmlformats.org/officeDocument/2006/relationships/image" Target="../media/image4.jpe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5.jpeg"/><Relationship Id="rId1" Type="http://schemas.openxmlformats.org/officeDocument/2006/relationships/image" Target="../media/image4.jpe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4.jpe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22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466725"/>
          <a:ext cx="5334000" cy="3619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9</xdr:col>
      <xdr:colOff>0</xdr:colOff>
      <xdr:row>39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638675"/>
          <a:ext cx="5334000" cy="247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2412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318954</xdr:colOff>
      <xdr:row>59</xdr:row>
      <xdr:rowOff>69668</xdr:rowOff>
    </xdr:from>
    <xdr:to>
      <xdr:col>8</xdr:col>
      <xdr:colOff>293916</xdr:colOff>
      <xdr:row>63</xdr:row>
      <xdr:rowOff>65314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79" y="11128193"/>
          <a:ext cx="3518262" cy="1367246"/>
        </a:xfrm>
        <a:prstGeom prst="rect">
          <a:avLst/>
        </a:prstGeom>
      </xdr:spPr>
    </xdr:pic>
    <xdr:clientData/>
  </xdr:twoCellAnchor>
  <xdr:oneCellAnchor>
    <xdr:from>
      <xdr:col>3</xdr:col>
      <xdr:colOff>403127</xdr:colOff>
      <xdr:row>57</xdr:row>
      <xdr:rowOff>397957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19 CuadroTexto"/>
            <xdr:cNvSpPr txBox="1"/>
          </xdr:nvSpPr>
          <xdr:spPr>
            <a:xfrm>
              <a:off x="1355627" y="1054208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19 CuadroTexto"/>
            <xdr:cNvSpPr txBox="1"/>
          </xdr:nvSpPr>
          <xdr:spPr>
            <a:xfrm>
              <a:off x="1355627" y="1054208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185307</xdr:colOff>
      <xdr:row>57</xdr:row>
      <xdr:rowOff>320459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20 CuadroTexto"/>
            <xdr:cNvSpPr txBox="1"/>
          </xdr:nvSpPr>
          <xdr:spPr>
            <a:xfrm>
              <a:off x="3738132" y="1046458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20 CuadroTexto"/>
            <xdr:cNvSpPr txBox="1"/>
          </xdr:nvSpPr>
          <xdr:spPr>
            <a:xfrm>
              <a:off x="3738132" y="1046458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422095</xdr:colOff>
      <xdr:row>57</xdr:row>
      <xdr:rowOff>27002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1 CuadroTexto"/>
            <xdr:cNvSpPr txBox="1"/>
          </xdr:nvSpPr>
          <xdr:spPr>
            <a:xfrm>
              <a:off x="4908370" y="1017112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1 CuadroTexto"/>
            <xdr:cNvSpPr txBox="1"/>
          </xdr:nvSpPr>
          <xdr:spPr>
            <a:xfrm>
              <a:off x="4908370" y="1017112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276287</xdr:colOff>
      <xdr:row>57</xdr:row>
      <xdr:rowOff>18715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2 CuadroTexto"/>
            <xdr:cNvSpPr txBox="1"/>
          </xdr:nvSpPr>
          <xdr:spPr>
            <a:xfrm>
              <a:off x="7705787" y="1016284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2 CuadroTexto"/>
            <xdr:cNvSpPr txBox="1"/>
          </xdr:nvSpPr>
          <xdr:spPr>
            <a:xfrm>
              <a:off x="7705787" y="1016284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57</xdr:row>
      <xdr:rowOff>47061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1 CuadroTexto"/>
            <xdr:cNvSpPr txBox="1"/>
          </xdr:nvSpPr>
          <xdr:spPr>
            <a:xfrm>
              <a:off x="737549" y="1019118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1 CuadroTexto"/>
            <xdr:cNvSpPr txBox="1"/>
          </xdr:nvSpPr>
          <xdr:spPr>
            <a:xfrm>
              <a:off x="737549" y="1019118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166236</xdr:colOff>
      <xdr:row>57</xdr:row>
      <xdr:rowOff>319663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19 CuadroTexto"/>
            <xdr:cNvSpPr txBox="1"/>
          </xdr:nvSpPr>
          <xdr:spPr>
            <a:xfrm>
              <a:off x="6719436" y="1046378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0" name="19 CuadroTexto"/>
            <xdr:cNvSpPr txBox="1"/>
          </xdr:nvSpPr>
          <xdr:spPr>
            <a:xfrm>
              <a:off x="6719436" y="1046378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2</xdr:col>
      <xdr:colOff>0</xdr:colOff>
      <xdr:row>12</xdr:row>
      <xdr:rowOff>57150</xdr:rowOff>
    </xdr:from>
    <xdr:ext cx="169469" cy="196464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457200" y="231457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2412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318954</xdr:colOff>
      <xdr:row>59</xdr:row>
      <xdr:rowOff>69668</xdr:rowOff>
    </xdr:from>
    <xdr:to>
      <xdr:col>8</xdr:col>
      <xdr:colOff>293916</xdr:colOff>
      <xdr:row>63</xdr:row>
      <xdr:rowOff>65314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79" y="11128193"/>
          <a:ext cx="3518262" cy="1367246"/>
        </a:xfrm>
        <a:prstGeom prst="rect">
          <a:avLst/>
        </a:prstGeom>
      </xdr:spPr>
    </xdr:pic>
    <xdr:clientData/>
  </xdr:twoCellAnchor>
  <xdr:oneCellAnchor>
    <xdr:from>
      <xdr:col>3</xdr:col>
      <xdr:colOff>403127</xdr:colOff>
      <xdr:row>57</xdr:row>
      <xdr:rowOff>397957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/>
            <xdr:cNvSpPr txBox="1"/>
          </xdr:nvSpPr>
          <xdr:spPr>
            <a:xfrm>
              <a:off x="1355627" y="1054208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/>
            <xdr:cNvSpPr txBox="1"/>
          </xdr:nvSpPr>
          <xdr:spPr>
            <a:xfrm>
              <a:off x="1355627" y="1054208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185307</xdr:colOff>
      <xdr:row>57</xdr:row>
      <xdr:rowOff>320459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20 CuadroTexto"/>
            <xdr:cNvSpPr txBox="1"/>
          </xdr:nvSpPr>
          <xdr:spPr>
            <a:xfrm>
              <a:off x="3738132" y="1046458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20 CuadroTexto"/>
            <xdr:cNvSpPr txBox="1"/>
          </xdr:nvSpPr>
          <xdr:spPr>
            <a:xfrm>
              <a:off x="3738132" y="1046458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422095</xdr:colOff>
      <xdr:row>57</xdr:row>
      <xdr:rowOff>27002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21 CuadroTexto"/>
            <xdr:cNvSpPr txBox="1"/>
          </xdr:nvSpPr>
          <xdr:spPr>
            <a:xfrm>
              <a:off x="4908370" y="1017112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21 CuadroTexto"/>
            <xdr:cNvSpPr txBox="1"/>
          </xdr:nvSpPr>
          <xdr:spPr>
            <a:xfrm>
              <a:off x="4908370" y="1017112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276287</xdr:colOff>
      <xdr:row>57</xdr:row>
      <xdr:rowOff>18715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22 CuadroTexto"/>
            <xdr:cNvSpPr txBox="1"/>
          </xdr:nvSpPr>
          <xdr:spPr>
            <a:xfrm>
              <a:off x="7705787" y="1016284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22 CuadroTexto"/>
            <xdr:cNvSpPr txBox="1"/>
          </xdr:nvSpPr>
          <xdr:spPr>
            <a:xfrm>
              <a:off x="7705787" y="1016284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57</xdr:row>
      <xdr:rowOff>47061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21 CuadroTexto"/>
            <xdr:cNvSpPr txBox="1"/>
          </xdr:nvSpPr>
          <xdr:spPr>
            <a:xfrm>
              <a:off x="737549" y="1019118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8" name="21 CuadroTexto"/>
            <xdr:cNvSpPr txBox="1"/>
          </xdr:nvSpPr>
          <xdr:spPr>
            <a:xfrm>
              <a:off x="737549" y="1019118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166236</xdr:colOff>
      <xdr:row>57</xdr:row>
      <xdr:rowOff>319663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19 CuadroTexto"/>
            <xdr:cNvSpPr txBox="1"/>
          </xdr:nvSpPr>
          <xdr:spPr>
            <a:xfrm>
              <a:off x="6719436" y="1046378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9" name="19 CuadroTexto"/>
            <xdr:cNvSpPr txBox="1"/>
          </xdr:nvSpPr>
          <xdr:spPr>
            <a:xfrm>
              <a:off x="6719436" y="1046378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769620</xdr:colOff>
      <xdr:row>63</xdr:row>
      <xdr:rowOff>182880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199120" y="1261300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199120" y="1261300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12</xdr:col>
      <xdr:colOff>601980</xdr:colOff>
      <xdr:row>67</xdr:row>
      <xdr:rowOff>122695</xdr:rowOff>
    </xdr:from>
    <xdr:to>
      <xdr:col>14</xdr:col>
      <xdr:colOff>624840</xdr:colOff>
      <xdr:row>67</xdr:row>
      <xdr:rowOff>1703543</xdr:rowOff>
    </xdr:to>
    <xdr:pic>
      <xdr:nvPicPr>
        <xdr:cNvPr id="21" name="Imagen 20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956"/>
        <a:stretch/>
      </xdr:blipFill>
      <xdr:spPr>
        <a:xfrm>
          <a:off x="6421755" y="13419595"/>
          <a:ext cx="1632585" cy="1580848"/>
        </a:xfrm>
        <a:prstGeom prst="rect">
          <a:avLst/>
        </a:prstGeom>
      </xdr:spPr>
    </xdr:pic>
    <xdr:clientData/>
  </xdr:twoCellAnchor>
  <xdr:twoCellAnchor editAs="oneCell">
    <xdr:from>
      <xdr:col>1</xdr:col>
      <xdr:colOff>403860</xdr:colOff>
      <xdr:row>67</xdr:row>
      <xdr:rowOff>80761</xdr:rowOff>
    </xdr:from>
    <xdr:to>
      <xdr:col>5</xdr:col>
      <xdr:colOff>259080</xdr:colOff>
      <xdr:row>67</xdr:row>
      <xdr:rowOff>1711927</xdr:rowOff>
    </xdr:to>
    <xdr:pic>
      <xdr:nvPicPr>
        <xdr:cNvPr id="22" name="Imagen 21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168" b="31632"/>
        <a:stretch/>
      </xdr:blipFill>
      <xdr:spPr>
        <a:xfrm>
          <a:off x="413385" y="13377661"/>
          <a:ext cx="1988820" cy="1631166"/>
        </a:xfrm>
        <a:prstGeom prst="rect">
          <a:avLst/>
        </a:prstGeom>
      </xdr:spPr>
    </xdr:pic>
    <xdr:clientData/>
  </xdr:twoCellAnchor>
  <xdr:twoCellAnchor>
    <xdr:from>
      <xdr:col>7</xdr:col>
      <xdr:colOff>373380</xdr:colOff>
      <xdr:row>67</xdr:row>
      <xdr:rowOff>101830</xdr:rowOff>
    </xdr:from>
    <xdr:to>
      <xdr:col>10</xdr:col>
      <xdr:colOff>537385</xdr:colOff>
      <xdr:row>67</xdr:row>
      <xdr:rowOff>1739343</xdr:rowOff>
    </xdr:to>
    <xdr:grpSp>
      <xdr:nvGrpSpPr>
        <xdr:cNvPr id="24" name="Grupo 23"/>
        <xdr:cNvGrpSpPr/>
      </xdr:nvGrpSpPr>
      <xdr:grpSpPr>
        <a:xfrm>
          <a:off x="3545205" y="13589230"/>
          <a:ext cx="1478455" cy="1637513"/>
          <a:chOff x="3627120" y="13497790"/>
          <a:chExt cx="1512745" cy="1637513"/>
        </a:xfrm>
      </xdr:grpSpPr>
      <xdr:pic>
        <xdr:nvPicPr>
          <xdr:cNvPr id="25" name="Imagen 24"/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1027" b="15685"/>
          <a:stretch/>
        </xdr:blipFill>
        <xdr:spPr>
          <a:xfrm>
            <a:off x="3627120" y="13497790"/>
            <a:ext cx="1455419" cy="1637513"/>
          </a:xfrm>
          <a:prstGeom prst="rect">
            <a:avLst/>
          </a:prstGeom>
        </xdr:spPr>
      </xdr:pic>
      <xdr:cxnSp macro="">
        <xdr:nvCxnSpPr>
          <xdr:cNvPr id="26" name="Conector recto de flecha 25"/>
          <xdr:cNvCxnSpPr>
            <a:stCxn id="27" idx="0"/>
          </xdr:cNvCxnSpPr>
        </xdr:nvCxnSpPr>
        <xdr:spPr>
          <a:xfrm flipH="1" flipV="1">
            <a:off x="4419600" y="14455140"/>
            <a:ext cx="287743" cy="15675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CuadroTexto 26"/>
          <xdr:cNvSpPr txBox="1"/>
        </xdr:nvSpPr>
        <xdr:spPr>
          <a:xfrm>
            <a:off x="4274820" y="14611894"/>
            <a:ext cx="865045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MX" sz="800">
                <a:solidFill>
                  <a:srgbClr val="C00000"/>
                </a:solidFill>
              </a:rPr>
              <a:t>Sentido del flujo</a:t>
            </a:r>
          </a:p>
        </xdr:txBody>
      </xdr:sp>
    </xdr:grpSp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29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8622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169469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2724150" y="199072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2412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68581</xdr:colOff>
      <xdr:row>59</xdr:row>
      <xdr:rowOff>91440</xdr:rowOff>
    </xdr:from>
    <xdr:to>
      <xdr:col>8</xdr:col>
      <xdr:colOff>388620</xdr:colOff>
      <xdr:row>64</xdr:row>
      <xdr:rowOff>140970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6" y="11149965"/>
          <a:ext cx="3863339" cy="1611630"/>
        </a:xfrm>
        <a:prstGeom prst="rect">
          <a:avLst/>
        </a:prstGeom>
      </xdr:spPr>
    </xdr:pic>
    <xdr:clientData/>
  </xdr:twoCellAnchor>
  <xdr:oneCellAnchor>
    <xdr:from>
      <xdr:col>13</xdr:col>
      <xdr:colOff>294270</xdr:colOff>
      <xdr:row>57</xdr:row>
      <xdr:rowOff>104043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19 CuadroTexto"/>
            <xdr:cNvSpPr txBox="1"/>
          </xdr:nvSpPr>
          <xdr:spPr>
            <a:xfrm>
              <a:off x="6847470" y="1024816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19 CuadroTexto"/>
            <xdr:cNvSpPr txBox="1"/>
          </xdr:nvSpPr>
          <xdr:spPr>
            <a:xfrm>
              <a:off x="6847470" y="1024816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163536</xdr:colOff>
      <xdr:row>57</xdr:row>
      <xdr:rowOff>440202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0 CuadroTexto"/>
            <xdr:cNvSpPr txBox="1"/>
          </xdr:nvSpPr>
          <xdr:spPr>
            <a:xfrm>
              <a:off x="3716361" y="1058432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0 CuadroTexto"/>
            <xdr:cNvSpPr txBox="1"/>
          </xdr:nvSpPr>
          <xdr:spPr>
            <a:xfrm>
              <a:off x="3716361" y="1058432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367666</xdr:colOff>
      <xdr:row>57</xdr:row>
      <xdr:rowOff>473320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1 CuadroTexto"/>
            <xdr:cNvSpPr txBox="1"/>
          </xdr:nvSpPr>
          <xdr:spPr>
            <a:xfrm>
              <a:off x="377191" y="1061744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1 CuadroTexto"/>
            <xdr:cNvSpPr txBox="1"/>
          </xdr:nvSpPr>
          <xdr:spPr>
            <a:xfrm>
              <a:off x="377191" y="1061744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69459</xdr:colOff>
      <xdr:row>57</xdr:row>
      <xdr:rowOff>29601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2 CuadroTexto"/>
            <xdr:cNvSpPr txBox="1"/>
          </xdr:nvSpPr>
          <xdr:spPr>
            <a:xfrm>
              <a:off x="5355834" y="1017372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2 CuadroTexto"/>
            <xdr:cNvSpPr txBox="1"/>
          </xdr:nvSpPr>
          <xdr:spPr>
            <a:xfrm>
              <a:off x="5355834" y="1017372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57</xdr:row>
      <xdr:rowOff>57947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1 CuadroTexto"/>
            <xdr:cNvSpPr txBox="1"/>
          </xdr:nvSpPr>
          <xdr:spPr>
            <a:xfrm>
              <a:off x="737549" y="1020207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1 CuadroTexto"/>
            <xdr:cNvSpPr txBox="1"/>
          </xdr:nvSpPr>
          <xdr:spPr>
            <a:xfrm>
              <a:off x="737549" y="1020207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318636</xdr:colOff>
      <xdr:row>57</xdr:row>
      <xdr:rowOff>482949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/>
            <xdr:cNvSpPr txBox="1"/>
          </xdr:nvSpPr>
          <xdr:spPr>
            <a:xfrm>
              <a:off x="6871836" y="1062707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1" name="19 CuadroTexto"/>
            <xdr:cNvSpPr txBox="1"/>
          </xdr:nvSpPr>
          <xdr:spPr>
            <a:xfrm>
              <a:off x="6871836" y="1062707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15</xdr:col>
      <xdr:colOff>7620</xdr:colOff>
      <xdr:row>63</xdr:row>
      <xdr:rowOff>182880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56245" y="1261300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56245" y="1261300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8</xdr:col>
      <xdr:colOff>179388</xdr:colOff>
      <xdr:row>67</xdr:row>
      <xdr:rowOff>47627</xdr:rowOff>
    </xdr:from>
    <xdr:to>
      <xdr:col>10</xdr:col>
      <xdr:colOff>397271</xdr:colOff>
      <xdr:row>67</xdr:row>
      <xdr:rowOff>1760538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451424" y="13511016"/>
          <a:ext cx="1712911" cy="1151333"/>
        </a:xfrm>
        <a:prstGeom prst="rect">
          <a:avLst/>
        </a:prstGeom>
      </xdr:spPr>
    </xdr:pic>
    <xdr:clientData/>
  </xdr:twoCellAnchor>
  <xdr:twoCellAnchor editAs="oneCell">
    <xdr:from>
      <xdr:col>13</xdr:col>
      <xdr:colOff>428626</xdr:colOff>
      <xdr:row>67</xdr:row>
      <xdr:rowOff>38099</xdr:rowOff>
    </xdr:from>
    <xdr:to>
      <xdr:col>14</xdr:col>
      <xdr:colOff>571500</xdr:colOff>
      <xdr:row>67</xdr:row>
      <xdr:rowOff>1748364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1826" y="13220699"/>
          <a:ext cx="857249" cy="1710265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295276</xdr:colOff>
      <xdr:row>67</xdr:row>
      <xdr:rowOff>47624</xdr:rowOff>
    </xdr:from>
    <xdr:to>
      <xdr:col>5</xdr:col>
      <xdr:colOff>326160</xdr:colOff>
      <xdr:row>67</xdr:row>
      <xdr:rowOff>1733549</xdr:rowOff>
    </xdr:to>
    <xdr:pic>
      <xdr:nvPicPr>
        <xdr:cNvPr id="15" name="Imagen 14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28" t="14647" r="24148" b="35354"/>
        <a:stretch/>
      </xdr:blipFill>
      <xdr:spPr>
        <a:xfrm>
          <a:off x="304801" y="13230224"/>
          <a:ext cx="2164484" cy="168592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8622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169469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2724150" y="199072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2412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68581</xdr:colOff>
      <xdr:row>59</xdr:row>
      <xdr:rowOff>91440</xdr:rowOff>
    </xdr:from>
    <xdr:to>
      <xdr:col>8</xdr:col>
      <xdr:colOff>388620</xdr:colOff>
      <xdr:row>64</xdr:row>
      <xdr:rowOff>140970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6" y="11121390"/>
          <a:ext cx="3863339" cy="1611630"/>
        </a:xfrm>
        <a:prstGeom prst="rect">
          <a:avLst/>
        </a:prstGeom>
      </xdr:spPr>
    </xdr:pic>
    <xdr:clientData/>
  </xdr:twoCellAnchor>
  <xdr:oneCellAnchor>
    <xdr:from>
      <xdr:col>13</xdr:col>
      <xdr:colOff>294270</xdr:colOff>
      <xdr:row>57</xdr:row>
      <xdr:rowOff>104043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19 CuadroTexto"/>
            <xdr:cNvSpPr txBox="1"/>
          </xdr:nvSpPr>
          <xdr:spPr>
            <a:xfrm>
              <a:off x="6847470" y="10219593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19 CuadroTexto"/>
            <xdr:cNvSpPr txBox="1"/>
          </xdr:nvSpPr>
          <xdr:spPr>
            <a:xfrm>
              <a:off x="6847470" y="10219593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163536</xdr:colOff>
      <xdr:row>57</xdr:row>
      <xdr:rowOff>440202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0 CuadroTexto"/>
            <xdr:cNvSpPr txBox="1"/>
          </xdr:nvSpPr>
          <xdr:spPr>
            <a:xfrm>
              <a:off x="3716361" y="10555752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0 CuadroTexto"/>
            <xdr:cNvSpPr txBox="1"/>
          </xdr:nvSpPr>
          <xdr:spPr>
            <a:xfrm>
              <a:off x="3716361" y="10555752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367666</xdr:colOff>
      <xdr:row>57</xdr:row>
      <xdr:rowOff>473320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1 CuadroTexto"/>
            <xdr:cNvSpPr txBox="1"/>
          </xdr:nvSpPr>
          <xdr:spPr>
            <a:xfrm>
              <a:off x="377191" y="10588870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1 CuadroTexto"/>
            <xdr:cNvSpPr txBox="1"/>
          </xdr:nvSpPr>
          <xdr:spPr>
            <a:xfrm>
              <a:off x="377191" y="10588870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69459</xdr:colOff>
      <xdr:row>57</xdr:row>
      <xdr:rowOff>29601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2 CuadroTexto"/>
            <xdr:cNvSpPr txBox="1"/>
          </xdr:nvSpPr>
          <xdr:spPr>
            <a:xfrm>
              <a:off x="5355834" y="10145151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2 CuadroTexto"/>
            <xdr:cNvSpPr txBox="1"/>
          </xdr:nvSpPr>
          <xdr:spPr>
            <a:xfrm>
              <a:off x="5355834" y="10145151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57</xdr:row>
      <xdr:rowOff>57947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1 CuadroTexto"/>
            <xdr:cNvSpPr txBox="1"/>
          </xdr:nvSpPr>
          <xdr:spPr>
            <a:xfrm>
              <a:off x="737549" y="10173497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1 CuadroTexto"/>
            <xdr:cNvSpPr txBox="1"/>
          </xdr:nvSpPr>
          <xdr:spPr>
            <a:xfrm>
              <a:off x="737549" y="10173497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318636</xdr:colOff>
      <xdr:row>57</xdr:row>
      <xdr:rowOff>482949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/>
            <xdr:cNvSpPr txBox="1"/>
          </xdr:nvSpPr>
          <xdr:spPr>
            <a:xfrm>
              <a:off x="6871836" y="10598499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1" name="19 CuadroTexto"/>
            <xdr:cNvSpPr txBox="1"/>
          </xdr:nvSpPr>
          <xdr:spPr>
            <a:xfrm>
              <a:off x="6871836" y="10598499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63</xdr:row>
      <xdr:rowOff>189800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259135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259135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8</xdr:col>
      <xdr:colOff>69273</xdr:colOff>
      <xdr:row>67</xdr:row>
      <xdr:rowOff>50455</xdr:rowOff>
    </xdr:from>
    <xdr:to>
      <xdr:col>10</xdr:col>
      <xdr:colOff>640773</xdr:colOff>
      <xdr:row>67</xdr:row>
      <xdr:rowOff>1750612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2098" y="13204480"/>
          <a:ext cx="1504950" cy="1700157"/>
        </a:xfrm>
        <a:prstGeom prst="rect">
          <a:avLst/>
        </a:prstGeom>
      </xdr:spPr>
    </xdr:pic>
    <xdr:clientData/>
  </xdr:twoCellAnchor>
  <xdr:twoCellAnchor editAs="oneCell">
    <xdr:from>
      <xdr:col>2</xdr:col>
      <xdr:colOff>455676</xdr:colOff>
      <xdr:row>67</xdr:row>
      <xdr:rowOff>47624</xdr:rowOff>
    </xdr:from>
    <xdr:to>
      <xdr:col>4</xdr:col>
      <xdr:colOff>441612</xdr:colOff>
      <xdr:row>67</xdr:row>
      <xdr:rowOff>1733549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876" y="13201649"/>
          <a:ext cx="1214661" cy="168592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6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78622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169469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2724150" y="199072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2412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68581</xdr:colOff>
      <xdr:row>59</xdr:row>
      <xdr:rowOff>91440</xdr:rowOff>
    </xdr:from>
    <xdr:to>
      <xdr:col>8</xdr:col>
      <xdr:colOff>388620</xdr:colOff>
      <xdr:row>64</xdr:row>
      <xdr:rowOff>144434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6" y="11121390"/>
          <a:ext cx="3863339" cy="1615094"/>
        </a:xfrm>
        <a:prstGeom prst="rect">
          <a:avLst/>
        </a:prstGeom>
      </xdr:spPr>
    </xdr:pic>
    <xdr:clientData/>
  </xdr:twoCellAnchor>
  <xdr:oneCellAnchor>
    <xdr:from>
      <xdr:col>13</xdr:col>
      <xdr:colOff>294270</xdr:colOff>
      <xdr:row>57</xdr:row>
      <xdr:rowOff>104043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19 CuadroTexto"/>
            <xdr:cNvSpPr txBox="1"/>
          </xdr:nvSpPr>
          <xdr:spPr>
            <a:xfrm>
              <a:off x="6847470" y="10219593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19 CuadroTexto"/>
            <xdr:cNvSpPr txBox="1"/>
          </xdr:nvSpPr>
          <xdr:spPr>
            <a:xfrm>
              <a:off x="6847470" y="10219593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163536</xdr:colOff>
      <xdr:row>57</xdr:row>
      <xdr:rowOff>440202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0 CuadroTexto"/>
            <xdr:cNvSpPr txBox="1"/>
          </xdr:nvSpPr>
          <xdr:spPr>
            <a:xfrm>
              <a:off x="3716361" y="10555752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0 CuadroTexto"/>
            <xdr:cNvSpPr txBox="1"/>
          </xdr:nvSpPr>
          <xdr:spPr>
            <a:xfrm>
              <a:off x="3716361" y="10555752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367666</xdr:colOff>
      <xdr:row>57</xdr:row>
      <xdr:rowOff>473320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1 CuadroTexto"/>
            <xdr:cNvSpPr txBox="1"/>
          </xdr:nvSpPr>
          <xdr:spPr>
            <a:xfrm>
              <a:off x="377191" y="10588870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1 CuadroTexto"/>
            <xdr:cNvSpPr txBox="1"/>
          </xdr:nvSpPr>
          <xdr:spPr>
            <a:xfrm>
              <a:off x="377191" y="10588870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69459</xdr:colOff>
      <xdr:row>57</xdr:row>
      <xdr:rowOff>29601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2 CuadroTexto"/>
            <xdr:cNvSpPr txBox="1"/>
          </xdr:nvSpPr>
          <xdr:spPr>
            <a:xfrm>
              <a:off x="5355834" y="10145151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2 CuadroTexto"/>
            <xdr:cNvSpPr txBox="1"/>
          </xdr:nvSpPr>
          <xdr:spPr>
            <a:xfrm>
              <a:off x="5355834" y="10145151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57</xdr:row>
      <xdr:rowOff>57947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1 CuadroTexto"/>
            <xdr:cNvSpPr txBox="1"/>
          </xdr:nvSpPr>
          <xdr:spPr>
            <a:xfrm>
              <a:off x="737549" y="10173497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1 CuadroTexto"/>
            <xdr:cNvSpPr txBox="1"/>
          </xdr:nvSpPr>
          <xdr:spPr>
            <a:xfrm>
              <a:off x="737549" y="10173497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318636</xdr:colOff>
      <xdr:row>57</xdr:row>
      <xdr:rowOff>482949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/>
            <xdr:cNvSpPr txBox="1"/>
          </xdr:nvSpPr>
          <xdr:spPr>
            <a:xfrm>
              <a:off x="6871836" y="10598499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1" name="19 CuadroTexto"/>
            <xdr:cNvSpPr txBox="1"/>
          </xdr:nvSpPr>
          <xdr:spPr>
            <a:xfrm>
              <a:off x="6871836" y="10598499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63</xdr:row>
      <xdr:rowOff>189800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259135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259135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8</xdr:col>
      <xdr:colOff>69273</xdr:colOff>
      <xdr:row>67</xdr:row>
      <xdr:rowOff>50455</xdr:rowOff>
    </xdr:from>
    <xdr:to>
      <xdr:col>10</xdr:col>
      <xdr:colOff>640773</xdr:colOff>
      <xdr:row>67</xdr:row>
      <xdr:rowOff>1750612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2098" y="13204480"/>
          <a:ext cx="1504950" cy="1700157"/>
        </a:xfrm>
        <a:prstGeom prst="rect">
          <a:avLst/>
        </a:prstGeom>
      </xdr:spPr>
    </xdr:pic>
    <xdr:clientData/>
  </xdr:twoCellAnchor>
  <xdr:twoCellAnchor editAs="oneCell">
    <xdr:from>
      <xdr:col>2</xdr:col>
      <xdr:colOff>455676</xdr:colOff>
      <xdr:row>67</xdr:row>
      <xdr:rowOff>47624</xdr:rowOff>
    </xdr:from>
    <xdr:to>
      <xdr:col>4</xdr:col>
      <xdr:colOff>441612</xdr:colOff>
      <xdr:row>67</xdr:row>
      <xdr:rowOff>1733549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876" y="13201649"/>
          <a:ext cx="1214661" cy="168592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6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78622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169469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2724150" y="199072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2412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68581</xdr:colOff>
      <xdr:row>56</xdr:row>
      <xdr:rowOff>91440</xdr:rowOff>
    </xdr:from>
    <xdr:to>
      <xdr:col>8</xdr:col>
      <xdr:colOff>388620</xdr:colOff>
      <xdr:row>61</xdr:row>
      <xdr:rowOff>144433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6" y="10607040"/>
          <a:ext cx="3863339" cy="1615093"/>
        </a:xfrm>
        <a:prstGeom prst="rect">
          <a:avLst/>
        </a:prstGeom>
      </xdr:spPr>
    </xdr:pic>
    <xdr:clientData/>
  </xdr:twoCellAnchor>
  <xdr:oneCellAnchor>
    <xdr:from>
      <xdr:col>13</xdr:col>
      <xdr:colOff>294270</xdr:colOff>
      <xdr:row>54</xdr:row>
      <xdr:rowOff>104043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19 CuadroTexto"/>
            <xdr:cNvSpPr txBox="1"/>
          </xdr:nvSpPr>
          <xdr:spPr>
            <a:xfrm>
              <a:off x="6847470" y="9705243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19 CuadroTexto"/>
            <xdr:cNvSpPr txBox="1"/>
          </xdr:nvSpPr>
          <xdr:spPr>
            <a:xfrm>
              <a:off x="6847470" y="9705243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163536</xdr:colOff>
      <xdr:row>54</xdr:row>
      <xdr:rowOff>440202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0 CuadroTexto"/>
            <xdr:cNvSpPr txBox="1"/>
          </xdr:nvSpPr>
          <xdr:spPr>
            <a:xfrm>
              <a:off x="3716361" y="10041402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0 CuadroTexto"/>
            <xdr:cNvSpPr txBox="1"/>
          </xdr:nvSpPr>
          <xdr:spPr>
            <a:xfrm>
              <a:off x="3716361" y="10041402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367666</xdr:colOff>
      <xdr:row>54</xdr:row>
      <xdr:rowOff>473320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1 CuadroTexto"/>
            <xdr:cNvSpPr txBox="1"/>
          </xdr:nvSpPr>
          <xdr:spPr>
            <a:xfrm>
              <a:off x="377191" y="10074520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1 CuadroTexto"/>
            <xdr:cNvSpPr txBox="1"/>
          </xdr:nvSpPr>
          <xdr:spPr>
            <a:xfrm>
              <a:off x="377191" y="10074520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69459</xdr:colOff>
      <xdr:row>54</xdr:row>
      <xdr:rowOff>29601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2 CuadroTexto"/>
            <xdr:cNvSpPr txBox="1"/>
          </xdr:nvSpPr>
          <xdr:spPr>
            <a:xfrm>
              <a:off x="5355834" y="9630801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2 CuadroTexto"/>
            <xdr:cNvSpPr txBox="1"/>
          </xdr:nvSpPr>
          <xdr:spPr>
            <a:xfrm>
              <a:off x="5355834" y="9630801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54</xdr:row>
      <xdr:rowOff>57947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1 CuadroTexto"/>
            <xdr:cNvSpPr txBox="1"/>
          </xdr:nvSpPr>
          <xdr:spPr>
            <a:xfrm>
              <a:off x="737549" y="9659147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1 CuadroTexto"/>
            <xdr:cNvSpPr txBox="1"/>
          </xdr:nvSpPr>
          <xdr:spPr>
            <a:xfrm>
              <a:off x="737549" y="9659147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318636</xdr:colOff>
      <xdr:row>54</xdr:row>
      <xdr:rowOff>482949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/>
            <xdr:cNvSpPr txBox="1"/>
          </xdr:nvSpPr>
          <xdr:spPr>
            <a:xfrm>
              <a:off x="6871836" y="10084149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1" name="19 CuadroTexto"/>
            <xdr:cNvSpPr txBox="1"/>
          </xdr:nvSpPr>
          <xdr:spPr>
            <a:xfrm>
              <a:off x="6871836" y="10084149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60</xdr:row>
      <xdr:rowOff>189800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207700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2077000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7</xdr:col>
      <xdr:colOff>57151</xdr:colOff>
      <xdr:row>64</xdr:row>
      <xdr:rowOff>77934</xdr:rowOff>
    </xdr:from>
    <xdr:to>
      <xdr:col>11</xdr:col>
      <xdr:colOff>112568</xdr:colOff>
      <xdr:row>64</xdr:row>
      <xdr:rowOff>1704111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6" y="12717609"/>
          <a:ext cx="2169967" cy="1626177"/>
        </a:xfrm>
        <a:prstGeom prst="rect">
          <a:avLst/>
        </a:prstGeom>
      </xdr:spPr>
    </xdr:pic>
    <xdr:clientData/>
  </xdr:twoCellAnchor>
  <xdr:twoCellAnchor editAs="oneCell">
    <xdr:from>
      <xdr:col>2</xdr:col>
      <xdr:colOff>155863</xdr:colOff>
      <xdr:row>64</xdr:row>
      <xdr:rowOff>51954</xdr:rowOff>
    </xdr:from>
    <xdr:to>
      <xdr:col>5</xdr:col>
      <xdr:colOff>153894</xdr:colOff>
      <xdr:row>64</xdr:row>
      <xdr:rowOff>1705840</xdr:rowOff>
    </xdr:to>
    <xdr:pic>
      <xdr:nvPicPr>
        <xdr:cNvPr id="14" name="Imagen 1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" t="26539" r="1"/>
        <a:stretch/>
      </xdr:blipFill>
      <xdr:spPr>
        <a:xfrm>
          <a:off x="613063" y="12691629"/>
          <a:ext cx="1683956" cy="1653886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6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78622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11</xdr:row>
      <xdr:rowOff>0</xdr:rowOff>
    </xdr:from>
    <xdr:ext cx="169469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2724150" y="2038350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717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68581</xdr:colOff>
      <xdr:row>59</xdr:row>
      <xdr:rowOff>91440</xdr:rowOff>
    </xdr:from>
    <xdr:to>
      <xdr:col>8</xdr:col>
      <xdr:colOff>388620</xdr:colOff>
      <xdr:row>63</xdr:row>
      <xdr:rowOff>83820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6" y="11321415"/>
          <a:ext cx="3863339" cy="1611630"/>
        </a:xfrm>
        <a:prstGeom prst="rect">
          <a:avLst/>
        </a:prstGeom>
      </xdr:spPr>
    </xdr:pic>
    <xdr:clientData/>
  </xdr:twoCellAnchor>
  <xdr:oneCellAnchor>
    <xdr:from>
      <xdr:col>13</xdr:col>
      <xdr:colOff>294270</xdr:colOff>
      <xdr:row>57</xdr:row>
      <xdr:rowOff>104043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19 CuadroTexto"/>
            <xdr:cNvSpPr txBox="1"/>
          </xdr:nvSpPr>
          <xdr:spPr>
            <a:xfrm>
              <a:off x="6847470" y="1026721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19 CuadroTexto"/>
            <xdr:cNvSpPr txBox="1"/>
          </xdr:nvSpPr>
          <xdr:spPr>
            <a:xfrm>
              <a:off x="6847470" y="10267218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163536</xdr:colOff>
      <xdr:row>57</xdr:row>
      <xdr:rowOff>440202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0 CuadroTexto"/>
            <xdr:cNvSpPr txBox="1"/>
          </xdr:nvSpPr>
          <xdr:spPr>
            <a:xfrm>
              <a:off x="3716361" y="1060337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0 CuadroTexto"/>
            <xdr:cNvSpPr txBox="1"/>
          </xdr:nvSpPr>
          <xdr:spPr>
            <a:xfrm>
              <a:off x="3716361" y="10603377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367666</xdr:colOff>
      <xdr:row>57</xdr:row>
      <xdr:rowOff>473320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1 CuadroTexto"/>
            <xdr:cNvSpPr txBox="1"/>
          </xdr:nvSpPr>
          <xdr:spPr>
            <a:xfrm>
              <a:off x="377191" y="1063649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1 CuadroTexto"/>
            <xdr:cNvSpPr txBox="1"/>
          </xdr:nvSpPr>
          <xdr:spPr>
            <a:xfrm>
              <a:off x="377191" y="10636495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11</xdr:col>
      <xdr:colOff>69459</xdr:colOff>
      <xdr:row>57</xdr:row>
      <xdr:rowOff>29601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2 CuadroTexto"/>
            <xdr:cNvSpPr txBox="1"/>
          </xdr:nvSpPr>
          <xdr:spPr>
            <a:xfrm>
              <a:off x="5355834" y="1019277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2 CuadroTexto"/>
            <xdr:cNvSpPr txBox="1"/>
          </xdr:nvSpPr>
          <xdr:spPr>
            <a:xfrm>
              <a:off x="5355834" y="10192776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57</xdr:row>
      <xdr:rowOff>57947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1 CuadroTexto"/>
            <xdr:cNvSpPr txBox="1"/>
          </xdr:nvSpPr>
          <xdr:spPr>
            <a:xfrm>
              <a:off x="737549" y="1022112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1 CuadroTexto"/>
            <xdr:cNvSpPr txBox="1"/>
          </xdr:nvSpPr>
          <xdr:spPr>
            <a:xfrm>
              <a:off x="737549" y="10221122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318636</xdr:colOff>
      <xdr:row>57</xdr:row>
      <xdr:rowOff>482949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/>
            <xdr:cNvSpPr txBox="1"/>
          </xdr:nvSpPr>
          <xdr:spPr>
            <a:xfrm>
              <a:off x="6871836" y="1064612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1" name="19 CuadroTexto"/>
            <xdr:cNvSpPr txBox="1"/>
          </xdr:nvSpPr>
          <xdr:spPr>
            <a:xfrm>
              <a:off x="6871836" y="10646124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63</xdr:row>
      <xdr:rowOff>189800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303902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303902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12</xdr:col>
      <xdr:colOff>295275</xdr:colOff>
      <xdr:row>67</xdr:row>
      <xdr:rowOff>16668</xdr:rowOff>
    </xdr:from>
    <xdr:to>
      <xdr:col>15</xdr:col>
      <xdr:colOff>419099</xdr:colOff>
      <xdr:row>67</xdr:row>
      <xdr:rowOff>1781174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13627893"/>
          <a:ext cx="2352674" cy="1764506"/>
        </a:xfrm>
        <a:prstGeom prst="rect">
          <a:avLst/>
        </a:prstGeom>
      </xdr:spPr>
    </xdr:pic>
    <xdr:clientData/>
  </xdr:twoCellAnchor>
  <xdr:twoCellAnchor editAs="oneCell">
    <xdr:from>
      <xdr:col>6</xdr:col>
      <xdr:colOff>302400</xdr:colOff>
      <xdr:row>67</xdr:row>
      <xdr:rowOff>14268</xdr:rowOff>
    </xdr:from>
    <xdr:to>
      <xdr:col>11</xdr:col>
      <xdr:colOff>92849</xdr:colOff>
      <xdr:row>67</xdr:row>
      <xdr:rowOff>1778774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6550" y="13625493"/>
          <a:ext cx="2352674" cy="1764506"/>
        </a:xfrm>
        <a:prstGeom prst="rect">
          <a:avLst/>
        </a:prstGeom>
      </xdr:spPr>
    </xdr:pic>
    <xdr:clientData/>
  </xdr:twoCellAnchor>
  <xdr:twoCellAnchor editAs="oneCell">
    <xdr:from>
      <xdr:col>1</xdr:col>
      <xdr:colOff>195225</xdr:colOff>
      <xdr:row>67</xdr:row>
      <xdr:rowOff>11868</xdr:rowOff>
    </xdr:from>
    <xdr:to>
      <xdr:col>5</xdr:col>
      <xdr:colOff>414299</xdr:colOff>
      <xdr:row>67</xdr:row>
      <xdr:rowOff>1776374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50" y="13623093"/>
          <a:ext cx="2352674" cy="1764506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8622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0"/>
  <sheetViews>
    <sheetView workbookViewId="0">
      <selection activeCell="A20" sqref="A20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64" t="s">
        <v>40</v>
      </c>
      <c r="C2" s="64"/>
      <c r="D2" s="64"/>
      <c r="E2" s="64"/>
      <c r="F2" s="64"/>
      <c r="G2" s="64"/>
      <c r="H2" s="64"/>
      <c r="I2" s="64"/>
      <c r="J2" s="64"/>
    </row>
    <row r="3" spans="2:10" ht="6.75" customHeight="1" x14ac:dyDescent="0.25">
      <c r="B3" s="66"/>
      <c r="C3" s="67"/>
      <c r="D3" s="67"/>
      <c r="E3" s="67"/>
      <c r="F3" s="67"/>
      <c r="G3" s="67"/>
      <c r="H3" s="67"/>
      <c r="I3" s="67"/>
      <c r="J3" s="68"/>
    </row>
    <row r="4" spans="2:10" x14ac:dyDescent="0.25">
      <c r="B4" s="69"/>
      <c r="C4" s="65"/>
      <c r="D4" s="65"/>
      <c r="E4" s="65"/>
      <c r="F4" s="65"/>
      <c r="G4" s="65"/>
      <c r="H4" s="65"/>
      <c r="I4" s="65"/>
      <c r="J4" s="71"/>
    </row>
    <row r="5" spans="2:10" x14ac:dyDescent="0.25">
      <c r="B5" s="69"/>
      <c r="C5" s="65"/>
      <c r="D5" s="65"/>
      <c r="E5" s="65"/>
      <c r="F5" s="65"/>
      <c r="G5" s="65"/>
      <c r="H5" s="65"/>
      <c r="I5" s="65"/>
      <c r="J5" s="71"/>
    </row>
    <row r="6" spans="2:10" x14ac:dyDescent="0.25">
      <c r="B6" s="69"/>
      <c r="C6" s="65"/>
      <c r="D6" s="65"/>
      <c r="E6" s="65"/>
      <c r="F6" s="65"/>
      <c r="G6" s="65"/>
      <c r="H6" s="65"/>
      <c r="I6" s="65"/>
      <c r="J6" s="71"/>
    </row>
    <row r="7" spans="2:10" x14ac:dyDescent="0.25">
      <c r="B7" s="69"/>
      <c r="C7" s="65"/>
      <c r="D7" s="65"/>
      <c r="E7" s="65"/>
      <c r="F7" s="65"/>
      <c r="G7" s="65"/>
      <c r="H7" s="65"/>
      <c r="I7" s="65"/>
      <c r="J7" s="71"/>
    </row>
    <row r="8" spans="2:10" x14ac:dyDescent="0.25">
      <c r="B8" s="69"/>
      <c r="C8" s="65"/>
      <c r="D8" s="65"/>
      <c r="E8" s="65"/>
      <c r="F8" s="65"/>
      <c r="G8" s="65"/>
      <c r="H8" s="65"/>
      <c r="I8" s="65"/>
      <c r="J8" s="71"/>
    </row>
    <row r="9" spans="2:10" x14ac:dyDescent="0.25">
      <c r="B9" s="69"/>
      <c r="C9" s="65"/>
      <c r="D9" s="65"/>
      <c r="E9" s="65"/>
      <c r="F9" s="65"/>
      <c r="G9" s="65"/>
      <c r="H9" s="65"/>
      <c r="I9" s="65"/>
      <c r="J9" s="71"/>
    </row>
    <row r="10" spans="2:10" x14ac:dyDescent="0.25">
      <c r="B10" s="69"/>
      <c r="C10" s="65"/>
      <c r="D10" s="65"/>
      <c r="E10" s="65"/>
      <c r="F10" s="65"/>
      <c r="G10" s="65"/>
      <c r="H10" s="65"/>
      <c r="I10" s="65"/>
      <c r="J10" s="71"/>
    </row>
    <row r="11" spans="2:10" x14ac:dyDescent="0.25">
      <c r="B11" s="69"/>
      <c r="C11" s="65"/>
      <c r="D11" s="65"/>
      <c r="E11" s="65"/>
      <c r="F11" s="65"/>
      <c r="G11" s="65"/>
      <c r="H11" s="65"/>
      <c r="I11" s="65"/>
      <c r="J11" s="71"/>
    </row>
    <row r="12" spans="2:10" x14ac:dyDescent="0.25">
      <c r="B12" s="69"/>
      <c r="C12" s="65"/>
      <c r="D12" s="65"/>
      <c r="E12" s="65"/>
      <c r="F12" s="65"/>
      <c r="G12" s="65"/>
      <c r="H12" s="65"/>
      <c r="I12" s="65"/>
      <c r="J12" s="71"/>
    </row>
    <row r="13" spans="2:10" x14ac:dyDescent="0.25">
      <c r="B13" s="69"/>
      <c r="C13" s="65"/>
      <c r="D13" s="65"/>
      <c r="E13" s="65"/>
      <c r="F13" s="65"/>
      <c r="G13" s="65"/>
      <c r="H13" s="65"/>
      <c r="I13" s="65"/>
      <c r="J13" s="71"/>
    </row>
    <row r="14" spans="2:10" x14ac:dyDescent="0.25">
      <c r="B14" s="69"/>
      <c r="C14" s="65"/>
      <c r="D14" s="65"/>
      <c r="E14" s="65"/>
      <c r="F14" s="65"/>
      <c r="G14" s="65"/>
      <c r="H14" s="65"/>
      <c r="I14" s="65"/>
      <c r="J14" s="71"/>
    </row>
    <row r="15" spans="2:10" x14ac:dyDescent="0.25">
      <c r="B15" s="69"/>
      <c r="C15" s="65"/>
      <c r="D15" s="65"/>
      <c r="E15" s="65"/>
      <c r="F15" s="65"/>
      <c r="G15" s="65"/>
      <c r="H15" s="65"/>
      <c r="I15" s="65"/>
      <c r="J15" s="71"/>
    </row>
    <row r="16" spans="2:10" x14ac:dyDescent="0.25">
      <c r="B16" s="69"/>
      <c r="C16" s="65"/>
      <c r="D16" s="65"/>
      <c r="E16" s="65"/>
      <c r="F16" s="65"/>
      <c r="G16" s="65"/>
      <c r="H16" s="65"/>
      <c r="I16" s="65"/>
      <c r="J16" s="71"/>
    </row>
    <row r="17" spans="2:10" x14ac:dyDescent="0.25">
      <c r="B17" s="69"/>
      <c r="C17" s="65"/>
      <c r="D17" s="65"/>
      <c r="E17" s="65"/>
      <c r="F17" s="65"/>
      <c r="G17" s="65"/>
      <c r="H17" s="65"/>
      <c r="I17" s="65"/>
      <c r="J17" s="71"/>
    </row>
    <row r="18" spans="2:10" x14ac:dyDescent="0.25">
      <c r="B18" s="69"/>
      <c r="C18" s="65"/>
      <c r="D18" s="65"/>
      <c r="E18" s="65"/>
      <c r="F18" s="65"/>
      <c r="G18" s="65"/>
      <c r="H18" s="65"/>
      <c r="I18" s="65"/>
      <c r="J18" s="71"/>
    </row>
    <row r="19" spans="2:10" x14ac:dyDescent="0.25">
      <c r="B19" s="69"/>
      <c r="C19" s="65"/>
      <c r="D19" s="65"/>
      <c r="E19" s="65"/>
      <c r="F19" s="65"/>
      <c r="G19" s="65"/>
      <c r="H19" s="65"/>
      <c r="I19" s="65"/>
      <c r="J19" s="71"/>
    </row>
    <row r="20" spans="2:10" x14ac:dyDescent="0.25">
      <c r="B20" s="69"/>
      <c r="C20" s="65"/>
      <c r="D20" s="65"/>
      <c r="E20" s="65"/>
      <c r="F20" s="65"/>
      <c r="G20" s="65"/>
      <c r="H20" s="65"/>
      <c r="I20" s="65"/>
      <c r="J20" s="71"/>
    </row>
    <row r="21" spans="2:10" x14ac:dyDescent="0.25">
      <c r="B21" s="69"/>
      <c r="C21" s="65"/>
      <c r="D21" s="65"/>
      <c r="E21" s="65"/>
      <c r="F21" s="65"/>
      <c r="G21" s="65"/>
      <c r="H21" s="65"/>
      <c r="I21" s="65"/>
      <c r="J21" s="71"/>
    </row>
    <row r="22" spans="2:10" x14ac:dyDescent="0.25">
      <c r="B22" s="69"/>
      <c r="C22" s="65"/>
      <c r="D22" s="65"/>
      <c r="E22" s="65"/>
      <c r="F22" s="65"/>
      <c r="G22" s="65"/>
      <c r="H22" s="65"/>
      <c r="I22" s="65"/>
      <c r="J22" s="71"/>
    </row>
    <row r="23" spans="2:10" ht="6.75" customHeight="1" x14ac:dyDescent="0.25">
      <c r="B23" s="70"/>
      <c r="C23" s="73"/>
      <c r="D23" s="73"/>
      <c r="E23" s="73"/>
      <c r="F23" s="73"/>
      <c r="G23" s="73"/>
      <c r="H23" s="73"/>
      <c r="I23" s="73"/>
      <c r="J23" s="72"/>
    </row>
    <row r="24" spans="2:10" x14ac:dyDescent="0.25">
      <c r="B24" s="1"/>
      <c r="C24" s="1"/>
      <c r="D24" s="1"/>
      <c r="E24" s="1"/>
      <c r="F24" s="1"/>
      <c r="G24" s="1"/>
      <c r="H24" s="1"/>
      <c r="I24" s="1"/>
    </row>
    <row r="25" spans="2:10" x14ac:dyDescent="0.25">
      <c r="B25" s="64" t="s">
        <v>41</v>
      </c>
      <c r="C25" s="64"/>
      <c r="D25" s="64"/>
      <c r="E25" s="64"/>
      <c r="F25" s="64"/>
      <c r="G25" s="64"/>
      <c r="H25" s="64"/>
      <c r="I25" s="64"/>
      <c r="J25" s="64"/>
    </row>
    <row r="26" spans="2:10" ht="6.75" customHeight="1" x14ac:dyDescent="0.25">
      <c r="B26" s="66"/>
      <c r="C26" s="67"/>
      <c r="D26" s="67"/>
      <c r="E26" s="67"/>
      <c r="F26" s="67"/>
      <c r="G26" s="67"/>
      <c r="H26" s="67"/>
      <c r="I26" s="67"/>
      <c r="J26" s="68"/>
    </row>
    <row r="27" spans="2:10" x14ac:dyDescent="0.25">
      <c r="B27" s="69"/>
      <c r="C27" s="65"/>
      <c r="D27" s="65"/>
      <c r="E27" s="65"/>
      <c r="F27" s="65"/>
      <c r="G27" s="65"/>
      <c r="H27" s="65"/>
      <c r="I27" s="65"/>
      <c r="J27" s="71"/>
    </row>
    <row r="28" spans="2:10" x14ac:dyDescent="0.25">
      <c r="B28" s="69"/>
      <c r="C28" s="65"/>
      <c r="D28" s="65"/>
      <c r="E28" s="65"/>
      <c r="F28" s="65"/>
      <c r="G28" s="65"/>
      <c r="H28" s="65"/>
      <c r="I28" s="65"/>
      <c r="J28" s="71"/>
    </row>
    <row r="29" spans="2:10" x14ac:dyDescent="0.25">
      <c r="B29" s="69"/>
      <c r="C29" s="65"/>
      <c r="D29" s="65"/>
      <c r="E29" s="65"/>
      <c r="F29" s="65"/>
      <c r="G29" s="65"/>
      <c r="H29" s="65"/>
      <c r="I29" s="65"/>
      <c r="J29" s="71"/>
    </row>
    <row r="30" spans="2:10" x14ac:dyDescent="0.25">
      <c r="B30" s="69"/>
      <c r="C30" s="65"/>
      <c r="D30" s="65"/>
      <c r="E30" s="65"/>
      <c r="F30" s="65"/>
      <c r="G30" s="65"/>
      <c r="H30" s="65"/>
      <c r="I30" s="65"/>
      <c r="J30" s="71"/>
    </row>
    <row r="31" spans="2:10" x14ac:dyDescent="0.25">
      <c r="B31" s="69"/>
      <c r="C31" s="65"/>
      <c r="D31" s="65"/>
      <c r="E31" s="65"/>
      <c r="F31" s="65"/>
      <c r="G31" s="65"/>
      <c r="H31" s="65"/>
      <c r="I31" s="65"/>
      <c r="J31" s="71"/>
    </row>
    <row r="32" spans="2:10" x14ac:dyDescent="0.25">
      <c r="B32" s="69"/>
      <c r="C32" s="65"/>
      <c r="D32" s="65"/>
      <c r="E32" s="65"/>
      <c r="F32" s="65"/>
      <c r="G32" s="65"/>
      <c r="H32" s="65"/>
      <c r="I32" s="65"/>
      <c r="J32" s="71"/>
    </row>
    <row r="33" spans="2:10" x14ac:dyDescent="0.25">
      <c r="B33" s="69"/>
      <c r="C33" s="65"/>
      <c r="D33" s="65"/>
      <c r="E33" s="65"/>
      <c r="F33" s="65"/>
      <c r="G33" s="65"/>
      <c r="H33" s="65"/>
      <c r="I33" s="65"/>
      <c r="J33" s="71"/>
    </row>
    <row r="34" spans="2:10" x14ac:dyDescent="0.25">
      <c r="B34" s="69"/>
      <c r="C34" s="65"/>
      <c r="D34" s="65"/>
      <c r="E34" s="65"/>
      <c r="F34" s="65"/>
      <c r="G34" s="65"/>
      <c r="H34" s="65"/>
      <c r="I34" s="65"/>
      <c r="J34" s="71"/>
    </row>
    <row r="35" spans="2:10" x14ac:dyDescent="0.25">
      <c r="B35" s="69"/>
      <c r="C35" s="65"/>
      <c r="D35" s="65"/>
      <c r="E35" s="65"/>
      <c r="F35" s="65"/>
      <c r="G35" s="65"/>
      <c r="H35" s="65"/>
      <c r="I35" s="65"/>
      <c r="J35" s="71"/>
    </row>
    <row r="36" spans="2:10" x14ac:dyDescent="0.25">
      <c r="B36" s="69"/>
      <c r="C36" s="65"/>
      <c r="D36" s="65"/>
      <c r="E36" s="65"/>
      <c r="F36" s="65"/>
      <c r="G36" s="65"/>
      <c r="H36" s="65"/>
      <c r="I36" s="65"/>
      <c r="J36" s="71"/>
    </row>
    <row r="37" spans="2:10" x14ac:dyDescent="0.25">
      <c r="B37" s="69"/>
      <c r="C37" s="65"/>
      <c r="D37" s="65"/>
      <c r="E37" s="65"/>
      <c r="F37" s="65"/>
      <c r="G37" s="65"/>
      <c r="H37" s="65"/>
      <c r="I37" s="65"/>
      <c r="J37" s="71"/>
    </row>
    <row r="38" spans="2:10" x14ac:dyDescent="0.25">
      <c r="B38" s="69"/>
      <c r="C38" s="65"/>
      <c r="D38" s="65"/>
      <c r="E38" s="65"/>
      <c r="F38" s="65"/>
      <c r="G38" s="65"/>
      <c r="H38" s="65"/>
      <c r="I38" s="65"/>
      <c r="J38" s="71"/>
    </row>
    <row r="39" spans="2:10" x14ac:dyDescent="0.25">
      <c r="B39" s="69"/>
      <c r="C39" s="65"/>
      <c r="D39" s="65"/>
      <c r="E39" s="65"/>
      <c r="F39" s="65"/>
      <c r="G39" s="65"/>
      <c r="H39" s="65"/>
      <c r="I39" s="65"/>
      <c r="J39" s="71"/>
    </row>
    <row r="40" spans="2:10" ht="6.75" customHeight="1" x14ac:dyDescent="0.25">
      <c r="B40" s="70"/>
      <c r="C40" s="73"/>
      <c r="D40" s="73"/>
      <c r="E40" s="73"/>
      <c r="F40" s="73"/>
      <c r="G40" s="73"/>
      <c r="H40" s="73"/>
      <c r="I40" s="73"/>
      <c r="J40" s="72"/>
    </row>
  </sheetData>
  <mergeCells count="12">
    <mergeCell ref="B25:J25"/>
    <mergeCell ref="B26:J26"/>
    <mergeCell ref="B27:B40"/>
    <mergeCell ref="C27:I39"/>
    <mergeCell ref="J27:J40"/>
    <mergeCell ref="C40:I40"/>
    <mergeCell ref="B2:J2"/>
    <mergeCell ref="C4:I22"/>
    <mergeCell ref="B3:J3"/>
    <mergeCell ref="B4:B23"/>
    <mergeCell ref="J4:J23"/>
    <mergeCell ref="C23:I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1"/>
  <sheetViews>
    <sheetView tabSelected="1" view="pageBreakPreview" zoomScaleSheetLayoutView="100" zoomScalePageLayoutView="110" workbookViewId="0">
      <selection activeCell="R13" sqref="R13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3.14062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1"/>
      <c r="B2" s="320"/>
      <c r="C2" s="321"/>
      <c r="D2" s="322"/>
      <c r="E2" s="269" t="s">
        <v>54</v>
      </c>
      <c r="F2" s="270"/>
      <c r="G2" s="270"/>
      <c r="H2" s="270"/>
      <c r="I2" s="270"/>
      <c r="J2" s="270"/>
      <c r="K2" s="270"/>
      <c r="L2" s="270"/>
      <c r="M2" s="270"/>
      <c r="N2" s="270"/>
      <c r="O2" s="323"/>
      <c r="P2" s="273"/>
    </row>
    <row r="3" spans="1:16" s="2" customFormat="1" ht="20.45" customHeight="1" thickBot="1" x14ac:dyDescent="0.3">
      <c r="A3" s="11"/>
      <c r="B3" s="324"/>
      <c r="C3" s="325"/>
      <c r="D3" s="326"/>
      <c r="E3" s="271"/>
      <c r="F3" s="272"/>
      <c r="G3" s="272"/>
      <c r="H3" s="272"/>
      <c r="I3" s="272"/>
      <c r="J3" s="272"/>
      <c r="K3" s="272"/>
      <c r="L3" s="272"/>
      <c r="M3" s="272"/>
      <c r="N3" s="272"/>
      <c r="O3" s="327"/>
      <c r="P3" s="274"/>
    </row>
    <row r="4" spans="1:16" s="2" customFormat="1" ht="4.9000000000000004" customHeight="1" thickBot="1" x14ac:dyDescent="0.3">
      <c r="A4" s="11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</row>
    <row r="5" spans="1:16" s="17" customFormat="1" ht="26.25" customHeight="1" thickBot="1" x14ac:dyDescent="0.25">
      <c r="A5" s="16"/>
      <c r="B5" s="61" t="s">
        <v>0</v>
      </c>
      <c r="C5" s="276">
        <v>42860</v>
      </c>
      <c r="D5" s="259"/>
      <c r="E5" s="253" t="s">
        <v>1</v>
      </c>
      <c r="F5" s="254"/>
      <c r="G5" s="319">
        <v>1</v>
      </c>
      <c r="H5" s="258" t="s">
        <v>2</v>
      </c>
      <c r="I5" s="254"/>
      <c r="J5" s="316" t="s">
        <v>105</v>
      </c>
      <c r="K5" s="317"/>
      <c r="L5" s="317"/>
      <c r="M5" s="317"/>
      <c r="N5" s="317"/>
      <c r="O5" s="317"/>
      <c r="P5" s="318"/>
    </row>
    <row r="6" spans="1:16" s="19" customFormat="1" ht="11.25" customHeight="1" thickBot="1" x14ac:dyDescent="0.3">
      <c r="A6" s="18"/>
      <c r="B6" s="253" t="s">
        <v>3</v>
      </c>
      <c r="C6" s="254"/>
      <c r="D6" s="255" t="s">
        <v>88</v>
      </c>
      <c r="E6" s="255"/>
      <c r="F6" s="255"/>
      <c r="G6" s="255"/>
      <c r="H6" s="255"/>
      <c r="I6" s="255"/>
      <c r="J6" s="256"/>
      <c r="K6" s="257" t="s">
        <v>4</v>
      </c>
      <c r="L6" s="258"/>
      <c r="M6" s="259" t="s">
        <v>89</v>
      </c>
      <c r="N6" s="260"/>
      <c r="O6" s="259" t="s">
        <v>90</v>
      </c>
      <c r="P6" s="261"/>
    </row>
    <row r="7" spans="1:16" s="19" customFormat="1" ht="14.1" customHeight="1" x14ac:dyDescent="0.25">
      <c r="A7" s="18"/>
      <c r="B7" s="262" t="s">
        <v>55</v>
      </c>
      <c r="C7" s="242"/>
      <c r="D7" s="242"/>
      <c r="E7" s="263"/>
      <c r="F7" s="264" t="s">
        <v>11</v>
      </c>
      <c r="G7" s="265"/>
      <c r="H7" s="266"/>
      <c r="I7" s="20">
        <v>0.61111111111111105</v>
      </c>
      <c r="J7" s="267" t="s">
        <v>12</v>
      </c>
      <c r="K7" s="268"/>
      <c r="L7" s="21">
        <v>0.93</v>
      </c>
      <c r="M7" s="262" t="s">
        <v>14</v>
      </c>
      <c r="N7" s="242"/>
      <c r="O7" s="242"/>
      <c r="P7" s="22">
        <v>10.220000000000001</v>
      </c>
    </row>
    <row r="8" spans="1:16" s="19" customFormat="1" ht="14.1" customHeight="1" thickBot="1" x14ac:dyDescent="0.3">
      <c r="A8" s="18"/>
      <c r="B8" s="231" t="s">
        <v>6</v>
      </c>
      <c r="C8" s="232"/>
      <c r="D8" s="232"/>
      <c r="E8" s="233"/>
      <c r="F8" s="23" t="s">
        <v>15</v>
      </c>
      <c r="G8" s="24"/>
      <c r="H8" s="25"/>
      <c r="I8" s="26">
        <v>0.64583333333333337</v>
      </c>
      <c r="J8" s="234" t="s">
        <v>16</v>
      </c>
      <c r="K8" s="235"/>
      <c r="L8" s="21">
        <v>0.93</v>
      </c>
      <c r="M8" s="236" t="s">
        <v>18</v>
      </c>
      <c r="N8" s="216"/>
      <c r="O8" s="216"/>
      <c r="P8" s="27">
        <v>1</v>
      </c>
    </row>
    <row r="9" spans="1:16" s="19" customFormat="1" ht="14.1" customHeight="1" x14ac:dyDescent="0.25">
      <c r="A9" s="28"/>
      <c r="B9" s="237" t="s">
        <v>7</v>
      </c>
      <c r="C9" s="238"/>
      <c r="D9" s="240" t="s">
        <v>8</v>
      </c>
      <c r="E9" s="242" t="s">
        <v>9</v>
      </c>
      <c r="F9" s="242"/>
      <c r="G9" s="242"/>
      <c r="H9" s="29"/>
      <c r="I9" s="243" t="s">
        <v>56</v>
      </c>
      <c r="J9" s="244"/>
      <c r="K9" s="247">
        <v>0</v>
      </c>
      <c r="L9" s="249" t="s">
        <v>13</v>
      </c>
      <c r="M9" s="250"/>
      <c r="N9" s="250"/>
      <c r="O9" s="251">
        <v>19</v>
      </c>
      <c r="P9" s="252"/>
    </row>
    <row r="10" spans="1:16" s="19" customFormat="1" ht="14.1" customHeight="1" thickBot="1" x14ac:dyDescent="0.3">
      <c r="A10" s="28"/>
      <c r="B10" s="117"/>
      <c r="C10" s="239"/>
      <c r="D10" s="241"/>
      <c r="E10" s="216" t="s">
        <v>10</v>
      </c>
      <c r="F10" s="216"/>
      <c r="G10" s="216"/>
      <c r="H10" s="30" t="s">
        <v>5</v>
      </c>
      <c r="I10" s="245"/>
      <c r="J10" s="246"/>
      <c r="K10" s="248"/>
      <c r="L10" s="217" t="s">
        <v>17</v>
      </c>
      <c r="M10" s="218"/>
      <c r="N10" s="218"/>
      <c r="O10" s="219">
        <v>0.64583333333333337</v>
      </c>
      <c r="P10" s="220"/>
    </row>
    <row r="11" spans="1:16" s="32" customFormat="1" ht="21.6" customHeight="1" x14ac:dyDescent="0.2">
      <c r="A11" s="12"/>
      <c r="B11" s="221" t="s">
        <v>19</v>
      </c>
      <c r="C11" s="224" t="s">
        <v>57</v>
      </c>
      <c r="D11" s="224"/>
      <c r="E11" s="224"/>
      <c r="F11" s="31"/>
      <c r="G11" s="225" t="s">
        <v>58</v>
      </c>
      <c r="H11" s="225"/>
      <c r="I11" s="225"/>
      <c r="J11" s="225"/>
      <c r="K11" s="225"/>
      <c r="L11" s="226"/>
      <c r="M11" s="225" t="s">
        <v>59</v>
      </c>
      <c r="N11" s="225"/>
      <c r="O11" s="225"/>
      <c r="P11" s="229"/>
    </row>
    <row r="12" spans="1:16" s="32" customFormat="1" ht="21.6" customHeight="1" x14ac:dyDescent="0.2">
      <c r="A12" s="12"/>
      <c r="B12" s="222"/>
      <c r="C12" s="230" t="s">
        <v>60</v>
      </c>
      <c r="D12" s="230"/>
      <c r="E12" s="230"/>
      <c r="F12" s="33"/>
      <c r="G12" s="194" t="s">
        <v>61</v>
      </c>
      <c r="H12" s="194"/>
      <c r="I12" s="194"/>
      <c r="J12" s="194"/>
      <c r="K12" s="194"/>
      <c r="L12" s="227"/>
      <c r="M12" s="194" t="s">
        <v>62</v>
      </c>
      <c r="N12" s="194"/>
      <c r="O12" s="194"/>
      <c r="P12" s="195"/>
    </row>
    <row r="13" spans="1:16" s="32" customFormat="1" ht="21.6" customHeight="1" thickBot="1" x14ac:dyDescent="0.25">
      <c r="A13" s="12"/>
      <c r="B13" s="223"/>
      <c r="C13" s="196" t="s">
        <v>63</v>
      </c>
      <c r="D13" s="197"/>
      <c r="E13" s="197"/>
      <c r="F13" s="197"/>
      <c r="G13" s="198"/>
      <c r="H13" s="198"/>
      <c r="I13" s="198"/>
      <c r="J13" s="198"/>
      <c r="K13" s="198"/>
      <c r="L13" s="228"/>
      <c r="M13" s="198" t="s">
        <v>64</v>
      </c>
      <c r="N13" s="198"/>
      <c r="O13" s="198"/>
      <c r="P13" s="199"/>
    </row>
    <row r="14" spans="1:16" ht="16.5" customHeight="1" x14ac:dyDescent="0.25">
      <c r="A14" s="5"/>
      <c r="B14" s="200" t="s">
        <v>20</v>
      </c>
      <c r="C14" s="202" t="s">
        <v>21</v>
      </c>
      <c r="D14" s="202" t="s">
        <v>42</v>
      </c>
      <c r="E14" s="204" t="s">
        <v>22</v>
      </c>
      <c r="F14" s="206" t="s">
        <v>43</v>
      </c>
      <c r="G14" s="207"/>
      <c r="H14" s="208"/>
      <c r="I14" s="212" t="s">
        <v>44</v>
      </c>
      <c r="J14" s="213"/>
      <c r="K14" s="34"/>
      <c r="L14" s="35" t="s">
        <v>45</v>
      </c>
      <c r="M14" s="35" t="s">
        <v>46</v>
      </c>
      <c r="N14" s="35" t="s">
        <v>46</v>
      </c>
      <c r="O14" s="35" t="s">
        <v>47</v>
      </c>
      <c r="P14" s="36" t="s">
        <v>23</v>
      </c>
    </row>
    <row r="15" spans="1:16" ht="14.1" customHeight="1" thickBot="1" x14ac:dyDescent="0.3">
      <c r="A15" s="5"/>
      <c r="B15" s="201"/>
      <c r="C15" s="203"/>
      <c r="D15" s="203"/>
      <c r="E15" s="205"/>
      <c r="F15" s="209"/>
      <c r="G15" s="210"/>
      <c r="H15" s="211"/>
      <c r="I15" s="214" t="s">
        <v>24</v>
      </c>
      <c r="J15" s="215"/>
      <c r="K15" s="37" t="s">
        <v>25</v>
      </c>
      <c r="L15" s="37" t="s">
        <v>48</v>
      </c>
      <c r="M15" s="37" t="s">
        <v>49</v>
      </c>
      <c r="N15" s="37" t="s">
        <v>26</v>
      </c>
      <c r="O15" s="37" t="s">
        <v>27</v>
      </c>
      <c r="P15" s="38" t="s">
        <v>28</v>
      </c>
    </row>
    <row r="16" spans="1:16" s="3" customFormat="1" ht="14.1" customHeight="1" x14ac:dyDescent="0.2">
      <c r="A16" s="12"/>
      <c r="B16" s="157">
        <v>1</v>
      </c>
      <c r="C16" s="160">
        <v>0</v>
      </c>
      <c r="D16" s="142">
        <v>6.7000000000000004E-2</v>
      </c>
      <c r="E16" s="142">
        <v>7.1999999999999995E-2</v>
      </c>
      <c r="F16" s="39" t="s">
        <v>65</v>
      </c>
      <c r="G16" s="151" t="str">
        <f>IF(E16&lt;=0.2,"NA",IF(E16&gt;0.2,0.2*E16))</f>
        <v>NA</v>
      </c>
      <c r="H16" s="151"/>
      <c r="I16" s="151"/>
      <c r="J16" s="151"/>
      <c r="K16" s="142">
        <f>ROUND(+IF(E16&lt;=0.2,(I17),(IF(E16&gt;0.2,((I16+2*I17+I18)/4)))),3)</f>
        <v>0.39800000000000002</v>
      </c>
      <c r="L16" s="162">
        <f>ROUND(+(D16+D18)/2*(C18-C16),3)</f>
        <v>7.2999999999999995E-2</v>
      </c>
      <c r="M16" s="182">
        <f>ROUND(+K16*L16,4)</f>
        <v>2.9100000000000001E-2</v>
      </c>
      <c r="N16" s="185">
        <f>ROUND(+M16/$M$56*100,1)</f>
        <v>8.1999999999999993</v>
      </c>
      <c r="O16" s="188"/>
      <c r="P16" s="191"/>
    </row>
    <row r="17" spans="1:16" s="3" customFormat="1" ht="14.1" customHeight="1" x14ac:dyDescent="0.2">
      <c r="A17" s="12"/>
      <c r="B17" s="158"/>
      <c r="C17" s="161"/>
      <c r="D17" s="143"/>
      <c r="E17" s="143"/>
      <c r="F17" s="40" t="s">
        <v>66</v>
      </c>
      <c r="G17" s="161">
        <f>IF(E16&lt;=0.2,0.6*E16,IF(E16&gt;0.2,0.6*E16))</f>
        <v>4.3199999999999995E-2</v>
      </c>
      <c r="H17" s="161"/>
      <c r="I17" s="152">
        <v>0.39800000000000002</v>
      </c>
      <c r="J17" s="152"/>
      <c r="K17" s="143"/>
      <c r="L17" s="174"/>
      <c r="M17" s="183"/>
      <c r="N17" s="186"/>
      <c r="O17" s="189"/>
      <c r="P17" s="192"/>
    </row>
    <row r="18" spans="1:16" s="3" customFormat="1" ht="13.9" customHeight="1" thickBot="1" x14ac:dyDescent="0.25">
      <c r="A18" s="12"/>
      <c r="B18" s="159"/>
      <c r="C18" s="42">
        <v>1</v>
      </c>
      <c r="D18" s="53">
        <v>7.9000000000000001E-2</v>
      </c>
      <c r="E18" s="144"/>
      <c r="F18" s="41" t="s">
        <v>67</v>
      </c>
      <c r="G18" s="166" t="str">
        <f>IF(E16&lt;=0.2,"NA",IF(E16&gt;0.2,0.8*E16))</f>
        <v>NA</v>
      </c>
      <c r="H18" s="166"/>
      <c r="I18" s="168"/>
      <c r="J18" s="168"/>
      <c r="K18" s="144"/>
      <c r="L18" s="175"/>
      <c r="M18" s="184"/>
      <c r="N18" s="187"/>
      <c r="O18" s="190"/>
      <c r="P18" s="193"/>
    </row>
    <row r="19" spans="1:16" s="3" customFormat="1" ht="14.1" customHeight="1" x14ac:dyDescent="0.2">
      <c r="A19" s="12"/>
      <c r="B19" s="157">
        <v>2</v>
      </c>
      <c r="C19" s="160">
        <f>+C18</f>
        <v>1</v>
      </c>
      <c r="D19" s="142">
        <v>7.9000000000000001E-2</v>
      </c>
      <c r="E19" s="142">
        <v>7.0000000000000007E-2</v>
      </c>
      <c r="F19" s="39" t="s">
        <v>65</v>
      </c>
      <c r="G19" s="151" t="str">
        <f>IF(E19&lt;=0.2,"NA",IF(E19&gt;0.2,0.2*E19))</f>
        <v>NA</v>
      </c>
      <c r="H19" s="151"/>
      <c r="I19" s="151"/>
      <c r="J19" s="151"/>
      <c r="K19" s="142">
        <f>ROUND(+IF(E19&lt;=0.2,(I20),(IF(E19&gt;0.2,((I19+2*I20+I21)/4)))),3)</f>
        <v>0.42099999999999999</v>
      </c>
      <c r="L19" s="142">
        <f>ROUND(+(D19+D21)/2*(C21-C19),3)</f>
        <v>7.4999999999999997E-2</v>
      </c>
      <c r="M19" s="145">
        <f>ROUND(+K19*L19,4)</f>
        <v>3.1600000000000003E-2</v>
      </c>
      <c r="N19" s="148">
        <f t="shared" ref="N19" si="0">ROUND(+M19/$M$56*100,1)</f>
        <v>8.9</v>
      </c>
      <c r="O19" s="151"/>
      <c r="P19" s="154"/>
    </row>
    <row r="20" spans="1:16" s="3" customFormat="1" ht="14.1" customHeight="1" x14ac:dyDescent="0.2">
      <c r="A20" s="12"/>
      <c r="B20" s="158"/>
      <c r="C20" s="161"/>
      <c r="D20" s="143"/>
      <c r="E20" s="143"/>
      <c r="F20" s="40" t="s">
        <v>66</v>
      </c>
      <c r="G20" s="161">
        <f>IF(E19&lt;=0.2,0.6*E19,IF(E19&gt;0.2,0.6*E19))</f>
        <v>4.2000000000000003E-2</v>
      </c>
      <c r="H20" s="161"/>
      <c r="I20" s="152">
        <v>0.42099999999999999</v>
      </c>
      <c r="J20" s="152"/>
      <c r="K20" s="143"/>
      <c r="L20" s="143"/>
      <c r="M20" s="146"/>
      <c r="N20" s="149"/>
      <c r="O20" s="152"/>
      <c r="P20" s="155"/>
    </row>
    <row r="21" spans="1:16" s="3" customFormat="1" ht="13.9" customHeight="1" thickBot="1" x14ac:dyDescent="0.25">
      <c r="A21" s="12"/>
      <c r="B21" s="159"/>
      <c r="C21" s="42">
        <f>+C19+$P$8</f>
        <v>2</v>
      </c>
      <c r="D21" s="53">
        <v>7.0000000000000007E-2</v>
      </c>
      <c r="E21" s="144"/>
      <c r="F21" s="41" t="s">
        <v>67</v>
      </c>
      <c r="G21" s="166" t="str">
        <f>IF(E19&lt;=0.2,"NA",IF(E19&gt;0.2,0.8*E19))</f>
        <v>NA</v>
      </c>
      <c r="H21" s="166"/>
      <c r="I21" s="168"/>
      <c r="J21" s="168"/>
      <c r="K21" s="144"/>
      <c r="L21" s="144"/>
      <c r="M21" s="147"/>
      <c r="N21" s="150"/>
      <c r="O21" s="168"/>
      <c r="P21" s="172"/>
    </row>
    <row r="22" spans="1:16" s="3" customFormat="1" ht="14.1" customHeight="1" x14ac:dyDescent="0.2">
      <c r="A22" s="12"/>
      <c r="B22" s="157">
        <v>3</v>
      </c>
      <c r="C22" s="160">
        <f>+C21</f>
        <v>2</v>
      </c>
      <c r="D22" s="142">
        <v>7.0000000000000007E-2</v>
      </c>
      <c r="E22" s="142">
        <v>7.3999999999999996E-2</v>
      </c>
      <c r="F22" s="39" t="s">
        <v>65</v>
      </c>
      <c r="G22" s="151" t="str">
        <f>IF(E22&lt;=0.2,"NA",IF(E22&gt;0.2,0.2*E22))</f>
        <v>NA</v>
      </c>
      <c r="H22" s="151"/>
      <c r="I22" s="151"/>
      <c r="J22" s="151"/>
      <c r="K22" s="142">
        <f>ROUND(+IF(E22&lt;=0.2,(I23),(IF(E22&gt;0.2,((I22+2*I23+I24)/4)))),3)</f>
        <v>0.496</v>
      </c>
      <c r="L22" s="142">
        <f>ROUND(+(D22+D24)/2*(C24-C22),3)</f>
        <v>7.2999999999999995E-2</v>
      </c>
      <c r="M22" s="145">
        <f>ROUND(+K22*L22,4)</f>
        <v>3.6200000000000003E-2</v>
      </c>
      <c r="N22" s="148">
        <f t="shared" ref="N22" si="1">ROUND(+M22/$M$56*100,1)</f>
        <v>10.3</v>
      </c>
      <c r="O22" s="151"/>
      <c r="P22" s="154"/>
    </row>
    <row r="23" spans="1:16" s="3" customFormat="1" ht="14.1" customHeight="1" x14ac:dyDescent="0.2">
      <c r="A23" s="12"/>
      <c r="B23" s="158"/>
      <c r="C23" s="161"/>
      <c r="D23" s="143"/>
      <c r="E23" s="143"/>
      <c r="F23" s="40" t="s">
        <v>66</v>
      </c>
      <c r="G23" s="161">
        <f>IF(E22&lt;=0.2,0.6*E22,IF(E22&gt;0.2,0.6*E22))</f>
        <v>4.4399999999999995E-2</v>
      </c>
      <c r="H23" s="161"/>
      <c r="I23" s="152">
        <v>0.496</v>
      </c>
      <c r="J23" s="152"/>
      <c r="K23" s="143"/>
      <c r="L23" s="143"/>
      <c r="M23" s="146"/>
      <c r="N23" s="149"/>
      <c r="O23" s="152"/>
      <c r="P23" s="155"/>
    </row>
    <row r="24" spans="1:16" s="3" customFormat="1" ht="13.9" customHeight="1" thickBot="1" x14ac:dyDescent="0.25">
      <c r="A24" s="12"/>
      <c r="B24" s="159"/>
      <c r="C24" s="42">
        <f>+C22+$P$8</f>
        <v>3</v>
      </c>
      <c r="D24" s="53">
        <v>7.4999999999999997E-2</v>
      </c>
      <c r="E24" s="144"/>
      <c r="F24" s="41" t="s">
        <v>67</v>
      </c>
      <c r="G24" s="166" t="str">
        <f>IF(E22&lt;=0.2,"NA",IF(E22&gt;0.2,0.8*E22))</f>
        <v>NA</v>
      </c>
      <c r="H24" s="166"/>
      <c r="I24" s="168"/>
      <c r="J24" s="168"/>
      <c r="K24" s="144"/>
      <c r="L24" s="144"/>
      <c r="M24" s="147"/>
      <c r="N24" s="150"/>
      <c r="O24" s="168"/>
      <c r="P24" s="172"/>
    </row>
    <row r="25" spans="1:16" s="3" customFormat="1" ht="14.1" customHeight="1" x14ac:dyDescent="0.2">
      <c r="A25" s="12"/>
      <c r="B25" s="157">
        <v>4</v>
      </c>
      <c r="C25" s="160">
        <f>+C24</f>
        <v>3</v>
      </c>
      <c r="D25" s="142">
        <v>7.4999999999999997E-2</v>
      </c>
      <c r="E25" s="142">
        <v>5.6000000000000001E-2</v>
      </c>
      <c r="F25" s="39" t="s">
        <v>65</v>
      </c>
      <c r="G25" s="151" t="str">
        <f>IF(E25&lt;=0.2,"NA",IF(E25&gt;0.2,0.2*E25))</f>
        <v>NA</v>
      </c>
      <c r="H25" s="151"/>
      <c r="I25" s="151"/>
      <c r="J25" s="151"/>
      <c r="K25" s="142">
        <f>ROUND(+IF(E25&lt;=0.2,(I26),(IF(E25&gt;0.2,((I25+2*I26+I27)/4)))),3)</f>
        <v>0.42699999999999999</v>
      </c>
      <c r="L25" s="142">
        <f>ROUND(+(D25+D27)/2*(C27-C25),3)</f>
        <v>6.5000000000000002E-2</v>
      </c>
      <c r="M25" s="145">
        <f>ROUND(+K25*L25,4)</f>
        <v>2.7799999999999998E-2</v>
      </c>
      <c r="N25" s="148">
        <f t="shared" ref="N25" si="2">ROUND(+M25/$M$56*100,1)</f>
        <v>7.9</v>
      </c>
      <c r="O25" s="151"/>
      <c r="P25" s="154"/>
    </row>
    <row r="26" spans="1:16" s="3" customFormat="1" ht="14.1" customHeight="1" x14ac:dyDescent="0.2">
      <c r="A26" s="12"/>
      <c r="B26" s="158"/>
      <c r="C26" s="161"/>
      <c r="D26" s="143"/>
      <c r="E26" s="143"/>
      <c r="F26" s="40" t="s">
        <v>66</v>
      </c>
      <c r="G26" s="161">
        <f>IF(E25&lt;=0.2,0.6*E25,IF(E25&gt;0.2,0.6*E25))</f>
        <v>3.3599999999999998E-2</v>
      </c>
      <c r="H26" s="161"/>
      <c r="I26" s="152">
        <v>0.42699999999999999</v>
      </c>
      <c r="J26" s="152"/>
      <c r="K26" s="143"/>
      <c r="L26" s="143"/>
      <c r="M26" s="146"/>
      <c r="N26" s="149"/>
      <c r="O26" s="152"/>
      <c r="P26" s="155"/>
    </row>
    <row r="27" spans="1:16" s="3" customFormat="1" ht="13.9" customHeight="1" thickBot="1" x14ac:dyDescent="0.25">
      <c r="A27" s="12"/>
      <c r="B27" s="159"/>
      <c r="C27" s="42">
        <f>+C25+$P$8</f>
        <v>4</v>
      </c>
      <c r="D27" s="53">
        <v>5.3999999999999999E-2</v>
      </c>
      <c r="E27" s="144"/>
      <c r="F27" s="41" t="s">
        <v>67</v>
      </c>
      <c r="G27" s="166" t="str">
        <f>IF(E25&lt;=0.2,"NA",IF(E25&gt;0.2,0.8*E25))</f>
        <v>NA</v>
      </c>
      <c r="H27" s="166"/>
      <c r="I27" s="168"/>
      <c r="J27" s="168"/>
      <c r="K27" s="144"/>
      <c r="L27" s="144"/>
      <c r="M27" s="147"/>
      <c r="N27" s="150"/>
      <c r="O27" s="168"/>
      <c r="P27" s="172"/>
    </row>
    <row r="28" spans="1:16" s="3" customFormat="1" ht="14.1" customHeight="1" x14ac:dyDescent="0.2">
      <c r="A28" s="12"/>
      <c r="B28" s="157">
        <v>5</v>
      </c>
      <c r="C28" s="160">
        <f>+C27</f>
        <v>4</v>
      </c>
      <c r="D28" s="142">
        <v>5.3999999999999999E-2</v>
      </c>
      <c r="E28" s="142">
        <v>4.8000000000000001E-2</v>
      </c>
      <c r="F28" s="39" t="s">
        <v>65</v>
      </c>
      <c r="G28" s="151" t="str">
        <f>IF(E28&lt;=0.2,"NA",IF(E28&gt;0.2,0.2*E28))</f>
        <v>NA</v>
      </c>
      <c r="H28" s="151"/>
      <c r="I28" s="151"/>
      <c r="J28" s="151"/>
      <c r="K28" s="142">
        <f>ROUND(+IF(E28&lt;=0.2,(I29),(IF(E28&gt;0.2,((I28+2*I29+I30)/4)))),3)</f>
        <v>0.44900000000000001</v>
      </c>
      <c r="L28" s="142">
        <f>ROUND(+(D28+D30)/2*(C30-C28),3)</f>
        <v>4.9000000000000002E-2</v>
      </c>
      <c r="M28" s="145">
        <f>ROUND(+K28*L28,4)</f>
        <v>2.1999999999999999E-2</v>
      </c>
      <c r="N28" s="148">
        <f t="shared" ref="N28" si="3">ROUND(+M28/$M$56*100,1)</f>
        <v>6.2</v>
      </c>
      <c r="O28" s="151"/>
      <c r="P28" s="154"/>
    </row>
    <row r="29" spans="1:16" s="3" customFormat="1" ht="14.1" customHeight="1" x14ac:dyDescent="0.2">
      <c r="A29" s="12"/>
      <c r="B29" s="158"/>
      <c r="C29" s="161"/>
      <c r="D29" s="143"/>
      <c r="E29" s="143"/>
      <c r="F29" s="40" t="s">
        <v>66</v>
      </c>
      <c r="G29" s="161">
        <f>IF(E28&lt;=0.2,0.6*E28,IF(E28&gt;0.2,0.6*E28))</f>
        <v>2.8799999999999999E-2</v>
      </c>
      <c r="H29" s="161"/>
      <c r="I29" s="152">
        <v>0.44900000000000001</v>
      </c>
      <c r="J29" s="152"/>
      <c r="K29" s="143"/>
      <c r="L29" s="143"/>
      <c r="M29" s="146"/>
      <c r="N29" s="149"/>
      <c r="O29" s="152"/>
      <c r="P29" s="155"/>
    </row>
    <row r="30" spans="1:16" s="3" customFormat="1" ht="13.9" customHeight="1" thickBot="1" x14ac:dyDescent="0.25">
      <c r="A30" s="12"/>
      <c r="B30" s="159"/>
      <c r="C30" s="42">
        <f>+C28+$P$8</f>
        <v>5</v>
      </c>
      <c r="D30" s="53">
        <v>4.2999999999999997E-2</v>
      </c>
      <c r="E30" s="144"/>
      <c r="F30" s="41" t="s">
        <v>67</v>
      </c>
      <c r="G30" s="166" t="str">
        <f>IF(E28&lt;=0.2,"NA",IF(E28&gt;0.2,0.8*E28))</f>
        <v>NA</v>
      </c>
      <c r="H30" s="166"/>
      <c r="I30" s="168"/>
      <c r="J30" s="168"/>
      <c r="K30" s="144"/>
      <c r="L30" s="144"/>
      <c r="M30" s="147"/>
      <c r="N30" s="150"/>
      <c r="O30" s="168"/>
      <c r="P30" s="172"/>
    </row>
    <row r="31" spans="1:16" s="3" customFormat="1" ht="14.1" customHeight="1" x14ac:dyDescent="0.2">
      <c r="A31" s="12"/>
      <c r="B31" s="157">
        <v>6</v>
      </c>
      <c r="C31" s="160">
        <f>+C30</f>
        <v>5</v>
      </c>
      <c r="D31" s="162">
        <v>4.2999999999999997E-2</v>
      </c>
      <c r="E31" s="162">
        <v>6.9000000000000006E-2</v>
      </c>
      <c r="F31" s="39" t="s">
        <v>65</v>
      </c>
      <c r="G31" s="151" t="str">
        <f>IF(E31&lt;=0.2,"NA",IF(E31&gt;0.2,0.2*E31))</f>
        <v>NA</v>
      </c>
      <c r="H31" s="151"/>
      <c r="I31" s="176"/>
      <c r="J31" s="177"/>
      <c r="K31" s="142">
        <f>ROUND(+IF(E31&lt;=0.2,(I32),(IF(E31&gt;0.2,((I31+2*I32+I33)/4)))),3)</f>
        <v>0.499</v>
      </c>
      <c r="L31" s="142">
        <f>ROUND(+(D31+D33)/2*(C33-C31),3)</f>
        <v>5.1999999999999998E-2</v>
      </c>
      <c r="M31" s="145">
        <f>ROUND(+K31*L31,4)</f>
        <v>2.5899999999999999E-2</v>
      </c>
      <c r="N31" s="148">
        <f>ROUND(+M31/$M$56*100,1)</f>
        <v>7.3</v>
      </c>
      <c r="O31" s="151"/>
      <c r="P31" s="154"/>
    </row>
    <row r="32" spans="1:16" s="3" customFormat="1" ht="14.1" customHeight="1" x14ac:dyDescent="0.2">
      <c r="A32" s="12"/>
      <c r="B32" s="158"/>
      <c r="C32" s="161"/>
      <c r="D32" s="163"/>
      <c r="E32" s="174"/>
      <c r="F32" s="40" t="s">
        <v>66</v>
      </c>
      <c r="G32" s="161">
        <f>IF(E31&lt;=0.2,0.6*E31,IF(E31&gt;0.2,0.6*E31))</f>
        <v>4.1399999999999999E-2</v>
      </c>
      <c r="H32" s="161"/>
      <c r="I32" s="178">
        <v>0.499</v>
      </c>
      <c r="J32" s="179"/>
      <c r="K32" s="143"/>
      <c r="L32" s="143"/>
      <c r="M32" s="146"/>
      <c r="N32" s="149"/>
      <c r="O32" s="152"/>
      <c r="P32" s="155"/>
    </row>
    <row r="33" spans="1:18" s="3" customFormat="1" ht="13.9" customHeight="1" thickBot="1" x14ac:dyDescent="0.25">
      <c r="A33" s="12"/>
      <c r="B33" s="159"/>
      <c r="C33" s="42">
        <f>+C31+$P$8</f>
        <v>6</v>
      </c>
      <c r="D33" s="53">
        <v>6.0999999999999999E-2</v>
      </c>
      <c r="E33" s="175"/>
      <c r="F33" s="41" t="s">
        <v>67</v>
      </c>
      <c r="G33" s="166" t="str">
        <f>IF(E31&lt;=0.2,"NA",IF(E31&gt;0.2,0.8*E31))</f>
        <v>NA</v>
      </c>
      <c r="H33" s="166"/>
      <c r="I33" s="180"/>
      <c r="J33" s="181"/>
      <c r="K33" s="144"/>
      <c r="L33" s="144"/>
      <c r="M33" s="147"/>
      <c r="N33" s="150"/>
      <c r="O33" s="168"/>
      <c r="P33" s="172"/>
    </row>
    <row r="34" spans="1:18" s="3" customFormat="1" ht="14.1" customHeight="1" x14ac:dyDescent="0.2">
      <c r="A34" s="12"/>
      <c r="B34" s="157">
        <v>7</v>
      </c>
      <c r="C34" s="160">
        <f>+C33</f>
        <v>6</v>
      </c>
      <c r="D34" s="142">
        <v>6.0999999999999999E-2</v>
      </c>
      <c r="E34" s="142">
        <v>7.1999999999999995E-2</v>
      </c>
      <c r="F34" s="39" t="s">
        <v>65</v>
      </c>
      <c r="G34" s="151" t="str">
        <f>IF(E34&lt;=0.2,"NA",IF(E34&gt;0.2,0.2*E34))</f>
        <v>NA</v>
      </c>
      <c r="H34" s="151"/>
      <c r="I34" s="151"/>
      <c r="J34" s="151"/>
      <c r="K34" s="142">
        <f>ROUND(+IF(E34&lt;=0.2,(I35),(IF(E34&gt;0.2,((I34+2*I35+I36)/4)))),3)</f>
        <v>0.55000000000000004</v>
      </c>
      <c r="L34" s="142">
        <f>ROUND(+(D34+D36)/2*(C36-C34),3)</f>
        <v>6.8000000000000005E-2</v>
      </c>
      <c r="M34" s="145">
        <f>ROUND(+K34*L34,4)</f>
        <v>3.7400000000000003E-2</v>
      </c>
      <c r="N34" s="148">
        <f t="shared" ref="N34" si="4">ROUND(+M34/$M$56*100,1)</f>
        <v>10.6</v>
      </c>
      <c r="O34" s="151"/>
      <c r="P34" s="154"/>
    </row>
    <row r="35" spans="1:18" s="3" customFormat="1" ht="14.1" customHeight="1" x14ac:dyDescent="0.2">
      <c r="A35" s="12"/>
      <c r="B35" s="158"/>
      <c r="C35" s="161"/>
      <c r="D35" s="143"/>
      <c r="E35" s="143"/>
      <c r="F35" s="40" t="s">
        <v>66</v>
      </c>
      <c r="G35" s="161">
        <f>IF(E34&lt;=0.2,0.6*E34,IF(E34&gt;0.2,0.6*E34))</f>
        <v>4.3199999999999995E-2</v>
      </c>
      <c r="H35" s="161"/>
      <c r="I35" s="143">
        <v>0.55000000000000004</v>
      </c>
      <c r="J35" s="143"/>
      <c r="K35" s="143"/>
      <c r="L35" s="143"/>
      <c r="M35" s="146"/>
      <c r="N35" s="149"/>
      <c r="O35" s="152"/>
      <c r="P35" s="155"/>
    </row>
    <row r="36" spans="1:18" s="3" customFormat="1" ht="13.9" customHeight="1" thickBot="1" x14ac:dyDescent="0.25">
      <c r="A36" s="12"/>
      <c r="B36" s="159"/>
      <c r="C36" s="42">
        <f>+C34+$P$8</f>
        <v>7</v>
      </c>
      <c r="D36" s="53">
        <v>7.3999999999999996E-2</v>
      </c>
      <c r="E36" s="144"/>
      <c r="F36" s="41" t="s">
        <v>67</v>
      </c>
      <c r="G36" s="166" t="str">
        <f>IF(E34&lt;=0.2,"NA",IF(E34&gt;0.2,0.8*E34))</f>
        <v>NA</v>
      </c>
      <c r="H36" s="166"/>
      <c r="I36" s="168"/>
      <c r="J36" s="168"/>
      <c r="K36" s="144"/>
      <c r="L36" s="144"/>
      <c r="M36" s="147"/>
      <c r="N36" s="150"/>
      <c r="O36" s="168"/>
      <c r="P36" s="172"/>
    </row>
    <row r="37" spans="1:18" s="3" customFormat="1" ht="14.1" customHeight="1" x14ac:dyDescent="0.2">
      <c r="A37" s="12"/>
      <c r="B37" s="157">
        <v>8</v>
      </c>
      <c r="C37" s="160">
        <f>+C36</f>
        <v>7</v>
      </c>
      <c r="D37" s="142">
        <v>7.3999999999999996E-2</v>
      </c>
      <c r="E37" s="142">
        <v>8.5999999999999993E-2</v>
      </c>
      <c r="F37" s="39" t="s">
        <v>65</v>
      </c>
      <c r="G37" s="151" t="str">
        <f>IF(E37&lt;=0.2,"NA",IF(E37&gt;0.2,0.2*E37))</f>
        <v>NA</v>
      </c>
      <c r="H37" s="151"/>
      <c r="I37" s="151"/>
      <c r="J37" s="151"/>
      <c r="K37" s="142">
        <f>ROUND(+IF(E37&lt;=0.2,(I38),(IF(E37&gt;0.2,((I37+2*I38+I39)/4)))),3)</f>
        <v>0.66400000000000003</v>
      </c>
      <c r="L37" s="142">
        <f>ROUND(+(D37+D39)/2*(C39-C37),3)</f>
        <v>8.6999999999999994E-2</v>
      </c>
      <c r="M37" s="145">
        <f>ROUND(+K37*L37,4)</f>
        <v>5.7799999999999997E-2</v>
      </c>
      <c r="N37" s="148">
        <f t="shared" ref="N37" si="5">ROUND(+M37/$M$56*100,1)</f>
        <v>16.399999999999999</v>
      </c>
      <c r="O37" s="151"/>
      <c r="P37" s="154"/>
    </row>
    <row r="38" spans="1:18" s="3" customFormat="1" ht="14.1" customHeight="1" x14ac:dyDescent="0.2">
      <c r="A38" s="12"/>
      <c r="B38" s="158"/>
      <c r="C38" s="161"/>
      <c r="D38" s="143"/>
      <c r="E38" s="143"/>
      <c r="F38" s="40" t="s">
        <v>66</v>
      </c>
      <c r="G38" s="161">
        <f>IF(E37&lt;=0.2,0.6*E37,IF(E37&gt;0.2,0.6*E37))</f>
        <v>5.1599999999999993E-2</v>
      </c>
      <c r="H38" s="161"/>
      <c r="I38" s="143">
        <v>0.66400000000000003</v>
      </c>
      <c r="J38" s="143"/>
      <c r="K38" s="143"/>
      <c r="L38" s="143"/>
      <c r="M38" s="146"/>
      <c r="N38" s="149"/>
      <c r="O38" s="152"/>
      <c r="P38" s="155"/>
    </row>
    <row r="39" spans="1:18" s="3" customFormat="1" ht="13.9" customHeight="1" thickBot="1" x14ac:dyDescent="0.25">
      <c r="A39" s="12"/>
      <c r="B39" s="159"/>
      <c r="C39" s="42">
        <f>+C37+$P$8</f>
        <v>8</v>
      </c>
      <c r="D39" s="53">
        <v>0.1</v>
      </c>
      <c r="E39" s="144"/>
      <c r="F39" s="41" t="s">
        <v>67</v>
      </c>
      <c r="G39" s="166" t="str">
        <f>IF(E37&lt;=0.2,"NA",IF(E37&gt;0.2,0.8*E37))</f>
        <v>NA</v>
      </c>
      <c r="H39" s="166"/>
      <c r="I39" s="168"/>
      <c r="J39" s="168"/>
      <c r="K39" s="144"/>
      <c r="L39" s="144"/>
      <c r="M39" s="147"/>
      <c r="N39" s="150"/>
      <c r="O39" s="168"/>
      <c r="P39" s="172"/>
    </row>
    <row r="40" spans="1:18" s="3" customFormat="1" ht="14.1" customHeight="1" x14ac:dyDescent="0.2">
      <c r="A40" s="12"/>
      <c r="B40" s="157">
        <v>9</v>
      </c>
      <c r="C40" s="160">
        <f>+C39</f>
        <v>8</v>
      </c>
      <c r="D40" s="162">
        <v>0.1</v>
      </c>
      <c r="E40" s="142">
        <v>0.155</v>
      </c>
      <c r="F40" s="39" t="s">
        <v>65</v>
      </c>
      <c r="G40" s="164"/>
      <c r="H40" s="164"/>
      <c r="I40" s="164"/>
      <c r="J40" s="164"/>
      <c r="K40" s="151"/>
      <c r="L40" s="151"/>
      <c r="M40" s="169"/>
      <c r="N40" s="160"/>
      <c r="O40" s="151"/>
      <c r="P40" s="154"/>
    </row>
    <row r="41" spans="1:18" s="3" customFormat="1" ht="14.1" customHeight="1" x14ac:dyDescent="0.2">
      <c r="A41" s="12"/>
      <c r="B41" s="158"/>
      <c r="C41" s="161"/>
      <c r="D41" s="163"/>
      <c r="E41" s="143"/>
      <c r="F41" s="40" t="s">
        <v>66</v>
      </c>
      <c r="G41" s="173"/>
      <c r="H41" s="173"/>
      <c r="I41" s="165"/>
      <c r="J41" s="165"/>
      <c r="K41" s="152"/>
      <c r="L41" s="152"/>
      <c r="M41" s="170"/>
      <c r="N41" s="161"/>
      <c r="O41" s="152"/>
      <c r="P41" s="155"/>
    </row>
    <row r="42" spans="1:18" s="3" customFormat="1" ht="13.9" customHeight="1" thickBot="1" x14ac:dyDescent="0.25">
      <c r="A42" s="12"/>
      <c r="B42" s="159"/>
      <c r="C42" s="42">
        <f>+C40+$P$8</f>
        <v>9</v>
      </c>
      <c r="D42" s="53">
        <v>0.155</v>
      </c>
      <c r="E42" s="144"/>
      <c r="F42" s="41" t="s">
        <v>67</v>
      </c>
      <c r="G42" s="167"/>
      <c r="H42" s="167"/>
      <c r="I42" s="167"/>
      <c r="J42" s="167"/>
      <c r="K42" s="168"/>
      <c r="L42" s="168"/>
      <c r="M42" s="171"/>
      <c r="N42" s="166"/>
      <c r="O42" s="168"/>
      <c r="P42" s="172"/>
    </row>
    <row r="43" spans="1:18" s="3" customFormat="1" ht="14.1" customHeight="1" x14ac:dyDescent="0.2">
      <c r="A43" s="12"/>
      <c r="B43" s="157">
        <v>10</v>
      </c>
      <c r="C43" s="160">
        <f>+C42</f>
        <v>9</v>
      </c>
      <c r="D43" s="162">
        <v>0.155</v>
      </c>
      <c r="E43" s="142">
        <v>5.6000000000000001E-2</v>
      </c>
      <c r="F43" s="39" t="s">
        <v>65</v>
      </c>
      <c r="G43" s="151" t="str">
        <f>IF(E43&lt;=0.2,"NA",IF(E43&gt;0.2,0.2*E43))</f>
        <v>NA</v>
      </c>
      <c r="H43" s="151"/>
      <c r="I43" s="164"/>
      <c r="J43" s="164"/>
      <c r="K43" s="142">
        <f>ROUND(+IF(E43&lt;=0.2,(I44),(IF(E43&gt;0.2,((I43+2*I44+I45)/4)))),3)</f>
        <v>0.29799999999999999</v>
      </c>
      <c r="L43" s="142">
        <f>ROUND(+(D43+D45)/2*(C45-C43),3)</f>
        <v>0.11700000000000001</v>
      </c>
      <c r="M43" s="145">
        <f>ROUND(+K43*L43,4)</f>
        <v>3.49E-2</v>
      </c>
      <c r="N43" s="148">
        <f t="shared" ref="N43" si="6">ROUND(+M43/$M$56*100,1)</f>
        <v>9.9</v>
      </c>
      <c r="O43" s="151"/>
      <c r="P43" s="154"/>
    </row>
    <row r="44" spans="1:18" s="3" customFormat="1" ht="14.1" customHeight="1" x14ac:dyDescent="0.2">
      <c r="A44" s="12"/>
      <c r="B44" s="158"/>
      <c r="C44" s="161"/>
      <c r="D44" s="163"/>
      <c r="E44" s="143"/>
      <c r="F44" s="40" t="s">
        <v>66</v>
      </c>
      <c r="G44" s="161">
        <f>IF(E43&lt;=0.2,0.6*E43,IF(E43&gt;0.2,0.6*E43))</f>
        <v>3.3599999999999998E-2</v>
      </c>
      <c r="H44" s="161"/>
      <c r="I44" s="165">
        <v>0.29799999999999999</v>
      </c>
      <c r="J44" s="165"/>
      <c r="K44" s="143"/>
      <c r="L44" s="143"/>
      <c r="M44" s="146"/>
      <c r="N44" s="149"/>
      <c r="O44" s="152"/>
      <c r="P44" s="155"/>
    </row>
    <row r="45" spans="1:18" s="3" customFormat="1" ht="13.9" customHeight="1" thickBot="1" x14ac:dyDescent="0.25">
      <c r="A45" s="12"/>
      <c r="B45" s="159"/>
      <c r="C45" s="42">
        <v>10.220000000000001</v>
      </c>
      <c r="D45" s="53">
        <v>3.6999999999999998E-2</v>
      </c>
      <c r="E45" s="144"/>
      <c r="F45" s="62" t="s">
        <v>67</v>
      </c>
      <c r="G45" s="166" t="str">
        <f>IF(E43&lt;=0.2,"NA",IF(E43&gt;0.2,0.8*E43))</f>
        <v>NA</v>
      </c>
      <c r="H45" s="166"/>
      <c r="I45" s="167"/>
      <c r="J45" s="167"/>
      <c r="K45" s="144"/>
      <c r="L45" s="144"/>
      <c r="M45" s="147"/>
      <c r="N45" s="150"/>
      <c r="O45" s="153"/>
      <c r="P45" s="156"/>
    </row>
    <row r="46" spans="1:18" s="3" customFormat="1" ht="14.1" customHeight="1" x14ac:dyDescent="0.25">
      <c r="A46" s="12"/>
      <c r="B46" s="140">
        <v>9</v>
      </c>
      <c r="C46" s="140">
        <v>8</v>
      </c>
      <c r="D46" s="131">
        <v>0.1</v>
      </c>
      <c r="E46" s="131">
        <v>0.155</v>
      </c>
      <c r="F46" s="46" t="s">
        <v>31</v>
      </c>
      <c r="G46" s="141"/>
      <c r="H46" s="141"/>
      <c r="I46" s="128">
        <v>0.52600000000000002</v>
      </c>
      <c r="J46" s="128"/>
      <c r="K46" s="131">
        <f>AVERAGE(I46:J55)</f>
        <v>0.39400000000000002</v>
      </c>
      <c r="L46" s="132">
        <f>ROUND(+(D46+D51)/2*(C51-C46),3)</f>
        <v>0.128</v>
      </c>
      <c r="M46" s="134">
        <f>ROUND(+K46*L46,4)</f>
        <v>5.04E-2</v>
      </c>
      <c r="N46" s="132">
        <f>ROUND(+M46/$M$56*100,1)</f>
        <v>14.3</v>
      </c>
      <c r="O46" s="132"/>
      <c r="P46" s="137"/>
    </row>
    <row r="47" spans="1:18" s="3" customFormat="1" ht="14.1" customHeight="1" x14ac:dyDescent="0.25">
      <c r="A47" s="12"/>
      <c r="B47" s="129"/>
      <c r="C47" s="129"/>
      <c r="D47" s="130"/>
      <c r="E47" s="130"/>
      <c r="F47" s="47" t="s">
        <v>68</v>
      </c>
      <c r="G47" s="126">
        <f>+ROUND(0.1*$E$46,2)</f>
        <v>0.02</v>
      </c>
      <c r="H47" s="126"/>
      <c r="I47" s="127">
        <v>0.51</v>
      </c>
      <c r="J47" s="127"/>
      <c r="K47" s="129"/>
      <c r="L47" s="129"/>
      <c r="M47" s="135"/>
      <c r="N47" s="129"/>
      <c r="O47" s="129"/>
      <c r="P47" s="138"/>
      <c r="R47" s="48"/>
    </row>
    <row r="48" spans="1:18" s="3" customFormat="1" ht="14.1" customHeight="1" x14ac:dyDescent="0.25">
      <c r="A48" s="12"/>
      <c r="B48" s="129"/>
      <c r="C48" s="129"/>
      <c r="D48" s="130"/>
      <c r="E48" s="130"/>
      <c r="F48" s="47" t="s">
        <v>65</v>
      </c>
      <c r="G48" s="126">
        <f>+ROUND(0.2*$E$46,2)</f>
        <v>0.03</v>
      </c>
      <c r="H48" s="126"/>
      <c r="I48" s="127">
        <v>0.47399999999999998</v>
      </c>
      <c r="J48" s="127"/>
      <c r="K48" s="129"/>
      <c r="L48" s="129"/>
      <c r="M48" s="135"/>
      <c r="N48" s="129"/>
      <c r="O48" s="129"/>
      <c r="P48" s="138"/>
      <c r="R48" s="48"/>
    </row>
    <row r="49" spans="1:18" s="3" customFormat="1" ht="14.1" customHeight="1" x14ac:dyDescent="0.25">
      <c r="A49" s="12"/>
      <c r="B49" s="129"/>
      <c r="C49" s="129"/>
      <c r="D49" s="130"/>
      <c r="E49" s="130"/>
      <c r="F49" s="47" t="s">
        <v>69</v>
      </c>
      <c r="G49" s="126">
        <f>+ROUND(0.3*$E$46,2)</f>
        <v>0.05</v>
      </c>
      <c r="H49" s="126"/>
      <c r="I49" s="127">
        <v>0.438</v>
      </c>
      <c r="J49" s="127"/>
      <c r="K49" s="129"/>
      <c r="L49" s="129"/>
      <c r="M49" s="135"/>
      <c r="N49" s="129"/>
      <c r="O49" s="129"/>
      <c r="P49" s="138"/>
      <c r="R49" s="48"/>
    </row>
    <row r="50" spans="1:18" s="3" customFormat="1" ht="14.1" customHeight="1" x14ac:dyDescent="0.25">
      <c r="A50" s="12"/>
      <c r="B50" s="129"/>
      <c r="C50" s="129"/>
      <c r="D50" s="130"/>
      <c r="E50" s="130"/>
      <c r="F50" s="47" t="s">
        <v>70</v>
      </c>
      <c r="G50" s="126">
        <f>+ROUND(0.4*$E$46,2)</f>
        <v>0.06</v>
      </c>
      <c r="H50" s="126"/>
      <c r="I50" s="127">
        <v>0.39</v>
      </c>
      <c r="J50" s="127"/>
      <c r="K50" s="129"/>
      <c r="L50" s="129"/>
      <c r="M50" s="135"/>
      <c r="N50" s="129"/>
      <c r="O50" s="129"/>
      <c r="P50" s="138"/>
      <c r="R50" s="48"/>
    </row>
    <row r="51" spans="1:18" s="3" customFormat="1" ht="14.1" customHeight="1" x14ac:dyDescent="0.25">
      <c r="A51" s="12"/>
      <c r="B51" s="129"/>
      <c r="C51" s="129">
        <v>9</v>
      </c>
      <c r="D51" s="130">
        <v>0.155</v>
      </c>
      <c r="E51" s="130"/>
      <c r="F51" s="47" t="s">
        <v>30</v>
      </c>
      <c r="G51" s="126">
        <f>+ROUND(0.5*$E$46,2)</f>
        <v>0.08</v>
      </c>
      <c r="H51" s="126"/>
      <c r="I51" s="127">
        <v>0.38600000000000001</v>
      </c>
      <c r="J51" s="127"/>
      <c r="K51" s="129"/>
      <c r="L51" s="129"/>
      <c r="M51" s="135"/>
      <c r="N51" s="129"/>
      <c r="O51" s="129"/>
      <c r="P51" s="138"/>
      <c r="R51" s="48"/>
    </row>
    <row r="52" spans="1:18" s="3" customFormat="1" ht="14.1" customHeight="1" x14ac:dyDescent="0.25">
      <c r="A52" s="12"/>
      <c r="B52" s="129"/>
      <c r="C52" s="129"/>
      <c r="D52" s="130"/>
      <c r="E52" s="130"/>
      <c r="F52" s="47" t="s">
        <v>66</v>
      </c>
      <c r="G52" s="126">
        <f>+ROUND(0.6*$E$46,2)</f>
        <v>0.09</v>
      </c>
      <c r="H52" s="126"/>
      <c r="I52" s="127">
        <v>0.379</v>
      </c>
      <c r="J52" s="127"/>
      <c r="K52" s="129"/>
      <c r="L52" s="129"/>
      <c r="M52" s="135"/>
      <c r="N52" s="129"/>
      <c r="O52" s="129"/>
      <c r="P52" s="138"/>
      <c r="R52" s="48"/>
    </row>
    <row r="53" spans="1:18" s="3" customFormat="1" ht="14.1" customHeight="1" x14ac:dyDescent="0.25">
      <c r="A53" s="12"/>
      <c r="B53" s="129"/>
      <c r="C53" s="129"/>
      <c r="D53" s="130"/>
      <c r="E53" s="130"/>
      <c r="F53" s="47" t="s">
        <v>71</v>
      </c>
      <c r="G53" s="126">
        <f>+ROUND(0.7*$E$46,2)</f>
        <v>0.11</v>
      </c>
      <c r="H53" s="126"/>
      <c r="I53" s="127">
        <v>0.315</v>
      </c>
      <c r="J53" s="127"/>
      <c r="K53" s="129"/>
      <c r="L53" s="129"/>
      <c r="M53" s="135"/>
      <c r="N53" s="129"/>
      <c r="O53" s="129"/>
      <c r="P53" s="138"/>
      <c r="R53" s="48"/>
    </row>
    <row r="54" spans="1:18" s="3" customFormat="1" ht="14.1" customHeight="1" x14ac:dyDescent="0.25">
      <c r="A54" s="12"/>
      <c r="B54" s="129"/>
      <c r="C54" s="129"/>
      <c r="D54" s="130"/>
      <c r="E54" s="130"/>
      <c r="F54" s="47" t="s">
        <v>67</v>
      </c>
      <c r="G54" s="126">
        <f>+ROUND(0.8*$E$46,2)</f>
        <v>0.12</v>
      </c>
      <c r="H54" s="126"/>
      <c r="I54" s="127">
        <v>0.29799999999999999</v>
      </c>
      <c r="J54" s="127"/>
      <c r="K54" s="129"/>
      <c r="L54" s="129"/>
      <c r="M54" s="135"/>
      <c r="N54" s="129"/>
      <c r="O54" s="129"/>
      <c r="P54" s="138"/>
      <c r="R54" s="48"/>
    </row>
    <row r="55" spans="1:18" s="3" customFormat="1" ht="15.75" thickBot="1" x14ac:dyDescent="0.3">
      <c r="A55" s="12"/>
      <c r="B55" s="129"/>
      <c r="C55" s="129"/>
      <c r="D55" s="130"/>
      <c r="E55" s="130"/>
      <c r="F55" s="49" t="s">
        <v>72</v>
      </c>
      <c r="G55" s="126">
        <f>+ROUND(0.9*$E$46,2)</f>
        <v>0.14000000000000001</v>
      </c>
      <c r="H55" s="126"/>
      <c r="I55" s="128">
        <v>0.224</v>
      </c>
      <c r="J55" s="128"/>
      <c r="K55" s="129"/>
      <c r="L55" s="133"/>
      <c r="M55" s="136"/>
      <c r="N55" s="133"/>
      <c r="O55" s="133"/>
      <c r="P55" s="139"/>
      <c r="R55" s="48"/>
    </row>
    <row r="56" spans="1:18" s="3" customFormat="1" ht="12.75" customHeight="1" x14ac:dyDescent="0.2">
      <c r="A56" s="12"/>
      <c r="B56" s="112" t="s">
        <v>32</v>
      </c>
      <c r="C56" s="113"/>
      <c r="D56" s="113"/>
      <c r="E56" s="113"/>
      <c r="F56" s="113"/>
      <c r="G56" s="113"/>
      <c r="H56" s="113"/>
      <c r="I56" s="113"/>
      <c r="J56" s="113"/>
      <c r="K56" s="13">
        <f>ROUND(+M56/L56,3)</f>
        <v>0.44900000000000001</v>
      </c>
      <c r="L56" s="54">
        <f>SUM(L16:L55)</f>
        <v>0.78699999999999992</v>
      </c>
      <c r="M56" s="45">
        <f>SUM(M16:M55)</f>
        <v>0.35310000000000002</v>
      </c>
      <c r="N56" s="14">
        <f>ROUND(SUM(N16:N55),0)</f>
        <v>100</v>
      </c>
      <c r="O56" s="116" t="s">
        <v>33</v>
      </c>
      <c r="P56" s="118"/>
    </row>
    <row r="57" spans="1:18" s="3" customFormat="1" ht="15" customHeight="1" thickBot="1" x14ac:dyDescent="0.25">
      <c r="A57" s="12"/>
      <c r="B57" s="114"/>
      <c r="C57" s="115"/>
      <c r="D57" s="115"/>
      <c r="E57" s="115"/>
      <c r="F57" s="115"/>
      <c r="G57" s="115"/>
      <c r="H57" s="115"/>
      <c r="I57" s="115"/>
      <c r="J57" s="115"/>
      <c r="K57" s="15" t="s">
        <v>34</v>
      </c>
      <c r="L57" s="15" t="s">
        <v>50</v>
      </c>
      <c r="M57" s="15" t="s">
        <v>51</v>
      </c>
      <c r="N57" s="15" t="s">
        <v>35</v>
      </c>
      <c r="O57" s="117"/>
      <c r="P57" s="119"/>
    </row>
    <row r="58" spans="1:18" ht="57" customHeight="1" thickBot="1" x14ac:dyDescent="0.3">
      <c r="A58" s="50"/>
      <c r="B58" s="120" t="s">
        <v>29</v>
      </c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2"/>
    </row>
    <row r="59" spans="1:18" ht="15" customHeight="1" thickBot="1" x14ac:dyDescent="0.3">
      <c r="A59" s="5"/>
      <c r="B59" s="123" t="s">
        <v>73</v>
      </c>
      <c r="C59" s="124"/>
      <c r="D59" s="124"/>
      <c r="E59" s="124"/>
      <c r="F59" s="124"/>
      <c r="G59" s="124" t="s">
        <v>74</v>
      </c>
      <c r="H59" s="124"/>
      <c r="I59" s="124"/>
      <c r="J59" s="124"/>
      <c r="K59" s="124"/>
      <c r="L59" s="124"/>
      <c r="M59" s="124" t="s">
        <v>75</v>
      </c>
      <c r="N59" s="124"/>
      <c r="O59" s="124"/>
      <c r="P59" s="125"/>
    </row>
    <row r="60" spans="1:18" ht="15" customHeight="1" thickBot="1" x14ac:dyDescent="0.3">
      <c r="A60" s="5"/>
      <c r="B60" s="87"/>
      <c r="C60" s="88"/>
      <c r="D60" s="88"/>
      <c r="E60" s="88"/>
      <c r="F60" s="88"/>
      <c r="G60" s="88"/>
      <c r="H60" s="88"/>
      <c r="I60" s="89"/>
      <c r="J60" s="92" t="s">
        <v>53</v>
      </c>
      <c r="K60" s="93"/>
      <c r="L60" s="93"/>
      <c r="M60" s="93"/>
      <c r="N60" s="93"/>
      <c r="O60" s="93"/>
      <c r="P60" s="94"/>
    </row>
    <row r="61" spans="1:18" ht="18.600000000000001" customHeight="1" thickBot="1" x14ac:dyDescent="0.3">
      <c r="A61" s="6"/>
      <c r="B61" s="87"/>
      <c r="C61" s="88"/>
      <c r="D61" s="88"/>
      <c r="E61" s="88"/>
      <c r="F61" s="88"/>
      <c r="G61" s="88"/>
      <c r="H61" s="88"/>
      <c r="I61" s="89"/>
      <c r="J61" s="51" t="s">
        <v>76</v>
      </c>
      <c r="K61" s="95" t="s">
        <v>91</v>
      </c>
      <c r="L61" s="95"/>
      <c r="M61" s="95"/>
      <c r="N61" s="95"/>
      <c r="O61" s="95"/>
      <c r="P61" s="96"/>
    </row>
    <row r="62" spans="1:18" ht="60" customHeight="1" thickBot="1" x14ac:dyDescent="0.3">
      <c r="A62" s="10"/>
      <c r="B62" s="87"/>
      <c r="C62" s="88"/>
      <c r="D62" s="88"/>
      <c r="E62" s="88"/>
      <c r="F62" s="88"/>
      <c r="G62" s="88"/>
      <c r="H62" s="88"/>
      <c r="I62" s="89"/>
      <c r="J62" s="97" t="s">
        <v>92</v>
      </c>
      <c r="K62" s="98"/>
      <c r="L62" s="98"/>
      <c r="M62" s="98"/>
      <c r="N62" s="98"/>
      <c r="O62" s="98"/>
      <c r="P62" s="99"/>
    </row>
    <row r="63" spans="1:18" ht="15" customHeight="1" thickBot="1" x14ac:dyDescent="0.3">
      <c r="A63" s="5"/>
      <c r="B63" s="87"/>
      <c r="C63" s="88"/>
      <c r="D63" s="88"/>
      <c r="E63" s="88"/>
      <c r="F63" s="88"/>
      <c r="G63" s="88"/>
      <c r="H63" s="88"/>
      <c r="I63" s="89"/>
      <c r="J63" s="100" t="s">
        <v>36</v>
      </c>
      <c r="K63" s="101"/>
      <c r="L63" s="101"/>
      <c r="M63" s="101"/>
      <c r="N63" s="102"/>
      <c r="O63" s="103">
        <v>5.32</v>
      </c>
      <c r="P63" s="104"/>
    </row>
    <row r="64" spans="1:18" ht="15" customHeight="1" thickBot="1" x14ac:dyDescent="0.3">
      <c r="A64" s="5"/>
      <c r="B64" s="87"/>
      <c r="C64" s="88"/>
      <c r="D64" s="88"/>
      <c r="E64" s="88"/>
      <c r="F64" s="88"/>
      <c r="G64" s="88"/>
      <c r="H64" s="88"/>
      <c r="I64" s="88"/>
      <c r="J64" s="105" t="s">
        <v>93</v>
      </c>
      <c r="K64" s="106"/>
      <c r="L64" s="106"/>
      <c r="M64" s="106"/>
      <c r="N64" s="106"/>
      <c r="O64" s="107">
        <v>0.51459999999999995</v>
      </c>
      <c r="P64" s="108"/>
    </row>
    <row r="65" spans="1:16" ht="14.45" customHeight="1" thickBot="1" x14ac:dyDescent="0.3">
      <c r="A65" s="5"/>
      <c r="B65" s="90"/>
      <c r="C65" s="79"/>
      <c r="D65" s="79"/>
      <c r="E65" s="79"/>
      <c r="F65" s="79"/>
      <c r="G65" s="79"/>
      <c r="H65" s="79"/>
      <c r="I65" s="91"/>
      <c r="J65" s="109" t="s">
        <v>77</v>
      </c>
      <c r="K65" s="110"/>
      <c r="L65" s="110"/>
      <c r="M65" s="110"/>
      <c r="N65" s="110"/>
      <c r="O65" s="110"/>
      <c r="P65" s="111"/>
    </row>
    <row r="66" spans="1:16" ht="23.45" customHeight="1" thickBot="1" x14ac:dyDescent="0.3">
      <c r="A66" s="7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</row>
    <row r="67" spans="1:16" ht="15.75" thickBot="1" x14ac:dyDescent="0.3">
      <c r="A67" s="80" t="s">
        <v>37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2"/>
    </row>
    <row r="68" spans="1:16" ht="141.6" customHeight="1" thickBot="1" x14ac:dyDescent="0.3">
      <c r="A68" s="4"/>
      <c r="B68" s="83"/>
      <c r="C68" s="84"/>
      <c r="D68" s="84"/>
      <c r="E68" s="84"/>
      <c r="F68" s="85"/>
      <c r="G68" s="83"/>
      <c r="H68" s="84"/>
      <c r="I68" s="84"/>
      <c r="J68" s="84"/>
      <c r="K68" s="84"/>
      <c r="L68" s="85"/>
      <c r="M68" s="83"/>
      <c r="N68" s="84"/>
      <c r="O68" s="84"/>
      <c r="P68" s="85"/>
    </row>
    <row r="69" spans="1:16" s="9" customFormat="1" ht="13.9" customHeight="1" thickBot="1" x14ac:dyDescent="0.3">
      <c r="A69" s="8" t="s">
        <v>78</v>
      </c>
      <c r="B69" s="86" t="s">
        <v>79</v>
      </c>
      <c r="C69" s="74"/>
      <c r="D69" s="74"/>
      <c r="E69" s="74"/>
      <c r="F69" s="75"/>
      <c r="G69" s="86" t="s">
        <v>80</v>
      </c>
      <c r="H69" s="74"/>
      <c r="I69" s="74"/>
      <c r="J69" s="74"/>
      <c r="K69" s="74"/>
      <c r="L69" s="75"/>
      <c r="M69" s="86" t="s">
        <v>94</v>
      </c>
      <c r="N69" s="74"/>
      <c r="O69" s="74"/>
      <c r="P69" s="75"/>
    </row>
    <row r="70" spans="1:16" s="9" customFormat="1" ht="52.15" customHeight="1" thickBot="1" x14ac:dyDescent="0.3">
      <c r="A70" s="8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5"/>
    </row>
    <row r="71" spans="1:16" s="3" customFormat="1" ht="15.75" customHeight="1" thickBot="1" x14ac:dyDescent="0.25">
      <c r="A71" s="76" t="s">
        <v>38</v>
      </c>
      <c r="B71" s="77"/>
      <c r="C71" s="77"/>
      <c r="D71" s="77" t="s">
        <v>81</v>
      </c>
      <c r="E71" s="77"/>
      <c r="F71" s="77"/>
      <c r="G71" s="77"/>
      <c r="H71" s="77"/>
      <c r="I71" s="77"/>
      <c r="J71" s="77" t="s">
        <v>39</v>
      </c>
      <c r="K71" s="77"/>
      <c r="L71" s="77"/>
      <c r="M71" s="77"/>
      <c r="N71" s="77"/>
      <c r="O71" s="77"/>
      <c r="P71" s="78"/>
    </row>
  </sheetData>
  <mergeCells count="268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G49:H49"/>
    <mergeCell ref="I49:J49"/>
    <mergeCell ref="G50:H50"/>
    <mergeCell ref="I50:J50"/>
    <mergeCell ref="C51:C55"/>
    <mergeCell ref="D51:D55"/>
    <mergeCell ref="G51:H51"/>
    <mergeCell ref="I51:J51"/>
    <mergeCell ref="G52:H52"/>
    <mergeCell ref="I52:J52"/>
    <mergeCell ref="C46:C50"/>
    <mergeCell ref="D46:D50"/>
    <mergeCell ref="E46:E55"/>
    <mergeCell ref="G46:H46"/>
    <mergeCell ref="I46:J46"/>
    <mergeCell ref="G47:H47"/>
    <mergeCell ref="I47:J47"/>
    <mergeCell ref="G48:H48"/>
    <mergeCell ref="I48:J48"/>
    <mergeCell ref="B56:J57"/>
    <mergeCell ref="O56:O57"/>
    <mergeCell ref="P56:P57"/>
    <mergeCell ref="B58:P58"/>
    <mergeCell ref="B59:F59"/>
    <mergeCell ref="G59:L59"/>
    <mergeCell ref="M59:P59"/>
    <mergeCell ref="G53:H53"/>
    <mergeCell ref="I53:J53"/>
    <mergeCell ref="G54:H54"/>
    <mergeCell ref="I54:J54"/>
    <mergeCell ref="G55:H55"/>
    <mergeCell ref="I55:J55"/>
    <mergeCell ref="K46:K55"/>
    <mergeCell ref="L46:L55"/>
    <mergeCell ref="M46:M55"/>
    <mergeCell ref="N46:N55"/>
    <mergeCell ref="O46:O55"/>
    <mergeCell ref="P46:P55"/>
    <mergeCell ref="B46:B55"/>
    <mergeCell ref="B60:I65"/>
    <mergeCell ref="J60:P60"/>
    <mergeCell ref="K61:P61"/>
    <mergeCell ref="J62:P62"/>
    <mergeCell ref="J63:N63"/>
    <mergeCell ref="O63:P63"/>
    <mergeCell ref="J64:N64"/>
    <mergeCell ref="O64:P64"/>
    <mergeCell ref="J65:P65"/>
    <mergeCell ref="B70:P70"/>
    <mergeCell ref="A71:C71"/>
    <mergeCell ref="D71:I71"/>
    <mergeCell ref="J71:K71"/>
    <mergeCell ref="L71:P71"/>
    <mergeCell ref="B66:P66"/>
    <mergeCell ref="A67:P67"/>
    <mergeCell ref="B68:F68"/>
    <mergeCell ref="G68:L68"/>
    <mergeCell ref="M68:P68"/>
    <mergeCell ref="B69:F69"/>
    <mergeCell ref="G69:L69"/>
    <mergeCell ref="M69:P69"/>
  </mergeCells>
  <printOptions horizontalCentered="1"/>
  <pageMargins left="0.35433070866141736" right="0.23622047244094491" top="0.74803149606299213" bottom="0.74803149606299213" header="0.19685039370078741" footer="0.31496062992125984"/>
  <pageSetup scale="74" fitToHeight="0" orientation="portrait" r:id="rId1"/>
  <headerFooter>
    <oddHeader>&amp;C&amp;"-,Negrita Cursiva"&amp;12Protocolo integrado de aforo en ríos de montaña 
Universidad Nacional de Colombia-Sede Manizales</oddHeader>
  </headerFooter>
  <rowBreaks count="1" manualBreakCount="1">
    <brk id="57" min="1" max="15" man="1"/>
  </rowBreaks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view="pageBreakPreview" zoomScaleSheetLayoutView="100" zoomScalePageLayoutView="110" workbookViewId="0">
      <selection activeCell="A11" sqref="A11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1"/>
      <c r="B2" s="320"/>
      <c r="C2" s="321"/>
      <c r="D2" s="322"/>
      <c r="E2" s="269" t="s">
        <v>54</v>
      </c>
      <c r="F2" s="270"/>
      <c r="G2" s="270"/>
      <c r="H2" s="270"/>
      <c r="I2" s="270"/>
      <c r="J2" s="270"/>
      <c r="K2" s="270"/>
      <c r="L2" s="270"/>
      <c r="M2" s="270"/>
      <c r="N2" s="270"/>
      <c r="O2" s="323"/>
      <c r="P2" s="273"/>
    </row>
    <row r="3" spans="1:16" s="2" customFormat="1" ht="20.45" customHeight="1" thickBot="1" x14ac:dyDescent="0.3">
      <c r="A3" s="11"/>
      <c r="B3" s="324"/>
      <c r="C3" s="325"/>
      <c r="D3" s="326"/>
      <c r="E3" s="271"/>
      <c r="F3" s="272"/>
      <c r="G3" s="272"/>
      <c r="H3" s="272"/>
      <c r="I3" s="272"/>
      <c r="J3" s="272"/>
      <c r="K3" s="272"/>
      <c r="L3" s="272"/>
      <c r="M3" s="272"/>
      <c r="N3" s="272"/>
      <c r="O3" s="327"/>
      <c r="P3" s="274"/>
    </row>
    <row r="4" spans="1:16" s="2" customFormat="1" ht="4.9000000000000004" customHeight="1" thickBot="1" x14ac:dyDescent="0.3">
      <c r="A4" s="11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</row>
    <row r="5" spans="1:16" s="17" customFormat="1" ht="26.25" customHeight="1" thickBot="1" x14ac:dyDescent="0.25">
      <c r="A5" s="16"/>
      <c r="B5" s="61" t="s">
        <v>0</v>
      </c>
      <c r="C5" s="276">
        <v>42873</v>
      </c>
      <c r="D5" s="259"/>
      <c r="E5" s="253" t="s">
        <v>1</v>
      </c>
      <c r="F5" s="254"/>
      <c r="G5" s="319">
        <v>2</v>
      </c>
      <c r="H5" s="258" t="s">
        <v>2</v>
      </c>
      <c r="I5" s="254"/>
      <c r="J5" s="316" t="s">
        <v>105</v>
      </c>
      <c r="K5" s="317"/>
      <c r="L5" s="317"/>
      <c r="M5" s="317"/>
      <c r="N5" s="317"/>
      <c r="O5" s="317"/>
      <c r="P5" s="318"/>
    </row>
    <row r="6" spans="1:16" s="19" customFormat="1" ht="11.25" customHeight="1" thickBot="1" x14ac:dyDescent="0.3">
      <c r="A6" s="18"/>
      <c r="B6" s="253" t="s">
        <v>3</v>
      </c>
      <c r="C6" s="254"/>
      <c r="D6" s="255" t="s">
        <v>95</v>
      </c>
      <c r="E6" s="255"/>
      <c r="F6" s="255"/>
      <c r="G6" s="255"/>
      <c r="H6" s="255"/>
      <c r="I6" s="255"/>
      <c r="J6" s="256"/>
      <c r="K6" s="257" t="s">
        <v>4</v>
      </c>
      <c r="L6" s="258"/>
      <c r="M6" s="259" t="s">
        <v>96</v>
      </c>
      <c r="N6" s="260"/>
      <c r="O6" s="259" t="s">
        <v>97</v>
      </c>
      <c r="P6" s="261"/>
    </row>
    <row r="7" spans="1:16" s="19" customFormat="1" ht="14.1" customHeight="1" x14ac:dyDescent="0.25">
      <c r="A7" s="18"/>
      <c r="B7" s="262" t="s">
        <v>55</v>
      </c>
      <c r="C7" s="242"/>
      <c r="D7" s="242"/>
      <c r="E7" s="263"/>
      <c r="F7" s="264" t="s">
        <v>11</v>
      </c>
      <c r="G7" s="265"/>
      <c r="H7" s="266"/>
      <c r="I7" s="20">
        <v>0.5625</v>
      </c>
      <c r="J7" s="267" t="s">
        <v>83</v>
      </c>
      <c r="K7" s="268"/>
      <c r="L7" s="21">
        <v>0.91</v>
      </c>
      <c r="M7" s="262" t="s">
        <v>14</v>
      </c>
      <c r="N7" s="242"/>
      <c r="O7" s="242"/>
      <c r="P7" s="22">
        <v>10.220000000000001</v>
      </c>
    </row>
    <row r="8" spans="1:16" s="19" customFormat="1" ht="14.1" customHeight="1" thickBot="1" x14ac:dyDescent="0.3">
      <c r="A8" s="18"/>
      <c r="B8" s="231" t="s">
        <v>6</v>
      </c>
      <c r="C8" s="232"/>
      <c r="D8" s="232"/>
      <c r="E8" s="233"/>
      <c r="F8" s="23" t="s">
        <v>15</v>
      </c>
      <c r="G8" s="24"/>
      <c r="H8" s="25"/>
      <c r="I8" s="26">
        <v>0.59930555555555554</v>
      </c>
      <c r="J8" s="234" t="s">
        <v>84</v>
      </c>
      <c r="K8" s="235"/>
      <c r="L8" s="21">
        <v>0.91</v>
      </c>
      <c r="M8" s="236" t="s">
        <v>18</v>
      </c>
      <c r="N8" s="216"/>
      <c r="O8" s="216"/>
      <c r="P8" s="27">
        <v>1</v>
      </c>
    </row>
    <row r="9" spans="1:16" s="19" customFormat="1" ht="14.1" customHeight="1" x14ac:dyDescent="0.25">
      <c r="A9" s="28"/>
      <c r="B9" s="237" t="s">
        <v>7</v>
      </c>
      <c r="C9" s="238"/>
      <c r="D9" s="240" t="s">
        <v>8</v>
      </c>
      <c r="E9" s="242" t="s">
        <v>9</v>
      </c>
      <c r="F9" s="242"/>
      <c r="G9" s="242"/>
      <c r="H9" s="29"/>
      <c r="I9" s="243" t="s">
        <v>56</v>
      </c>
      <c r="J9" s="244"/>
      <c r="K9" s="247">
        <v>0</v>
      </c>
      <c r="L9" s="249" t="s">
        <v>13</v>
      </c>
      <c r="M9" s="250"/>
      <c r="N9" s="250"/>
      <c r="O9" s="251">
        <v>19</v>
      </c>
      <c r="P9" s="252"/>
    </row>
    <row r="10" spans="1:16" s="19" customFormat="1" ht="14.1" customHeight="1" thickBot="1" x14ac:dyDescent="0.3">
      <c r="A10" s="28"/>
      <c r="B10" s="117"/>
      <c r="C10" s="239"/>
      <c r="D10" s="241"/>
      <c r="E10" s="216" t="s">
        <v>10</v>
      </c>
      <c r="F10" s="216"/>
      <c r="G10" s="216"/>
      <c r="H10" s="30" t="s">
        <v>5</v>
      </c>
      <c r="I10" s="245"/>
      <c r="J10" s="246"/>
      <c r="K10" s="248"/>
      <c r="L10" s="217" t="s">
        <v>17</v>
      </c>
      <c r="M10" s="218"/>
      <c r="N10" s="218"/>
      <c r="O10" s="219">
        <v>0.55763888888888891</v>
      </c>
      <c r="P10" s="220"/>
    </row>
    <row r="11" spans="1:16" s="32" customFormat="1" ht="21.6" customHeight="1" x14ac:dyDescent="0.2">
      <c r="A11" s="12"/>
      <c r="B11" s="221" t="s">
        <v>19</v>
      </c>
      <c r="C11" s="224" t="s">
        <v>57</v>
      </c>
      <c r="D11" s="224"/>
      <c r="E11" s="224"/>
      <c r="F11" s="31"/>
      <c r="G11" s="225" t="s">
        <v>58</v>
      </c>
      <c r="H11" s="225"/>
      <c r="I11" s="225"/>
      <c r="J11" s="225"/>
      <c r="K11" s="225"/>
      <c r="L11" s="226"/>
      <c r="M11" s="225" t="s">
        <v>59</v>
      </c>
      <c r="N11" s="225"/>
      <c r="O11" s="225"/>
      <c r="P11" s="229"/>
    </row>
    <row r="12" spans="1:16" s="32" customFormat="1" ht="21.6" customHeight="1" x14ac:dyDescent="0.2">
      <c r="A12" s="12"/>
      <c r="B12" s="222"/>
      <c r="C12" s="230" t="s">
        <v>60</v>
      </c>
      <c r="D12" s="230"/>
      <c r="E12" s="230"/>
      <c r="F12" s="33"/>
      <c r="G12" s="194" t="s">
        <v>63</v>
      </c>
      <c r="H12" s="194"/>
      <c r="I12" s="194"/>
      <c r="J12" s="194"/>
      <c r="K12" s="194"/>
      <c r="L12" s="227"/>
      <c r="M12" s="194" t="s">
        <v>62</v>
      </c>
      <c r="N12" s="194"/>
      <c r="O12" s="194"/>
      <c r="P12" s="195"/>
    </row>
    <row r="13" spans="1:16" s="32" customFormat="1" ht="21.6" customHeight="1" thickBot="1" x14ac:dyDescent="0.25">
      <c r="A13" s="12"/>
      <c r="B13" s="223"/>
      <c r="C13" s="196"/>
      <c r="D13" s="197"/>
      <c r="E13" s="197"/>
      <c r="F13" s="197"/>
      <c r="G13" s="198" t="s">
        <v>61</v>
      </c>
      <c r="H13" s="198"/>
      <c r="I13" s="198"/>
      <c r="J13" s="198"/>
      <c r="K13" s="198"/>
      <c r="L13" s="228"/>
      <c r="M13" s="198" t="s">
        <v>64</v>
      </c>
      <c r="N13" s="198"/>
      <c r="O13" s="198"/>
      <c r="P13" s="199"/>
    </row>
    <row r="14" spans="1:16" ht="16.5" customHeight="1" x14ac:dyDescent="0.25">
      <c r="A14" s="5"/>
      <c r="B14" s="200" t="s">
        <v>20</v>
      </c>
      <c r="C14" s="202" t="s">
        <v>21</v>
      </c>
      <c r="D14" s="202" t="s">
        <v>42</v>
      </c>
      <c r="E14" s="204" t="s">
        <v>22</v>
      </c>
      <c r="F14" s="206" t="s">
        <v>43</v>
      </c>
      <c r="G14" s="207"/>
      <c r="H14" s="208"/>
      <c r="I14" s="212" t="s">
        <v>44</v>
      </c>
      <c r="J14" s="213"/>
      <c r="K14" s="34"/>
      <c r="L14" s="35" t="s">
        <v>45</v>
      </c>
      <c r="M14" s="35" t="s">
        <v>46</v>
      </c>
      <c r="N14" s="35" t="s">
        <v>46</v>
      </c>
      <c r="O14" s="35" t="s">
        <v>47</v>
      </c>
      <c r="P14" s="36" t="s">
        <v>23</v>
      </c>
    </row>
    <row r="15" spans="1:16" ht="14.1" customHeight="1" thickBot="1" x14ac:dyDescent="0.3">
      <c r="A15" s="5"/>
      <c r="B15" s="201"/>
      <c r="C15" s="203"/>
      <c r="D15" s="203"/>
      <c r="E15" s="205"/>
      <c r="F15" s="209"/>
      <c r="G15" s="210"/>
      <c r="H15" s="211"/>
      <c r="I15" s="214" t="s">
        <v>24</v>
      </c>
      <c r="J15" s="215"/>
      <c r="K15" s="37" t="s">
        <v>25</v>
      </c>
      <c r="L15" s="37" t="s">
        <v>48</v>
      </c>
      <c r="M15" s="37" t="s">
        <v>49</v>
      </c>
      <c r="N15" s="37" t="s">
        <v>26</v>
      </c>
      <c r="O15" s="37" t="s">
        <v>27</v>
      </c>
      <c r="P15" s="38" t="s">
        <v>28</v>
      </c>
    </row>
    <row r="16" spans="1:16" s="3" customFormat="1" ht="14.1" customHeight="1" x14ac:dyDescent="0.2">
      <c r="A16" s="12"/>
      <c r="B16" s="157">
        <v>1</v>
      </c>
      <c r="C16" s="151">
        <f>K9</f>
        <v>0</v>
      </c>
      <c r="D16" s="188">
        <v>8.5999999999999993E-2</v>
      </c>
      <c r="E16" s="151">
        <v>9.8000000000000004E-2</v>
      </c>
      <c r="F16" s="39" t="s">
        <v>65</v>
      </c>
      <c r="G16" s="151" t="str">
        <f t="shared" ref="G16" si="0">IF(E16&lt;0.12,"NA",IF(E16&gt;=0.12,0.2*E16))</f>
        <v>NA</v>
      </c>
      <c r="H16" s="151"/>
      <c r="I16" s="164"/>
      <c r="J16" s="164"/>
      <c r="K16" s="142">
        <f>ROUND(+IF(E16&lt;0.12,(I17),(IF(E16&gt;=0.12,((I16+2*I17+I18)/4)))),3)</f>
        <v>0.14000000000000001</v>
      </c>
      <c r="L16" s="142">
        <f>ROUND(+(D16+D18)/2*(C18-C16),3)</f>
        <v>9.4E-2</v>
      </c>
      <c r="M16" s="145">
        <f>ROUND(+K16*L16,4)</f>
        <v>1.32E-2</v>
      </c>
      <c r="N16" s="148">
        <f>ROUND(+M16/$M$56*100,1)</f>
        <v>2.5</v>
      </c>
      <c r="O16" s="151"/>
      <c r="P16" s="154"/>
    </row>
    <row r="17" spans="1:16" s="3" customFormat="1" ht="14.1" customHeight="1" x14ac:dyDescent="0.2">
      <c r="A17" s="12"/>
      <c r="B17" s="158"/>
      <c r="C17" s="152"/>
      <c r="D17" s="280"/>
      <c r="E17" s="152"/>
      <c r="F17" s="40" t="s">
        <v>66</v>
      </c>
      <c r="G17" s="161">
        <f t="shared" ref="G17" si="1">IF(E16&lt;0.12,0.6*E16,IF(E16&gt;=0.12,0.6*E16))</f>
        <v>5.8799999999999998E-2</v>
      </c>
      <c r="H17" s="161"/>
      <c r="I17" s="165">
        <v>0.14000000000000001</v>
      </c>
      <c r="J17" s="165"/>
      <c r="K17" s="143"/>
      <c r="L17" s="143"/>
      <c r="M17" s="146"/>
      <c r="N17" s="149"/>
      <c r="O17" s="152"/>
      <c r="P17" s="155"/>
    </row>
    <row r="18" spans="1:16" s="3" customFormat="1" ht="13.9" customHeight="1" thickBot="1" x14ac:dyDescent="0.25">
      <c r="A18" s="12"/>
      <c r="B18" s="159"/>
      <c r="C18" s="43">
        <f>C16+P8</f>
        <v>1</v>
      </c>
      <c r="D18" s="43">
        <v>0.10199999999999999</v>
      </c>
      <c r="E18" s="168"/>
      <c r="F18" s="41" t="s">
        <v>67</v>
      </c>
      <c r="G18" s="166" t="str">
        <f t="shared" ref="G18" si="2">IF(E16&lt;0.12,"NA",IF(E16&gt;=0.12,0.8*E16))</f>
        <v>NA</v>
      </c>
      <c r="H18" s="166"/>
      <c r="I18" s="167"/>
      <c r="J18" s="167"/>
      <c r="K18" s="144"/>
      <c r="L18" s="144"/>
      <c r="M18" s="147"/>
      <c r="N18" s="150"/>
      <c r="O18" s="168"/>
      <c r="P18" s="172"/>
    </row>
    <row r="19" spans="1:16" s="3" customFormat="1" ht="14.1" customHeight="1" x14ac:dyDescent="0.2">
      <c r="A19" s="12"/>
      <c r="B19" s="157">
        <v>2</v>
      </c>
      <c r="C19" s="151">
        <f>C18</f>
        <v>1</v>
      </c>
      <c r="D19" s="188">
        <f>D18</f>
        <v>0.10199999999999999</v>
      </c>
      <c r="E19" s="151">
        <v>0.09</v>
      </c>
      <c r="F19" s="39" t="s">
        <v>65</v>
      </c>
      <c r="G19" s="151" t="str">
        <f t="shared" ref="G19" si="3">IF(E19&lt;0.12,"NA",IF(E19&gt;=0.12,0.2*E19))</f>
        <v>NA</v>
      </c>
      <c r="H19" s="151"/>
      <c r="I19" s="164"/>
      <c r="J19" s="164"/>
      <c r="K19" s="142">
        <f t="shared" ref="K19" si="4">ROUND(+IF(E19&lt;0.12,(I20),(IF(E19&gt;=0.12,((I19+2*I20+I21)/4)))),3)</f>
        <v>0.42099999999999999</v>
      </c>
      <c r="L19" s="142">
        <f>ROUND(+(D19+D21)/2*(C21-C19),3)</f>
        <v>0.10100000000000001</v>
      </c>
      <c r="M19" s="145">
        <f>ROUND(+K19*L19,4)</f>
        <v>4.2500000000000003E-2</v>
      </c>
      <c r="N19" s="148">
        <f t="shared" ref="N19" si="5">ROUND(+M19/$M$56*100,1)</f>
        <v>8.1999999999999993</v>
      </c>
      <c r="O19" s="151"/>
      <c r="P19" s="154"/>
    </row>
    <row r="20" spans="1:16" s="3" customFormat="1" ht="14.1" customHeight="1" x14ac:dyDescent="0.2">
      <c r="A20" s="12"/>
      <c r="B20" s="158"/>
      <c r="C20" s="152"/>
      <c r="D20" s="280"/>
      <c r="E20" s="152"/>
      <c r="F20" s="40" t="s">
        <v>66</v>
      </c>
      <c r="G20" s="161">
        <f t="shared" ref="G20" si="6">IF(E19&lt;0.12,0.6*E19,IF(E19&gt;=0.12,0.6*E19))</f>
        <v>5.3999999999999999E-2</v>
      </c>
      <c r="H20" s="161"/>
      <c r="I20" s="165">
        <v>0.42099999999999999</v>
      </c>
      <c r="J20" s="165"/>
      <c r="K20" s="143"/>
      <c r="L20" s="143"/>
      <c r="M20" s="146"/>
      <c r="N20" s="149"/>
      <c r="O20" s="152"/>
      <c r="P20" s="155"/>
    </row>
    <row r="21" spans="1:16" s="3" customFormat="1" ht="13.9" customHeight="1" thickBot="1" x14ac:dyDescent="0.25">
      <c r="A21" s="12"/>
      <c r="B21" s="159"/>
      <c r="C21" s="43">
        <f>C19+P8</f>
        <v>2</v>
      </c>
      <c r="D21" s="44">
        <v>0.1</v>
      </c>
      <c r="E21" s="168"/>
      <c r="F21" s="41" t="s">
        <v>67</v>
      </c>
      <c r="G21" s="166" t="str">
        <f t="shared" ref="G21" si="7">IF(E19&lt;0.12,"NA",IF(E19&gt;=0.12,0.8*E19))</f>
        <v>NA</v>
      </c>
      <c r="H21" s="166"/>
      <c r="I21" s="167"/>
      <c r="J21" s="167"/>
      <c r="K21" s="144"/>
      <c r="L21" s="144"/>
      <c r="M21" s="147"/>
      <c r="N21" s="150"/>
      <c r="O21" s="168"/>
      <c r="P21" s="172"/>
    </row>
    <row r="22" spans="1:16" s="3" customFormat="1" ht="14.1" customHeight="1" x14ac:dyDescent="0.2">
      <c r="A22" s="12"/>
      <c r="B22" s="157">
        <v>3</v>
      </c>
      <c r="C22" s="151">
        <f>C21</f>
        <v>2</v>
      </c>
      <c r="D22" s="182">
        <f>D21</f>
        <v>0.1</v>
      </c>
      <c r="E22" s="151">
        <v>0.105</v>
      </c>
      <c r="F22" s="39" t="s">
        <v>65</v>
      </c>
      <c r="G22" s="151" t="str">
        <f t="shared" ref="G22" si="8">IF(E22&lt;0.12,"NA",IF(E22&gt;=0.12,0.2*E22))</f>
        <v>NA</v>
      </c>
      <c r="H22" s="151"/>
      <c r="I22" s="164"/>
      <c r="J22" s="164"/>
      <c r="K22" s="142">
        <f t="shared" ref="K22" si="9">ROUND(+IF(E22&lt;0.12,(I23),(IF(E22&gt;=0.12,((I22+2*I23+I24)/4)))),3)</f>
        <v>0.58599999999999997</v>
      </c>
      <c r="L22" s="142">
        <f>ROUND(+(D22+D24)/2*(C24-C22),3)</f>
        <v>0.10299999999999999</v>
      </c>
      <c r="M22" s="145">
        <f>ROUND(+K22*L22,4)</f>
        <v>6.0400000000000002E-2</v>
      </c>
      <c r="N22" s="148">
        <f t="shared" ref="N22" si="10">ROUND(+M22/$M$56*100,1)</f>
        <v>11.6</v>
      </c>
      <c r="O22" s="151"/>
      <c r="P22" s="154"/>
    </row>
    <row r="23" spans="1:16" s="3" customFormat="1" ht="14.1" customHeight="1" x14ac:dyDescent="0.2">
      <c r="A23" s="12"/>
      <c r="B23" s="158"/>
      <c r="C23" s="152"/>
      <c r="D23" s="279"/>
      <c r="E23" s="152"/>
      <c r="F23" s="40" t="s">
        <v>66</v>
      </c>
      <c r="G23" s="161">
        <f t="shared" ref="G23" si="11">IF(E22&lt;0.12,0.6*E22,IF(E22&gt;=0.12,0.6*E22))</f>
        <v>6.3E-2</v>
      </c>
      <c r="H23" s="161"/>
      <c r="I23" s="165">
        <v>0.58599999999999997</v>
      </c>
      <c r="J23" s="165"/>
      <c r="K23" s="143"/>
      <c r="L23" s="143"/>
      <c r="M23" s="146"/>
      <c r="N23" s="149"/>
      <c r="O23" s="152"/>
      <c r="P23" s="155"/>
    </row>
    <row r="24" spans="1:16" s="3" customFormat="1" ht="13.9" customHeight="1" thickBot="1" x14ac:dyDescent="0.25">
      <c r="A24" s="12"/>
      <c r="B24" s="159"/>
      <c r="C24" s="43">
        <f>C22+P8</f>
        <v>3</v>
      </c>
      <c r="D24" s="44">
        <v>0.105</v>
      </c>
      <c r="E24" s="168"/>
      <c r="F24" s="41" t="s">
        <v>67</v>
      </c>
      <c r="G24" s="166" t="str">
        <f t="shared" ref="G24" si="12">IF(E22&lt;0.12,"NA",IF(E22&gt;=0.12,0.8*E22))</f>
        <v>NA</v>
      </c>
      <c r="H24" s="166"/>
      <c r="I24" s="167"/>
      <c r="J24" s="167"/>
      <c r="K24" s="144"/>
      <c r="L24" s="144"/>
      <c r="M24" s="147"/>
      <c r="N24" s="150"/>
      <c r="O24" s="168"/>
      <c r="P24" s="172"/>
    </row>
    <row r="25" spans="1:16" s="3" customFormat="1" ht="14.1" customHeight="1" x14ac:dyDescent="0.2">
      <c r="A25" s="12"/>
      <c r="B25" s="157">
        <v>4</v>
      </c>
      <c r="C25" s="151">
        <f>C24</f>
        <v>3</v>
      </c>
      <c r="D25" s="182">
        <f>D24</f>
        <v>0.105</v>
      </c>
      <c r="E25" s="151">
        <v>8.2000000000000003E-2</v>
      </c>
      <c r="F25" s="39" t="s">
        <v>65</v>
      </c>
      <c r="G25" s="151" t="str">
        <f t="shared" ref="G25" si="13">IF(E25&lt;0.12,"NA",IF(E25&gt;=0.12,0.2*E25))</f>
        <v>NA</v>
      </c>
      <c r="H25" s="151"/>
      <c r="I25" s="164"/>
      <c r="J25" s="164"/>
      <c r="K25" s="142">
        <f t="shared" ref="K25" si="14">ROUND(+IF(E25&lt;0.12,(I26),(IF(E25&gt;=0.12,((I25+2*I26+I27)/4)))),3)</f>
        <v>0.67900000000000005</v>
      </c>
      <c r="L25" s="142">
        <f>ROUND(+(D25+D27)/2*(C27-C25),3)</f>
        <v>8.7999999999999995E-2</v>
      </c>
      <c r="M25" s="145">
        <f>ROUND(+K25*L25,4)</f>
        <v>5.9799999999999999E-2</v>
      </c>
      <c r="N25" s="148">
        <f t="shared" ref="N25" si="15">ROUND(+M25/$M$56*100,1)</f>
        <v>11.5</v>
      </c>
      <c r="O25" s="151"/>
      <c r="P25" s="154"/>
    </row>
    <row r="26" spans="1:16" s="3" customFormat="1" ht="14.1" customHeight="1" x14ac:dyDescent="0.2">
      <c r="A26" s="12"/>
      <c r="B26" s="158"/>
      <c r="C26" s="152"/>
      <c r="D26" s="279"/>
      <c r="E26" s="152"/>
      <c r="F26" s="40" t="s">
        <v>66</v>
      </c>
      <c r="G26" s="161">
        <f t="shared" ref="G26" si="16">IF(E25&lt;0.12,0.6*E25,IF(E25&gt;=0.12,0.6*E25))</f>
        <v>4.9200000000000001E-2</v>
      </c>
      <c r="H26" s="161"/>
      <c r="I26" s="165">
        <v>0.67900000000000005</v>
      </c>
      <c r="J26" s="165"/>
      <c r="K26" s="143"/>
      <c r="L26" s="143"/>
      <c r="M26" s="146"/>
      <c r="N26" s="149"/>
      <c r="O26" s="152"/>
      <c r="P26" s="155"/>
    </row>
    <row r="27" spans="1:16" s="3" customFormat="1" ht="13.9" customHeight="1" thickBot="1" x14ac:dyDescent="0.25">
      <c r="A27" s="12"/>
      <c r="B27" s="159"/>
      <c r="C27" s="43">
        <f>C25+P8</f>
        <v>4</v>
      </c>
      <c r="D27" s="44">
        <v>7.0000000000000007E-2</v>
      </c>
      <c r="E27" s="168"/>
      <c r="F27" s="41" t="s">
        <v>67</v>
      </c>
      <c r="G27" s="166" t="str">
        <f t="shared" ref="G27" si="17">IF(E25&lt;0.12,"NA",IF(E25&gt;=0.12,0.8*E25))</f>
        <v>NA</v>
      </c>
      <c r="H27" s="166"/>
      <c r="I27" s="167"/>
      <c r="J27" s="167"/>
      <c r="K27" s="144"/>
      <c r="L27" s="144"/>
      <c r="M27" s="147"/>
      <c r="N27" s="150"/>
      <c r="O27" s="168"/>
      <c r="P27" s="172"/>
    </row>
    <row r="28" spans="1:16" s="3" customFormat="1" ht="14.1" customHeight="1" x14ac:dyDescent="0.2">
      <c r="A28" s="12"/>
      <c r="B28" s="157">
        <v>5</v>
      </c>
      <c r="C28" s="151">
        <f>C27</f>
        <v>4</v>
      </c>
      <c r="D28" s="182">
        <f>D27</f>
        <v>7.0000000000000007E-2</v>
      </c>
      <c r="E28" s="151">
        <v>0.06</v>
      </c>
      <c r="F28" s="39" t="s">
        <v>65</v>
      </c>
      <c r="G28" s="151" t="str">
        <f t="shared" ref="G28" si="18">IF(E28&lt;0.12,"NA",IF(E28&gt;=0.12,0.2*E28))</f>
        <v>NA</v>
      </c>
      <c r="H28" s="151"/>
      <c r="I28" s="164"/>
      <c r="J28" s="164"/>
      <c r="K28" s="142">
        <f t="shared" ref="K28" si="19">ROUND(+IF(E28&lt;0.12,(I29),(IF(E28&gt;=0.12,((I28+2*I29+I30)/4)))),3)</f>
        <v>0.92700000000000005</v>
      </c>
      <c r="L28" s="142">
        <f>ROUND(+(D28+D30)/2*(C30-C28),3)</f>
        <v>6.8000000000000005E-2</v>
      </c>
      <c r="M28" s="145">
        <f>ROUND(+K28*L28,4)</f>
        <v>6.3E-2</v>
      </c>
      <c r="N28" s="148">
        <f t="shared" ref="N28" si="20">ROUND(+M28/$M$56*100,1)</f>
        <v>12.1</v>
      </c>
      <c r="O28" s="151"/>
      <c r="P28" s="154"/>
    </row>
    <row r="29" spans="1:16" s="3" customFormat="1" ht="14.1" customHeight="1" x14ac:dyDescent="0.2">
      <c r="A29" s="12"/>
      <c r="B29" s="158"/>
      <c r="C29" s="152"/>
      <c r="D29" s="279"/>
      <c r="E29" s="152"/>
      <c r="F29" s="40" t="s">
        <v>66</v>
      </c>
      <c r="G29" s="161">
        <f t="shared" ref="G29" si="21">IF(E28&lt;0.12,0.6*E28,IF(E28&gt;=0.12,0.6*E28))</f>
        <v>3.5999999999999997E-2</v>
      </c>
      <c r="H29" s="161"/>
      <c r="I29" s="165">
        <v>0.92700000000000005</v>
      </c>
      <c r="J29" s="165"/>
      <c r="K29" s="143"/>
      <c r="L29" s="143"/>
      <c r="M29" s="146"/>
      <c r="N29" s="149"/>
      <c r="O29" s="152"/>
      <c r="P29" s="155"/>
    </row>
    <row r="30" spans="1:16" s="3" customFormat="1" ht="13.9" customHeight="1" thickBot="1" x14ac:dyDescent="0.25">
      <c r="A30" s="12"/>
      <c r="B30" s="159"/>
      <c r="C30" s="43">
        <f>C28+P8</f>
        <v>5</v>
      </c>
      <c r="D30" s="44">
        <v>6.5000000000000002E-2</v>
      </c>
      <c r="E30" s="168"/>
      <c r="F30" s="41" t="s">
        <v>67</v>
      </c>
      <c r="G30" s="166" t="str">
        <f t="shared" ref="G30" si="22">IF(E28&lt;0.12,"NA",IF(E28&gt;=0.12,0.8*E28))</f>
        <v>NA</v>
      </c>
      <c r="H30" s="166"/>
      <c r="I30" s="167"/>
      <c r="J30" s="167"/>
      <c r="K30" s="144"/>
      <c r="L30" s="144"/>
      <c r="M30" s="147"/>
      <c r="N30" s="150"/>
      <c r="O30" s="168"/>
      <c r="P30" s="172"/>
    </row>
    <row r="31" spans="1:16" s="3" customFormat="1" ht="14.1" customHeight="1" x14ac:dyDescent="0.2">
      <c r="A31" s="12"/>
      <c r="B31" s="157">
        <v>6</v>
      </c>
      <c r="C31" s="151">
        <f>C30</f>
        <v>5</v>
      </c>
      <c r="D31" s="182">
        <f>D30</f>
        <v>6.5000000000000002E-2</v>
      </c>
      <c r="E31" s="151">
        <v>9.1999999999999998E-2</v>
      </c>
      <c r="F31" s="39" t="s">
        <v>65</v>
      </c>
      <c r="G31" s="151" t="str">
        <f t="shared" ref="G31" si="23">IF(E31&lt;0.12,"NA",IF(E31&gt;=0.12,0.2*E31))</f>
        <v>NA</v>
      </c>
      <c r="H31" s="151"/>
      <c r="I31" s="164"/>
      <c r="J31" s="164"/>
      <c r="K31" s="142">
        <f t="shared" ref="K31" si="24">ROUND(+IF(E31&lt;0.12,(I32),(IF(E31&gt;=0.12,((I31+2*I32+I33)/4)))),3)</f>
        <v>0.751</v>
      </c>
      <c r="L31" s="142">
        <f>ROUND(+(D31+D33)/2*(C33-C31),3)</f>
        <v>7.9000000000000001E-2</v>
      </c>
      <c r="M31" s="145">
        <f>ROUND(+K31*L31,4)</f>
        <v>5.9299999999999999E-2</v>
      </c>
      <c r="N31" s="148">
        <f>ROUND(+M31/$M$56*100,1)</f>
        <v>11.4</v>
      </c>
      <c r="O31" s="151"/>
      <c r="P31" s="154"/>
    </row>
    <row r="32" spans="1:16" s="3" customFormat="1" ht="14.1" customHeight="1" x14ac:dyDescent="0.2">
      <c r="A32" s="12"/>
      <c r="B32" s="158"/>
      <c r="C32" s="152"/>
      <c r="D32" s="279"/>
      <c r="E32" s="152"/>
      <c r="F32" s="40" t="s">
        <v>66</v>
      </c>
      <c r="G32" s="161">
        <f t="shared" ref="G32" si="25">IF(E31&lt;0.12,0.6*E31,IF(E31&gt;=0.12,0.6*E31))</f>
        <v>5.5199999999999999E-2</v>
      </c>
      <c r="H32" s="161"/>
      <c r="I32" s="165">
        <v>0.751</v>
      </c>
      <c r="J32" s="165"/>
      <c r="K32" s="143"/>
      <c r="L32" s="143"/>
      <c r="M32" s="146"/>
      <c r="N32" s="149"/>
      <c r="O32" s="152"/>
      <c r="P32" s="155"/>
    </row>
    <row r="33" spans="1:18" s="3" customFormat="1" ht="13.9" customHeight="1" thickBot="1" x14ac:dyDescent="0.25">
      <c r="A33" s="12"/>
      <c r="B33" s="159"/>
      <c r="C33" s="43">
        <f>C31+P8</f>
        <v>6</v>
      </c>
      <c r="D33" s="44">
        <v>9.1999999999999998E-2</v>
      </c>
      <c r="E33" s="168"/>
      <c r="F33" s="41" t="s">
        <v>67</v>
      </c>
      <c r="G33" s="166" t="str">
        <f t="shared" ref="G33" si="26">IF(E31&lt;0.12,"NA",IF(E31&gt;=0.12,0.8*E31))</f>
        <v>NA</v>
      </c>
      <c r="H33" s="166"/>
      <c r="I33" s="167"/>
      <c r="J33" s="167"/>
      <c r="K33" s="144"/>
      <c r="L33" s="144"/>
      <c r="M33" s="147"/>
      <c r="N33" s="150"/>
      <c r="O33" s="168"/>
      <c r="P33" s="172"/>
    </row>
    <row r="34" spans="1:18" s="3" customFormat="1" ht="14.1" customHeight="1" x14ac:dyDescent="0.2">
      <c r="A34" s="12"/>
      <c r="B34" s="157">
        <v>7</v>
      </c>
      <c r="C34" s="151">
        <f>C33</f>
        <v>6</v>
      </c>
      <c r="D34" s="182">
        <f>D33</f>
        <v>9.1999999999999998E-2</v>
      </c>
      <c r="E34" s="151">
        <v>0.1</v>
      </c>
      <c r="F34" s="39" t="s">
        <v>65</v>
      </c>
      <c r="G34" s="151" t="str">
        <f t="shared" ref="G34" si="27">IF(E34&lt;0.12,"NA",IF(E34&gt;=0.12,0.2*E34))</f>
        <v>NA</v>
      </c>
      <c r="H34" s="151"/>
      <c r="I34" s="164"/>
      <c r="J34" s="164"/>
      <c r="K34" s="142">
        <f t="shared" ref="K34" si="28">ROUND(+IF(E34&lt;0.12,(I35),(IF(E34&gt;=0.12,((I34+2*I35+I36)/4)))),3)</f>
        <v>0.69299999999999995</v>
      </c>
      <c r="L34" s="142">
        <f>ROUND(+(D34+D36)/2*(C36-C34),3)</f>
        <v>9.0999999999999998E-2</v>
      </c>
      <c r="M34" s="145">
        <f>ROUND(+K34*L34,4)</f>
        <v>6.3100000000000003E-2</v>
      </c>
      <c r="N34" s="148">
        <f t="shared" ref="N34" si="29">ROUND(+M34/$M$56*100,1)</f>
        <v>12.1</v>
      </c>
      <c r="O34" s="151"/>
      <c r="P34" s="154"/>
    </row>
    <row r="35" spans="1:18" s="3" customFormat="1" ht="14.1" customHeight="1" x14ac:dyDescent="0.2">
      <c r="A35" s="12"/>
      <c r="B35" s="158"/>
      <c r="C35" s="152"/>
      <c r="D35" s="279"/>
      <c r="E35" s="152"/>
      <c r="F35" s="40" t="s">
        <v>66</v>
      </c>
      <c r="G35" s="161">
        <f t="shared" ref="G35" si="30">IF(E34&lt;0.12,0.6*E34,IF(E34&gt;=0.12,0.6*E34))</f>
        <v>0.06</v>
      </c>
      <c r="H35" s="161"/>
      <c r="I35" s="165">
        <v>0.69299999999999995</v>
      </c>
      <c r="J35" s="165"/>
      <c r="K35" s="143"/>
      <c r="L35" s="143"/>
      <c r="M35" s="146"/>
      <c r="N35" s="149"/>
      <c r="O35" s="152"/>
      <c r="P35" s="155"/>
    </row>
    <row r="36" spans="1:18" s="3" customFormat="1" ht="13.9" customHeight="1" thickBot="1" x14ac:dyDescent="0.25">
      <c r="A36" s="12"/>
      <c r="B36" s="159"/>
      <c r="C36" s="43">
        <f>C34+P8</f>
        <v>7</v>
      </c>
      <c r="D36" s="44">
        <v>0.09</v>
      </c>
      <c r="E36" s="168"/>
      <c r="F36" s="41" t="s">
        <v>67</v>
      </c>
      <c r="G36" s="166" t="str">
        <f t="shared" ref="G36" si="31">IF(E34&lt;0.12,"NA",IF(E34&gt;=0.12,0.8*E34))</f>
        <v>NA</v>
      </c>
      <c r="H36" s="166"/>
      <c r="I36" s="167"/>
      <c r="J36" s="167"/>
      <c r="K36" s="144"/>
      <c r="L36" s="144"/>
      <c r="M36" s="147"/>
      <c r="N36" s="150"/>
      <c r="O36" s="168"/>
      <c r="P36" s="172"/>
    </row>
    <row r="37" spans="1:18" s="3" customFormat="1" ht="14.1" customHeight="1" x14ac:dyDescent="0.2">
      <c r="A37" s="12"/>
      <c r="B37" s="157">
        <v>8</v>
      </c>
      <c r="C37" s="151">
        <f>C36</f>
        <v>7</v>
      </c>
      <c r="D37" s="182">
        <f>D36</f>
        <v>0.09</v>
      </c>
      <c r="E37" s="151">
        <v>0.10100000000000001</v>
      </c>
      <c r="F37" s="39" t="s">
        <v>65</v>
      </c>
      <c r="G37" s="151" t="str">
        <f t="shared" ref="G37" si="32">IF(E37&lt;0.12,"NA",IF(E37&gt;=0.12,0.2*E37))</f>
        <v>NA</v>
      </c>
      <c r="H37" s="151"/>
      <c r="I37" s="164"/>
      <c r="J37" s="164"/>
      <c r="K37" s="142">
        <f t="shared" ref="K37" si="33">ROUND(+IF(E37&lt;0.12,(I38),(IF(E37&gt;=0.12,((I37+2*I38+I39)/4)))),3)</f>
        <v>0.70399999999999996</v>
      </c>
      <c r="L37" s="142">
        <f>ROUND(+(D37+D39)/2*(C39-C37),3)</f>
        <v>0.10299999999999999</v>
      </c>
      <c r="M37" s="145">
        <f>ROUND(+K37*L37,4)</f>
        <v>7.2499999999999995E-2</v>
      </c>
      <c r="N37" s="148">
        <f t="shared" ref="N37" si="34">ROUND(+M37/$M$56*100,1)</f>
        <v>13.9</v>
      </c>
      <c r="O37" s="151"/>
      <c r="P37" s="154"/>
    </row>
    <row r="38" spans="1:18" s="3" customFormat="1" ht="14.1" customHeight="1" x14ac:dyDescent="0.2">
      <c r="A38" s="12"/>
      <c r="B38" s="158"/>
      <c r="C38" s="152"/>
      <c r="D38" s="279"/>
      <c r="E38" s="152"/>
      <c r="F38" s="40" t="s">
        <v>66</v>
      </c>
      <c r="G38" s="161">
        <f t="shared" ref="G38" si="35">IF(E37&lt;0.12,0.6*E37,IF(E37&gt;=0.12,0.6*E37))</f>
        <v>6.0600000000000001E-2</v>
      </c>
      <c r="H38" s="161"/>
      <c r="I38" s="165">
        <v>0.70399999999999996</v>
      </c>
      <c r="J38" s="165"/>
      <c r="K38" s="143"/>
      <c r="L38" s="143"/>
      <c r="M38" s="146"/>
      <c r="N38" s="149"/>
      <c r="O38" s="152"/>
      <c r="P38" s="155"/>
    </row>
    <row r="39" spans="1:18" s="3" customFormat="1" ht="13.9" customHeight="1" thickBot="1" x14ac:dyDescent="0.25">
      <c r="A39" s="12"/>
      <c r="B39" s="159"/>
      <c r="C39" s="43">
        <f>C37+P8</f>
        <v>8</v>
      </c>
      <c r="D39" s="44">
        <v>0.11600000000000001</v>
      </c>
      <c r="E39" s="168"/>
      <c r="F39" s="41" t="s">
        <v>67</v>
      </c>
      <c r="G39" s="166" t="str">
        <f t="shared" ref="G39" si="36">IF(E37&lt;0.12,"NA",IF(E37&gt;=0.12,0.8*E37))</f>
        <v>NA</v>
      </c>
      <c r="H39" s="166"/>
      <c r="I39" s="167"/>
      <c r="J39" s="167"/>
      <c r="K39" s="144"/>
      <c r="L39" s="144"/>
      <c r="M39" s="147"/>
      <c r="N39" s="150"/>
      <c r="O39" s="168"/>
      <c r="P39" s="172"/>
    </row>
    <row r="40" spans="1:18" s="3" customFormat="1" ht="14.1" customHeight="1" x14ac:dyDescent="0.2">
      <c r="A40" s="12"/>
      <c r="B40" s="157">
        <v>9</v>
      </c>
      <c r="C40" s="151">
        <v>8</v>
      </c>
      <c r="D40" s="182">
        <v>0.11600000000000001</v>
      </c>
      <c r="E40" s="151">
        <v>0.16</v>
      </c>
      <c r="F40" s="39" t="s">
        <v>65</v>
      </c>
      <c r="G40" s="164"/>
      <c r="H40" s="164"/>
      <c r="I40" s="164"/>
      <c r="J40" s="164"/>
      <c r="K40" s="151"/>
      <c r="L40" s="151"/>
      <c r="M40" s="169"/>
      <c r="N40" s="160"/>
      <c r="O40" s="151"/>
      <c r="P40" s="154"/>
    </row>
    <row r="41" spans="1:18" s="3" customFormat="1" ht="14.1" customHeight="1" x14ac:dyDescent="0.2">
      <c r="A41" s="12"/>
      <c r="B41" s="158"/>
      <c r="C41" s="152"/>
      <c r="D41" s="279"/>
      <c r="E41" s="152"/>
      <c r="F41" s="40" t="s">
        <v>66</v>
      </c>
      <c r="G41" s="173"/>
      <c r="H41" s="173"/>
      <c r="I41" s="165"/>
      <c r="J41" s="165"/>
      <c r="K41" s="152"/>
      <c r="L41" s="152"/>
      <c r="M41" s="170"/>
      <c r="N41" s="161"/>
      <c r="O41" s="152"/>
      <c r="P41" s="155"/>
    </row>
    <row r="42" spans="1:18" s="3" customFormat="1" ht="13.9" customHeight="1" thickBot="1" x14ac:dyDescent="0.25">
      <c r="A42" s="12"/>
      <c r="B42" s="159"/>
      <c r="C42" s="43">
        <v>9</v>
      </c>
      <c r="D42" s="44">
        <v>7.0000000000000007E-2</v>
      </c>
      <c r="E42" s="168"/>
      <c r="F42" s="41" t="s">
        <v>67</v>
      </c>
      <c r="G42" s="167"/>
      <c r="H42" s="167"/>
      <c r="I42" s="167"/>
      <c r="J42" s="167"/>
      <c r="K42" s="168"/>
      <c r="L42" s="168"/>
      <c r="M42" s="171"/>
      <c r="N42" s="166"/>
      <c r="O42" s="168"/>
      <c r="P42" s="172"/>
    </row>
    <row r="43" spans="1:18" s="3" customFormat="1" ht="14.1" customHeight="1" x14ac:dyDescent="0.2">
      <c r="A43" s="12"/>
      <c r="B43" s="157">
        <v>10</v>
      </c>
      <c r="C43" s="151">
        <v>9</v>
      </c>
      <c r="D43" s="182">
        <v>7.0000000000000007E-2</v>
      </c>
      <c r="E43" s="151">
        <v>0.04</v>
      </c>
      <c r="F43" s="39" t="s">
        <v>65</v>
      </c>
      <c r="G43" s="151" t="str">
        <f>IF(E43&lt;0.12,"NA",IF(E43&gt;=0.12,0.2*E43))</f>
        <v>NA</v>
      </c>
      <c r="H43" s="151"/>
      <c r="I43" s="164"/>
      <c r="J43" s="164"/>
      <c r="K43" s="142">
        <f t="shared" ref="K43" si="37">ROUND(+IF(E43&lt;0.12,(I44),(IF(E43&gt;=0.12,((I43+2*I44+I45)/4)))),3)</f>
        <v>0.38900000000000001</v>
      </c>
      <c r="L43" s="142">
        <f>ROUND(+(D43+D45)/2*(C45-C43),3)</f>
        <v>7.2999999999999995E-2</v>
      </c>
      <c r="M43" s="145">
        <f>ROUND(+K43*L43,4)</f>
        <v>2.8400000000000002E-2</v>
      </c>
      <c r="N43" s="148">
        <f t="shared" ref="N43" si="38">ROUND(+M43/$M$56*100,1)</f>
        <v>5.5</v>
      </c>
      <c r="O43" s="151"/>
      <c r="P43" s="154"/>
    </row>
    <row r="44" spans="1:18" s="3" customFormat="1" ht="14.1" customHeight="1" x14ac:dyDescent="0.2">
      <c r="A44" s="12"/>
      <c r="B44" s="158"/>
      <c r="C44" s="152"/>
      <c r="D44" s="279"/>
      <c r="E44" s="152"/>
      <c r="F44" s="40" t="s">
        <v>66</v>
      </c>
      <c r="G44" s="161">
        <f>IF(E43&lt;0.12,0.6*E43,IF(E43&gt;=0.12,0.6*E43))</f>
        <v>2.4E-2</v>
      </c>
      <c r="H44" s="161"/>
      <c r="I44" s="165">
        <v>0.38900000000000001</v>
      </c>
      <c r="J44" s="165"/>
      <c r="K44" s="143"/>
      <c r="L44" s="143"/>
      <c r="M44" s="146"/>
      <c r="N44" s="149"/>
      <c r="O44" s="152"/>
      <c r="P44" s="155"/>
    </row>
    <row r="45" spans="1:18" s="3" customFormat="1" ht="13.9" customHeight="1" thickBot="1" x14ac:dyDescent="0.25">
      <c r="A45" s="12"/>
      <c r="B45" s="159"/>
      <c r="C45" s="43">
        <v>10.220000000000001</v>
      </c>
      <c r="D45" s="44">
        <v>0.05</v>
      </c>
      <c r="E45" s="168"/>
      <c r="F45" s="41" t="s">
        <v>67</v>
      </c>
      <c r="G45" s="166" t="str">
        <f>IF(E43&lt;0.12,"NA",IF(E43&gt;=0.12,0.8*E43))</f>
        <v>NA</v>
      </c>
      <c r="H45" s="166"/>
      <c r="I45" s="167"/>
      <c r="J45" s="167"/>
      <c r="K45" s="144"/>
      <c r="L45" s="144"/>
      <c r="M45" s="147"/>
      <c r="N45" s="150"/>
      <c r="O45" s="168"/>
      <c r="P45" s="172"/>
    </row>
    <row r="46" spans="1:18" s="3" customFormat="1" ht="14.1" customHeight="1" x14ac:dyDescent="0.25">
      <c r="A46" s="12"/>
      <c r="B46" s="140">
        <v>9</v>
      </c>
      <c r="C46" s="140">
        <v>8</v>
      </c>
      <c r="D46" s="131">
        <v>0.11600000000000001</v>
      </c>
      <c r="E46" s="131">
        <v>0.16700000000000001</v>
      </c>
      <c r="F46" s="46" t="s">
        <v>31</v>
      </c>
      <c r="G46" s="141"/>
      <c r="H46" s="141"/>
      <c r="I46" s="128">
        <v>0.94599999999999995</v>
      </c>
      <c r="J46" s="128"/>
      <c r="K46" s="131">
        <f>ROUND(+AVERAGE(I46:J55),3)</f>
        <v>0.627</v>
      </c>
      <c r="L46" s="132">
        <f>ROUND(+(D46+D51)/2*(C51-C46),3)</f>
        <v>9.2999999999999999E-2</v>
      </c>
      <c r="M46" s="134">
        <f>ROUND(+K46*L46,4)</f>
        <v>5.8299999999999998E-2</v>
      </c>
      <c r="N46" s="132">
        <f>ROUND(+M46/$M$56*100,1)</f>
        <v>11.2</v>
      </c>
      <c r="O46" s="132"/>
      <c r="P46" s="137"/>
    </row>
    <row r="47" spans="1:18" s="3" customFormat="1" ht="14.1" customHeight="1" x14ac:dyDescent="0.25">
      <c r="A47" s="12"/>
      <c r="B47" s="129"/>
      <c r="C47" s="129"/>
      <c r="D47" s="130"/>
      <c r="E47" s="130"/>
      <c r="F47" s="47" t="s">
        <v>68</v>
      </c>
      <c r="G47" s="126">
        <f>+ROUND(0.1*$E$46,2)</f>
        <v>0.02</v>
      </c>
      <c r="H47" s="126"/>
      <c r="I47" s="127">
        <v>0.89900000000000002</v>
      </c>
      <c r="J47" s="127"/>
      <c r="K47" s="129"/>
      <c r="L47" s="129"/>
      <c r="M47" s="135"/>
      <c r="N47" s="129"/>
      <c r="O47" s="129"/>
      <c r="P47" s="138"/>
      <c r="R47" s="48"/>
    </row>
    <row r="48" spans="1:18" s="3" customFormat="1" ht="14.1" customHeight="1" x14ac:dyDescent="0.25">
      <c r="A48" s="12"/>
      <c r="B48" s="129"/>
      <c r="C48" s="129"/>
      <c r="D48" s="130"/>
      <c r="E48" s="130"/>
      <c r="F48" s="47" t="s">
        <v>65</v>
      </c>
      <c r="G48" s="126">
        <f>+ROUND(0.2*$E$46,2)</f>
        <v>0.03</v>
      </c>
      <c r="H48" s="126"/>
      <c r="I48" s="127">
        <v>0.73199999999999998</v>
      </c>
      <c r="J48" s="127"/>
      <c r="K48" s="129"/>
      <c r="L48" s="129"/>
      <c r="M48" s="135"/>
      <c r="N48" s="129"/>
      <c r="O48" s="129"/>
      <c r="P48" s="138"/>
      <c r="R48" s="48"/>
    </row>
    <row r="49" spans="1:18" s="3" customFormat="1" ht="14.1" customHeight="1" x14ac:dyDescent="0.25">
      <c r="A49" s="12"/>
      <c r="B49" s="129"/>
      <c r="C49" s="129"/>
      <c r="D49" s="130"/>
      <c r="E49" s="130"/>
      <c r="F49" s="47" t="s">
        <v>69</v>
      </c>
      <c r="G49" s="126">
        <f>+ROUND(0.3*$E$46,2)</f>
        <v>0.05</v>
      </c>
      <c r="H49" s="126"/>
      <c r="I49" s="127">
        <v>0.77400000000000002</v>
      </c>
      <c r="J49" s="127"/>
      <c r="K49" s="129"/>
      <c r="L49" s="129"/>
      <c r="M49" s="135"/>
      <c r="N49" s="129"/>
      <c r="O49" s="129"/>
      <c r="P49" s="138"/>
      <c r="R49" s="48"/>
    </row>
    <row r="50" spans="1:18" s="3" customFormat="1" ht="14.1" customHeight="1" x14ac:dyDescent="0.25">
      <c r="A50" s="12"/>
      <c r="B50" s="129"/>
      <c r="C50" s="129"/>
      <c r="D50" s="130"/>
      <c r="E50" s="130"/>
      <c r="F50" s="47" t="s">
        <v>70</v>
      </c>
      <c r="G50" s="126">
        <f>+ROUND(0.4*$E$46,2)</f>
        <v>7.0000000000000007E-2</v>
      </c>
      <c r="H50" s="126"/>
      <c r="I50" s="127">
        <v>0.72499999999999998</v>
      </c>
      <c r="J50" s="127"/>
      <c r="K50" s="129"/>
      <c r="L50" s="129"/>
      <c r="M50" s="135"/>
      <c r="N50" s="129"/>
      <c r="O50" s="129"/>
      <c r="P50" s="138"/>
      <c r="R50" s="48"/>
    </row>
    <row r="51" spans="1:18" s="3" customFormat="1" ht="14.1" customHeight="1" x14ac:dyDescent="0.25">
      <c r="A51" s="12"/>
      <c r="B51" s="129"/>
      <c r="C51" s="129">
        <v>9</v>
      </c>
      <c r="D51" s="130">
        <v>7.0000000000000007E-2</v>
      </c>
      <c r="E51" s="130"/>
      <c r="F51" s="47" t="s">
        <v>30</v>
      </c>
      <c r="G51" s="126">
        <f>+ROUND(0.5*$E$46,2)</f>
        <v>0.08</v>
      </c>
      <c r="H51" s="126"/>
      <c r="I51" s="127">
        <v>0.63200000000000001</v>
      </c>
      <c r="J51" s="127"/>
      <c r="K51" s="129"/>
      <c r="L51" s="129"/>
      <c r="M51" s="135"/>
      <c r="N51" s="129"/>
      <c r="O51" s="129"/>
      <c r="P51" s="138"/>
      <c r="R51" s="48"/>
    </row>
    <row r="52" spans="1:18" s="3" customFormat="1" ht="14.1" customHeight="1" x14ac:dyDescent="0.25">
      <c r="A52" s="12"/>
      <c r="B52" s="129"/>
      <c r="C52" s="129"/>
      <c r="D52" s="130"/>
      <c r="E52" s="130"/>
      <c r="F52" s="47" t="s">
        <v>66</v>
      </c>
      <c r="G52" s="126">
        <f>+ROUND(0.6*$E$46,2)</f>
        <v>0.1</v>
      </c>
      <c r="H52" s="126"/>
      <c r="I52" s="127">
        <v>0.60899999999999999</v>
      </c>
      <c r="J52" s="127"/>
      <c r="K52" s="129"/>
      <c r="L52" s="129"/>
      <c r="M52" s="135"/>
      <c r="N52" s="129"/>
      <c r="O52" s="129"/>
      <c r="P52" s="138"/>
      <c r="R52" s="48"/>
    </row>
    <row r="53" spans="1:18" s="3" customFormat="1" ht="14.1" customHeight="1" x14ac:dyDescent="0.25">
      <c r="A53" s="12"/>
      <c r="B53" s="129"/>
      <c r="C53" s="129"/>
      <c r="D53" s="130"/>
      <c r="E53" s="130"/>
      <c r="F53" s="47" t="s">
        <v>71</v>
      </c>
      <c r="G53" s="126">
        <f>+ROUND(0.7*$E$46,2)</f>
        <v>0.12</v>
      </c>
      <c r="H53" s="126"/>
      <c r="I53" s="127">
        <v>0.45400000000000001</v>
      </c>
      <c r="J53" s="127"/>
      <c r="K53" s="129"/>
      <c r="L53" s="129"/>
      <c r="M53" s="135"/>
      <c r="N53" s="129"/>
      <c r="O53" s="129"/>
      <c r="P53" s="138"/>
      <c r="R53" s="48"/>
    </row>
    <row r="54" spans="1:18" s="3" customFormat="1" ht="14.1" customHeight="1" x14ac:dyDescent="0.25">
      <c r="A54" s="12"/>
      <c r="B54" s="129"/>
      <c r="C54" s="129"/>
      <c r="D54" s="130"/>
      <c r="E54" s="130"/>
      <c r="F54" s="47" t="s">
        <v>67</v>
      </c>
      <c r="G54" s="126">
        <f>+ROUND(0.8*$E$46,2)</f>
        <v>0.13</v>
      </c>
      <c r="H54" s="126"/>
      <c r="I54" s="127">
        <v>0.34699999999999998</v>
      </c>
      <c r="J54" s="127"/>
      <c r="K54" s="129"/>
      <c r="L54" s="129"/>
      <c r="M54" s="135"/>
      <c r="N54" s="129"/>
      <c r="O54" s="129"/>
      <c r="P54" s="138"/>
      <c r="R54" s="48"/>
    </row>
    <row r="55" spans="1:18" s="3" customFormat="1" ht="15.75" thickBot="1" x14ac:dyDescent="0.3">
      <c r="A55" s="12"/>
      <c r="B55" s="129"/>
      <c r="C55" s="129"/>
      <c r="D55" s="130"/>
      <c r="E55" s="130"/>
      <c r="F55" s="49" t="s">
        <v>72</v>
      </c>
      <c r="G55" s="126">
        <f>+ROUND(0.9*$E$46,2)</f>
        <v>0.15</v>
      </c>
      <c r="H55" s="126"/>
      <c r="I55" s="128">
        <v>0.154</v>
      </c>
      <c r="J55" s="128"/>
      <c r="K55" s="129"/>
      <c r="L55" s="133"/>
      <c r="M55" s="136"/>
      <c r="N55" s="133"/>
      <c r="O55" s="133"/>
      <c r="P55" s="139"/>
      <c r="R55" s="48"/>
    </row>
    <row r="56" spans="1:18" s="3" customFormat="1" ht="12.75" customHeight="1" x14ac:dyDescent="0.2">
      <c r="A56" s="12"/>
      <c r="B56" s="112" t="s">
        <v>32</v>
      </c>
      <c r="C56" s="113"/>
      <c r="D56" s="113"/>
      <c r="E56" s="113"/>
      <c r="F56" s="113"/>
      <c r="G56" s="113"/>
      <c r="H56" s="113"/>
      <c r="I56" s="113"/>
      <c r="J56" s="113"/>
      <c r="K56" s="13">
        <f>ROUND(+M56/L56,3)</f>
        <v>0.58299999999999996</v>
      </c>
      <c r="L56" s="54">
        <f>SUM(L16:L55)</f>
        <v>0.8929999999999999</v>
      </c>
      <c r="M56" s="45">
        <f>SUM(M16:M55)</f>
        <v>0.52049999999999996</v>
      </c>
      <c r="N56" s="14">
        <f>ROUND(SUM(N16:N55),0)</f>
        <v>100</v>
      </c>
      <c r="O56" s="116" t="s">
        <v>33</v>
      </c>
      <c r="P56" s="118"/>
    </row>
    <row r="57" spans="1:18" s="3" customFormat="1" ht="15" customHeight="1" thickBot="1" x14ac:dyDescent="0.25">
      <c r="A57" s="12"/>
      <c r="B57" s="114"/>
      <c r="C57" s="115"/>
      <c r="D57" s="115"/>
      <c r="E57" s="115"/>
      <c r="F57" s="115"/>
      <c r="G57" s="115"/>
      <c r="H57" s="115"/>
      <c r="I57" s="115"/>
      <c r="J57" s="115"/>
      <c r="K57" s="15" t="s">
        <v>34</v>
      </c>
      <c r="L57" s="15" t="s">
        <v>50</v>
      </c>
      <c r="M57" s="15" t="s">
        <v>51</v>
      </c>
      <c r="N57" s="15" t="s">
        <v>35</v>
      </c>
      <c r="O57" s="117"/>
      <c r="P57" s="119"/>
    </row>
    <row r="58" spans="1:18" ht="57" customHeight="1" thickBot="1" x14ac:dyDescent="0.3">
      <c r="A58" s="50"/>
      <c r="B58" s="120" t="s">
        <v>29</v>
      </c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2"/>
    </row>
    <row r="59" spans="1:18" ht="15" customHeight="1" thickBot="1" x14ac:dyDescent="0.3">
      <c r="A59" s="5"/>
      <c r="B59" s="123" t="s">
        <v>73</v>
      </c>
      <c r="C59" s="124"/>
      <c r="D59" s="124"/>
      <c r="E59" s="124"/>
      <c r="F59" s="124"/>
      <c r="G59" s="124" t="s">
        <v>74</v>
      </c>
      <c r="H59" s="124"/>
      <c r="I59" s="124"/>
      <c r="J59" s="124"/>
      <c r="K59" s="124"/>
      <c r="L59" s="124"/>
      <c r="M59" s="124" t="s">
        <v>75</v>
      </c>
      <c r="N59" s="124"/>
      <c r="O59" s="124"/>
      <c r="P59" s="125"/>
    </row>
    <row r="60" spans="1:18" ht="15" customHeight="1" thickBot="1" x14ac:dyDescent="0.3">
      <c r="A60" s="5"/>
      <c r="B60" s="87"/>
      <c r="C60" s="88"/>
      <c r="D60" s="88"/>
      <c r="E60" s="88"/>
      <c r="F60" s="88"/>
      <c r="G60" s="88"/>
      <c r="H60" s="88"/>
      <c r="I60" s="89"/>
      <c r="J60" s="92" t="s">
        <v>53</v>
      </c>
      <c r="K60" s="93"/>
      <c r="L60" s="93"/>
      <c r="M60" s="93"/>
      <c r="N60" s="93"/>
      <c r="O60" s="93"/>
      <c r="P60" s="94"/>
    </row>
    <row r="61" spans="1:18" ht="18.600000000000001" customHeight="1" thickBot="1" x14ac:dyDescent="0.3">
      <c r="A61" s="6"/>
      <c r="B61" s="87"/>
      <c r="C61" s="88"/>
      <c r="D61" s="88"/>
      <c r="E61" s="88"/>
      <c r="F61" s="88"/>
      <c r="G61" s="88"/>
      <c r="H61" s="88"/>
      <c r="I61" s="89"/>
      <c r="J61" s="51" t="s">
        <v>76</v>
      </c>
      <c r="K61" s="95" t="s">
        <v>82</v>
      </c>
      <c r="L61" s="95"/>
      <c r="M61" s="95"/>
      <c r="N61" s="95"/>
      <c r="O61" s="95"/>
      <c r="P61" s="96"/>
    </row>
    <row r="62" spans="1:18" ht="60" customHeight="1" thickBot="1" x14ac:dyDescent="0.3">
      <c r="A62" s="10"/>
      <c r="B62" s="87"/>
      <c r="C62" s="88"/>
      <c r="D62" s="88"/>
      <c r="E62" s="88"/>
      <c r="F62" s="88"/>
      <c r="G62" s="88"/>
      <c r="H62" s="88"/>
      <c r="I62" s="89"/>
      <c r="J62" s="97" t="s">
        <v>98</v>
      </c>
      <c r="K62" s="98"/>
      <c r="L62" s="98"/>
      <c r="M62" s="98"/>
      <c r="N62" s="98"/>
      <c r="O62" s="98"/>
      <c r="P62" s="99"/>
    </row>
    <row r="63" spans="1:18" ht="15" customHeight="1" thickBot="1" x14ac:dyDescent="0.3">
      <c r="A63" s="5"/>
      <c r="B63" s="87"/>
      <c r="C63" s="88"/>
      <c r="D63" s="88"/>
      <c r="E63" s="88"/>
      <c r="F63" s="88"/>
      <c r="G63" s="88"/>
      <c r="H63" s="88"/>
      <c r="I63" s="89"/>
      <c r="J63" s="100" t="s">
        <v>36</v>
      </c>
      <c r="K63" s="101"/>
      <c r="L63" s="101"/>
      <c r="M63" s="101"/>
      <c r="N63" s="102"/>
      <c r="O63" s="103">
        <v>5.21</v>
      </c>
      <c r="P63" s="104"/>
    </row>
    <row r="64" spans="1:18" ht="15" customHeight="1" thickBot="1" x14ac:dyDescent="0.3">
      <c r="A64" s="5"/>
      <c r="B64" s="87"/>
      <c r="C64" s="88"/>
      <c r="D64" s="88"/>
      <c r="E64" s="88"/>
      <c r="F64" s="88"/>
      <c r="G64" s="88"/>
      <c r="H64" s="88"/>
      <c r="I64" s="88"/>
      <c r="J64" s="105" t="s">
        <v>52</v>
      </c>
      <c r="K64" s="106"/>
      <c r="L64" s="106"/>
      <c r="M64" s="106"/>
      <c r="N64" s="106"/>
      <c r="O64" s="107">
        <v>0.4279</v>
      </c>
      <c r="P64" s="108"/>
    </row>
    <row r="65" spans="1:16" ht="14.45" customHeight="1" thickBot="1" x14ac:dyDescent="0.3">
      <c r="A65" s="5"/>
      <c r="B65" s="90"/>
      <c r="C65" s="79"/>
      <c r="D65" s="79"/>
      <c r="E65" s="79"/>
      <c r="F65" s="79"/>
      <c r="G65" s="79"/>
      <c r="H65" s="79"/>
      <c r="I65" s="91"/>
      <c r="J65" s="109" t="s">
        <v>77</v>
      </c>
      <c r="K65" s="110"/>
      <c r="L65" s="110"/>
      <c r="M65" s="110"/>
      <c r="N65" s="110"/>
      <c r="O65" s="110"/>
      <c r="P65" s="111"/>
    </row>
    <row r="66" spans="1:16" ht="14.45" customHeight="1" thickBot="1" x14ac:dyDescent="0.3">
      <c r="A66" s="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</row>
    <row r="67" spans="1:16" ht="15.75" thickBot="1" x14ac:dyDescent="0.3">
      <c r="A67" s="80" t="s">
        <v>37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2"/>
    </row>
    <row r="68" spans="1:16" ht="141.6" customHeight="1" thickBot="1" x14ac:dyDescent="0.3">
      <c r="A68" s="4"/>
      <c r="B68" s="83"/>
      <c r="C68" s="84"/>
      <c r="D68" s="84"/>
      <c r="E68" s="84"/>
      <c r="F68" s="85"/>
      <c r="G68" s="83"/>
      <c r="H68" s="84"/>
      <c r="I68" s="84"/>
      <c r="J68" s="84"/>
      <c r="K68" s="84"/>
      <c r="L68" s="85"/>
      <c r="M68" s="83"/>
      <c r="N68" s="84"/>
      <c r="O68" s="84"/>
      <c r="P68" s="85"/>
    </row>
    <row r="69" spans="1:16" s="9" customFormat="1" ht="13.9" customHeight="1" thickBot="1" x14ac:dyDescent="0.3">
      <c r="A69" s="8" t="s">
        <v>78</v>
      </c>
      <c r="B69" s="86" t="s">
        <v>99</v>
      </c>
      <c r="C69" s="74"/>
      <c r="D69" s="74"/>
      <c r="E69" s="74"/>
      <c r="F69" s="75"/>
      <c r="G69" s="86" t="s">
        <v>80</v>
      </c>
      <c r="H69" s="74"/>
      <c r="I69" s="74"/>
      <c r="J69" s="74"/>
      <c r="K69" s="74"/>
      <c r="L69" s="75"/>
      <c r="M69" s="86" t="s">
        <v>94</v>
      </c>
      <c r="N69" s="74"/>
      <c r="O69" s="74"/>
      <c r="P69" s="75"/>
    </row>
    <row r="70" spans="1:16" ht="14.45" customHeight="1" x14ac:dyDescent="0.25">
      <c r="A70" s="7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</row>
    <row r="71" spans="1:16" ht="14.45" customHeight="1" thickBot="1" x14ac:dyDescent="0.3">
      <c r="A71" s="7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</row>
    <row r="72" spans="1:16" s="3" customFormat="1" ht="15.75" customHeight="1" thickBot="1" x14ac:dyDescent="0.25">
      <c r="A72" s="76" t="s">
        <v>38</v>
      </c>
      <c r="B72" s="77"/>
      <c r="C72" s="77"/>
      <c r="D72" s="77" t="s">
        <v>81</v>
      </c>
      <c r="E72" s="77"/>
      <c r="F72" s="77"/>
      <c r="G72" s="77"/>
      <c r="H72" s="77"/>
      <c r="I72" s="77"/>
      <c r="J72" s="77" t="s">
        <v>39</v>
      </c>
      <c r="K72" s="77"/>
      <c r="L72" s="77"/>
      <c r="M72" s="77"/>
      <c r="N72" s="77"/>
      <c r="O72" s="77"/>
      <c r="P72" s="78"/>
    </row>
  </sheetData>
  <mergeCells count="269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G49:H49"/>
    <mergeCell ref="I49:J49"/>
    <mergeCell ref="G50:H50"/>
    <mergeCell ref="I50:J50"/>
    <mergeCell ref="C51:C55"/>
    <mergeCell ref="D51:D55"/>
    <mergeCell ref="G51:H51"/>
    <mergeCell ref="I51:J51"/>
    <mergeCell ref="G52:H52"/>
    <mergeCell ref="I52:J52"/>
    <mergeCell ref="C46:C50"/>
    <mergeCell ref="D46:D50"/>
    <mergeCell ref="E46:E55"/>
    <mergeCell ref="G46:H46"/>
    <mergeCell ref="I46:J46"/>
    <mergeCell ref="G47:H47"/>
    <mergeCell ref="I47:J47"/>
    <mergeCell ref="G48:H48"/>
    <mergeCell ref="I48:J48"/>
    <mergeCell ref="B56:J57"/>
    <mergeCell ref="O56:O57"/>
    <mergeCell ref="P56:P57"/>
    <mergeCell ref="B58:P58"/>
    <mergeCell ref="B59:F59"/>
    <mergeCell ref="G59:L59"/>
    <mergeCell ref="M59:P59"/>
    <mergeCell ref="G53:H53"/>
    <mergeCell ref="I53:J53"/>
    <mergeCell ref="G54:H54"/>
    <mergeCell ref="I54:J54"/>
    <mergeCell ref="G55:H55"/>
    <mergeCell ref="I55:J55"/>
    <mergeCell ref="K46:K55"/>
    <mergeCell ref="L46:L55"/>
    <mergeCell ref="M46:M55"/>
    <mergeCell ref="N46:N55"/>
    <mergeCell ref="O46:O55"/>
    <mergeCell ref="P46:P55"/>
    <mergeCell ref="B46:B55"/>
    <mergeCell ref="B60:I65"/>
    <mergeCell ref="J60:P60"/>
    <mergeCell ref="K61:P61"/>
    <mergeCell ref="J62:P62"/>
    <mergeCell ref="J63:N63"/>
    <mergeCell ref="O63:P63"/>
    <mergeCell ref="J64:N64"/>
    <mergeCell ref="O64:P64"/>
    <mergeCell ref="J65:P65"/>
    <mergeCell ref="B70:P70"/>
    <mergeCell ref="B71:P71"/>
    <mergeCell ref="A72:C72"/>
    <mergeCell ref="D72:I72"/>
    <mergeCell ref="J72:K72"/>
    <mergeCell ref="L72:P72"/>
    <mergeCell ref="B66:P66"/>
    <mergeCell ref="A67:P67"/>
    <mergeCell ref="B68:F68"/>
    <mergeCell ref="G68:L68"/>
    <mergeCell ref="M68:P68"/>
    <mergeCell ref="B69:F69"/>
    <mergeCell ref="G69:L69"/>
    <mergeCell ref="M69:P69"/>
  </mergeCells>
  <printOptions horizontalCentered="1"/>
  <pageMargins left="0.35433070866141736" right="0.23622047244094491" top="0.74803149606299213" bottom="0.74803149606299213" header="0.19685039370078741" footer="0.31496062992125984"/>
  <pageSetup paperSize="5" scale="7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"/>
  <sheetViews>
    <sheetView view="pageBreakPreview" zoomScaleSheetLayoutView="100" zoomScalePageLayoutView="110" workbookViewId="0">
      <selection activeCell="H5" sqref="A5:XFD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1"/>
      <c r="B2" s="320"/>
      <c r="C2" s="321"/>
      <c r="D2" s="322"/>
      <c r="E2" s="269" t="s">
        <v>54</v>
      </c>
      <c r="F2" s="270"/>
      <c r="G2" s="270"/>
      <c r="H2" s="270"/>
      <c r="I2" s="270"/>
      <c r="J2" s="270"/>
      <c r="K2" s="270"/>
      <c r="L2" s="270"/>
      <c r="M2" s="270"/>
      <c r="N2" s="270"/>
      <c r="O2" s="323"/>
      <c r="P2" s="273"/>
    </row>
    <row r="3" spans="1:16" s="2" customFormat="1" ht="20.45" customHeight="1" thickBot="1" x14ac:dyDescent="0.3">
      <c r="A3" s="11"/>
      <c r="B3" s="324"/>
      <c r="C3" s="325"/>
      <c r="D3" s="326"/>
      <c r="E3" s="271"/>
      <c r="F3" s="272"/>
      <c r="G3" s="272"/>
      <c r="H3" s="272"/>
      <c r="I3" s="272"/>
      <c r="J3" s="272"/>
      <c r="K3" s="272"/>
      <c r="L3" s="272"/>
      <c r="M3" s="272"/>
      <c r="N3" s="272"/>
      <c r="O3" s="327"/>
      <c r="P3" s="274"/>
    </row>
    <row r="4" spans="1:16" s="2" customFormat="1" ht="4.9000000000000004" customHeight="1" thickBot="1" x14ac:dyDescent="0.3">
      <c r="A4" s="11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</row>
    <row r="5" spans="1:16" s="17" customFormat="1" ht="26.25" customHeight="1" thickBot="1" x14ac:dyDescent="0.25">
      <c r="A5" s="16"/>
      <c r="B5" s="61" t="s">
        <v>0</v>
      </c>
      <c r="C5" s="276">
        <v>42906</v>
      </c>
      <c r="D5" s="259"/>
      <c r="E5" s="253" t="s">
        <v>1</v>
      </c>
      <c r="F5" s="254"/>
      <c r="G5" s="319">
        <v>3</v>
      </c>
      <c r="H5" s="258" t="s">
        <v>2</v>
      </c>
      <c r="I5" s="254"/>
      <c r="J5" s="316" t="s">
        <v>105</v>
      </c>
      <c r="K5" s="317"/>
      <c r="L5" s="317"/>
      <c r="M5" s="317"/>
      <c r="N5" s="317"/>
      <c r="O5" s="317"/>
      <c r="P5" s="318"/>
    </row>
    <row r="6" spans="1:16" s="19" customFormat="1" ht="11.25" customHeight="1" thickBot="1" x14ac:dyDescent="0.3">
      <c r="A6" s="18"/>
      <c r="B6" s="253" t="s">
        <v>3</v>
      </c>
      <c r="C6" s="254"/>
      <c r="D6" s="255" t="s">
        <v>95</v>
      </c>
      <c r="E6" s="255"/>
      <c r="F6" s="255"/>
      <c r="G6" s="255"/>
      <c r="H6" s="255"/>
      <c r="I6" s="255"/>
      <c r="J6" s="256"/>
      <c r="K6" s="257" t="s">
        <v>4</v>
      </c>
      <c r="L6" s="258"/>
      <c r="M6" s="259" t="s">
        <v>96</v>
      </c>
      <c r="N6" s="260"/>
      <c r="O6" s="259" t="s">
        <v>100</v>
      </c>
      <c r="P6" s="261"/>
    </row>
    <row r="7" spans="1:16" s="19" customFormat="1" ht="14.1" customHeight="1" x14ac:dyDescent="0.25">
      <c r="A7" s="18"/>
      <c r="B7" s="262" t="s">
        <v>55</v>
      </c>
      <c r="C7" s="242"/>
      <c r="D7" s="242"/>
      <c r="E7" s="263"/>
      <c r="F7" s="264" t="s">
        <v>11</v>
      </c>
      <c r="G7" s="265"/>
      <c r="H7" s="266"/>
      <c r="I7" s="20">
        <v>0.51388888888888895</v>
      </c>
      <c r="J7" s="267" t="s">
        <v>83</v>
      </c>
      <c r="K7" s="268"/>
      <c r="L7" s="21">
        <v>0.92</v>
      </c>
      <c r="M7" s="262" t="s">
        <v>14</v>
      </c>
      <c r="N7" s="242"/>
      <c r="O7" s="242"/>
      <c r="P7" s="22">
        <v>10.220000000000001</v>
      </c>
    </row>
    <row r="8" spans="1:16" s="19" customFormat="1" ht="14.1" customHeight="1" thickBot="1" x14ac:dyDescent="0.3">
      <c r="A8" s="18"/>
      <c r="B8" s="231" t="s">
        <v>6</v>
      </c>
      <c r="C8" s="232"/>
      <c r="D8" s="232"/>
      <c r="E8" s="233"/>
      <c r="F8" s="23" t="s">
        <v>15</v>
      </c>
      <c r="G8" s="24"/>
      <c r="H8" s="25"/>
      <c r="I8" s="26">
        <v>0.53472222222222221</v>
      </c>
      <c r="J8" s="234" t="s">
        <v>84</v>
      </c>
      <c r="K8" s="235"/>
      <c r="L8" s="21">
        <v>0.92</v>
      </c>
      <c r="M8" s="236" t="s">
        <v>18</v>
      </c>
      <c r="N8" s="216"/>
      <c r="O8" s="216"/>
      <c r="P8" s="27">
        <v>1</v>
      </c>
    </row>
    <row r="9" spans="1:16" s="19" customFormat="1" ht="14.1" customHeight="1" x14ac:dyDescent="0.25">
      <c r="A9" s="28"/>
      <c r="B9" s="237" t="s">
        <v>7</v>
      </c>
      <c r="C9" s="238"/>
      <c r="D9" s="240" t="s">
        <v>8</v>
      </c>
      <c r="E9" s="242" t="s">
        <v>9</v>
      </c>
      <c r="F9" s="242"/>
      <c r="G9" s="242"/>
      <c r="H9" s="29"/>
      <c r="I9" s="243" t="s">
        <v>56</v>
      </c>
      <c r="J9" s="244"/>
      <c r="K9" s="247">
        <v>0</v>
      </c>
      <c r="L9" s="249" t="s">
        <v>13</v>
      </c>
      <c r="M9" s="250"/>
      <c r="N9" s="250"/>
      <c r="O9" s="251">
        <v>15</v>
      </c>
      <c r="P9" s="252"/>
    </row>
    <row r="10" spans="1:16" s="19" customFormat="1" ht="14.1" customHeight="1" thickBot="1" x14ac:dyDescent="0.3">
      <c r="A10" s="28"/>
      <c r="B10" s="117"/>
      <c r="C10" s="239"/>
      <c r="D10" s="241"/>
      <c r="E10" s="216" t="s">
        <v>10</v>
      </c>
      <c r="F10" s="216"/>
      <c r="G10" s="216"/>
      <c r="H10" s="30" t="s">
        <v>5</v>
      </c>
      <c r="I10" s="245"/>
      <c r="J10" s="246"/>
      <c r="K10" s="248"/>
      <c r="L10" s="217" t="s">
        <v>17</v>
      </c>
      <c r="M10" s="218"/>
      <c r="N10" s="218"/>
      <c r="O10" s="219">
        <v>0.52222222222222225</v>
      </c>
      <c r="P10" s="220"/>
    </row>
    <row r="11" spans="1:16" s="32" customFormat="1" ht="21.6" customHeight="1" x14ac:dyDescent="0.2">
      <c r="A11" s="12"/>
      <c r="B11" s="221" t="s">
        <v>19</v>
      </c>
      <c r="C11" s="224" t="s">
        <v>57</v>
      </c>
      <c r="D11" s="224"/>
      <c r="E11" s="224"/>
      <c r="F11" s="31"/>
      <c r="G11" s="225" t="s">
        <v>58</v>
      </c>
      <c r="H11" s="225"/>
      <c r="I11" s="225"/>
      <c r="J11" s="225"/>
      <c r="K11" s="225"/>
      <c r="L11" s="226"/>
      <c r="M11" s="225" t="s">
        <v>59</v>
      </c>
      <c r="N11" s="225"/>
      <c r="O11" s="225"/>
      <c r="P11" s="229"/>
    </row>
    <row r="12" spans="1:16" s="32" customFormat="1" ht="21.6" customHeight="1" x14ac:dyDescent="0.2">
      <c r="A12" s="12"/>
      <c r="B12" s="222"/>
      <c r="C12" s="230" t="s">
        <v>60</v>
      </c>
      <c r="D12" s="230"/>
      <c r="E12" s="230"/>
      <c r="F12" s="33"/>
      <c r="G12" s="194" t="s">
        <v>63</v>
      </c>
      <c r="H12" s="194"/>
      <c r="I12" s="194"/>
      <c r="J12" s="194"/>
      <c r="K12" s="194"/>
      <c r="L12" s="227"/>
      <c r="M12" s="194" t="s">
        <v>62</v>
      </c>
      <c r="N12" s="194"/>
      <c r="O12" s="194"/>
      <c r="P12" s="195"/>
    </row>
    <row r="13" spans="1:16" s="32" customFormat="1" ht="21.6" customHeight="1" thickBot="1" x14ac:dyDescent="0.25">
      <c r="A13" s="12"/>
      <c r="B13" s="223"/>
      <c r="C13" s="196"/>
      <c r="D13" s="197"/>
      <c r="E13" s="197"/>
      <c r="F13" s="197"/>
      <c r="G13" s="198" t="s">
        <v>61</v>
      </c>
      <c r="H13" s="198"/>
      <c r="I13" s="198"/>
      <c r="J13" s="198"/>
      <c r="K13" s="198"/>
      <c r="L13" s="228"/>
      <c r="M13" s="198" t="s">
        <v>64</v>
      </c>
      <c r="N13" s="198"/>
      <c r="O13" s="198"/>
      <c r="P13" s="199"/>
    </row>
    <row r="14" spans="1:16" ht="16.5" customHeight="1" x14ac:dyDescent="0.25">
      <c r="A14" s="5"/>
      <c r="B14" s="200" t="s">
        <v>20</v>
      </c>
      <c r="C14" s="202" t="s">
        <v>21</v>
      </c>
      <c r="D14" s="202" t="s">
        <v>42</v>
      </c>
      <c r="E14" s="204" t="s">
        <v>22</v>
      </c>
      <c r="F14" s="206" t="s">
        <v>43</v>
      </c>
      <c r="G14" s="207"/>
      <c r="H14" s="208"/>
      <c r="I14" s="212" t="s">
        <v>44</v>
      </c>
      <c r="J14" s="213"/>
      <c r="K14" s="34"/>
      <c r="L14" s="35" t="s">
        <v>45</v>
      </c>
      <c r="M14" s="35" t="s">
        <v>46</v>
      </c>
      <c r="N14" s="35" t="s">
        <v>46</v>
      </c>
      <c r="O14" s="35" t="s">
        <v>47</v>
      </c>
      <c r="P14" s="36" t="s">
        <v>23</v>
      </c>
    </row>
    <row r="15" spans="1:16" ht="14.1" customHeight="1" thickBot="1" x14ac:dyDescent="0.3">
      <c r="A15" s="5"/>
      <c r="B15" s="201"/>
      <c r="C15" s="203"/>
      <c r="D15" s="203"/>
      <c r="E15" s="205"/>
      <c r="F15" s="209"/>
      <c r="G15" s="210"/>
      <c r="H15" s="211"/>
      <c r="I15" s="214" t="s">
        <v>24</v>
      </c>
      <c r="J15" s="215"/>
      <c r="K15" s="37" t="s">
        <v>25</v>
      </c>
      <c r="L15" s="37" t="s">
        <v>48</v>
      </c>
      <c r="M15" s="37" t="s">
        <v>49</v>
      </c>
      <c r="N15" s="37" t="s">
        <v>26</v>
      </c>
      <c r="O15" s="37" t="s">
        <v>27</v>
      </c>
      <c r="P15" s="38" t="s">
        <v>28</v>
      </c>
    </row>
    <row r="16" spans="1:16" s="3" customFormat="1" ht="14.1" customHeight="1" x14ac:dyDescent="0.2">
      <c r="A16" s="12"/>
      <c r="B16" s="157">
        <v>1</v>
      </c>
      <c r="C16" s="151">
        <f>K9</f>
        <v>0</v>
      </c>
      <c r="D16" s="188">
        <v>0.08</v>
      </c>
      <c r="E16" s="151">
        <v>8.5000000000000006E-2</v>
      </c>
      <c r="F16" s="39" t="s">
        <v>65</v>
      </c>
      <c r="G16" s="151" t="str">
        <f t="shared" ref="G16" si="0">IF(E16&lt;0.12,"NA",IF(E16&gt;=0.12,0.2*E16))</f>
        <v>NA</v>
      </c>
      <c r="H16" s="151"/>
      <c r="I16" s="164"/>
      <c r="J16" s="164"/>
      <c r="K16" s="142">
        <f>ROUND(+IF(E16&lt;0.12,(I17),(IF(E16&gt;=0.12,((I16+2*I17+I18)/4)))),3)</f>
        <v>0.14899999999999999</v>
      </c>
      <c r="L16" s="142">
        <f>ROUND(+(D16+D18)/2*(C18-C16),3)</f>
        <v>8.4000000000000005E-2</v>
      </c>
      <c r="M16" s="145">
        <f>ROUND(+K16*L16,4)</f>
        <v>1.2500000000000001E-2</v>
      </c>
      <c r="N16" s="148">
        <f>ROUND(+M16/$M$56*100,1)</f>
        <v>4.2</v>
      </c>
      <c r="O16" s="151"/>
      <c r="P16" s="154"/>
    </row>
    <row r="17" spans="1:16" s="3" customFormat="1" ht="14.1" customHeight="1" x14ac:dyDescent="0.2">
      <c r="A17" s="12"/>
      <c r="B17" s="158"/>
      <c r="C17" s="152"/>
      <c r="D17" s="280"/>
      <c r="E17" s="152"/>
      <c r="F17" s="40" t="s">
        <v>66</v>
      </c>
      <c r="G17" s="161">
        <f t="shared" ref="G17" si="1">IF(E16&lt;0.12,0.6*E16,IF(E16&gt;=0.12,0.6*E16))</f>
        <v>5.1000000000000004E-2</v>
      </c>
      <c r="H17" s="161"/>
      <c r="I17" s="165">
        <v>0.14899999999999999</v>
      </c>
      <c r="J17" s="165"/>
      <c r="K17" s="143"/>
      <c r="L17" s="143"/>
      <c r="M17" s="146"/>
      <c r="N17" s="149"/>
      <c r="O17" s="152"/>
      <c r="P17" s="155"/>
    </row>
    <row r="18" spans="1:16" s="3" customFormat="1" ht="13.9" customHeight="1" thickBot="1" x14ac:dyDescent="0.25">
      <c r="A18" s="12"/>
      <c r="B18" s="159"/>
      <c r="C18" s="43">
        <f>C16+P8</f>
        <v>1</v>
      </c>
      <c r="D18" s="43">
        <v>8.6999999999999994E-2</v>
      </c>
      <c r="E18" s="168"/>
      <c r="F18" s="41" t="s">
        <v>67</v>
      </c>
      <c r="G18" s="166" t="str">
        <f t="shared" ref="G18" si="2">IF(E16&lt;0.12,"NA",IF(E16&gt;=0.12,0.8*E16))</f>
        <v>NA</v>
      </c>
      <c r="H18" s="166"/>
      <c r="I18" s="167"/>
      <c r="J18" s="167"/>
      <c r="K18" s="144"/>
      <c r="L18" s="144"/>
      <c r="M18" s="147"/>
      <c r="N18" s="150"/>
      <c r="O18" s="168"/>
      <c r="P18" s="172"/>
    </row>
    <row r="19" spans="1:16" s="3" customFormat="1" ht="14.1" customHeight="1" x14ac:dyDescent="0.2">
      <c r="A19" s="12"/>
      <c r="B19" s="157">
        <v>2</v>
      </c>
      <c r="C19" s="151">
        <f>C18</f>
        <v>1</v>
      </c>
      <c r="D19" s="188">
        <f>D18</f>
        <v>8.6999999999999994E-2</v>
      </c>
      <c r="E19" s="151">
        <v>7.6999999999999999E-2</v>
      </c>
      <c r="F19" s="39" t="s">
        <v>65</v>
      </c>
      <c r="G19" s="151" t="str">
        <f t="shared" ref="G19" si="3">IF(E19&lt;0.12,"NA",IF(E19&gt;=0.12,0.2*E19))</f>
        <v>NA</v>
      </c>
      <c r="H19" s="151"/>
      <c r="I19" s="164"/>
      <c r="J19" s="164"/>
      <c r="K19" s="142">
        <f t="shared" ref="K19" si="4">ROUND(+IF(E19&lt;0.12,(I20),(IF(E19&gt;=0.12,((I19+2*I20+I21)/4)))),3)</f>
        <v>0.34699999999999998</v>
      </c>
      <c r="L19" s="142">
        <f>ROUND(+(D19+D21)/2*(C21-C19),3)</f>
        <v>8.5000000000000006E-2</v>
      </c>
      <c r="M19" s="145">
        <f>ROUND(+K19*L19,4)</f>
        <v>2.9499999999999998E-2</v>
      </c>
      <c r="N19" s="148">
        <f t="shared" ref="N19" si="5">ROUND(+M19/$M$56*100,1)</f>
        <v>9.9</v>
      </c>
      <c r="O19" s="151"/>
      <c r="P19" s="154"/>
    </row>
    <row r="20" spans="1:16" s="3" customFormat="1" ht="14.1" customHeight="1" x14ac:dyDescent="0.2">
      <c r="A20" s="12"/>
      <c r="B20" s="158"/>
      <c r="C20" s="152"/>
      <c r="D20" s="280"/>
      <c r="E20" s="152"/>
      <c r="F20" s="40" t="s">
        <v>66</v>
      </c>
      <c r="G20" s="161">
        <f t="shared" ref="G20" si="6">IF(E19&lt;0.12,0.6*E19,IF(E19&gt;=0.12,0.6*E19))</f>
        <v>4.6199999999999998E-2</v>
      </c>
      <c r="H20" s="161"/>
      <c r="I20" s="165">
        <v>0.34699999999999998</v>
      </c>
      <c r="J20" s="165"/>
      <c r="K20" s="143"/>
      <c r="L20" s="143"/>
      <c r="M20" s="146"/>
      <c r="N20" s="149"/>
      <c r="O20" s="152"/>
      <c r="P20" s="155"/>
    </row>
    <row r="21" spans="1:16" s="3" customFormat="1" ht="13.9" customHeight="1" thickBot="1" x14ac:dyDescent="0.25">
      <c r="A21" s="12"/>
      <c r="B21" s="159"/>
      <c r="C21" s="43">
        <f>C19+P8</f>
        <v>2</v>
      </c>
      <c r="D21" s="44">
        <v>8.3000000000000004E-2</v>
      </c>
      <c r="E21" s="168"/>
      <c r="F21" s="41" t="s">
        <v>67</v>
      </c>
      <c r="G21" s="166" t="str">
        <f t="shared" ref="G21" si="7">IF(E19&lt;0.12,"NA",IF(E19&gt;=0.12,0.8*E19))</f>
        <v>NA</v>
      </c>
      <c r="H21" s="166"/>
      <c r="I21" s="167"/>
      <c r="J21" s="167"/>
      <c r="K21" s="144"/>
      <c r="L21" s="144"/>
      <c r="M21" s="147"/>
      <c r="N21" s="150"/>
      <c r="O21" s="168"/>
      <c r="P21" s="172"/>
    </row>
    <row r="22" spans="1:16" s="3" customFormat="1" ht="14.1" customHeight="1" x14ac:dyDescent="0.2">
      <c r="A22" s="12"/>
      <c r="B22" s="157">
        <v>3</v>
      </c>
      <c r="C22" s="151">
        <f>C21</f>
        <v>2</v>
      </c>
      <c r="D22" s="182">
        <f>D21</f>
        <v>8.3000000000000004E-2</v>
      </c>
      <c r="E22" s="151">
        <v>7.6999999999999999E-2</v>
      </c>
      <c r="F22" s="39" t="s">
        <v>65</v>
      </c>
      <c r="G22" s="151" t="str">
        <f t="shared" ref="G22" si="8">IF(E22&lt;0.12,"NA",IF(E22&gt;=0.12,0.2*E22))</f>
        <v>NA</v>
      </c>
      <c r="H22" s="151"/>
      <c r="I22" s="164"/>
      <c r="J22" s="164"/>
      <c r="K22" s="142">
        <f t="shared" ref="K22" si="9">ROUND(+IF(E22&lt;0.12,(I23),(IF(E22&gt;=0.12,((I22+2*I23+I24)/4)))),3)</f>
        <v>0.58699999999999997</v>
      </c>
      <c r="L22" s="142">
        <f>ROUND(+(D22+D24)/2*(C24-C22),3)</f>
        <v>8.3000000000000004E-2</v>
      </c>
      <c r="M22" s="145">
        <f>ROUND(+K22*L22,4)</f>
        <v>4.87E-2</v>
      </c>
      <c r="N22" s="148">
        <f t="shared" ref="N22" si="10">ROUND(+M22/$M$56*100,1)</f>
        <v>16.399999999999999</v>
      </c>
      <c r="O22" s="151"/>
      <c r="P22" s="154"/>
    </row>
    <row r="23" spans="1:16" s="3" customFormat="1" ht="14.1" customHeight="1" x14ac:dyDescent="0.2">
      <c r="A23" s="12"/>
      <c r="B23" s="158"/>
      <c r="C23" s="152"/>
      <c r="D23" s="279"/>
      <c r="E23" s="152"/>
      <c r="F23" s="40" t="s">
        <v>66</v>
      </c>
      <c r="G23" s="161">
        <f t="shared" ref="G23" si="11">IF(E22&lt;0.12,0.6*E22,IF(E22&gt;=0.12,0.6*E22))</f>
        <v>4.6199999999999998E-2</v>
      </c>
      <c r="H23" s="161"/>
      <c r="I23" s="165">
        <v>0.58699999999999997</v>
      </c>
      <c r="J23" s="165"/>
      <c r="K23" s="143"/>
      <c r="L23" s="143"/>
      <c r="M23" s="146"/>
      <c r="N23" s="149"/>
      <c r="O23" s="152"/>
      <c r="P23" s="155"/>
    </row>
    <row r="24" spans="1:16" s="3" customFormat="1" ht="13.9" customHeight="1" thickBot="1" x14ac:dyDescent="0.25">
      <c r="A24" s="12"/>
      <c r="B24" s="159"/>
      <c r="C24" s="43">
        <f>C22+P8</f>
        <v>3</v>
      </c>
      <c r="D24" s="44">
        <v>8.3000000000000004E-2</v>
      </c>
      <c r="E24" s="168"/>
      <c r="F24" s="41" t="s">
        <v>67</v>
      </c>
      <c r="G24" s="166" t="str">
        <f t="shared" ref="G24" si="12">IF(E22&lt;0.12,"NA",IF(E22&gt;=0.12,0.8*E22))</f>
        <v>NA</v>
      </c>
      <c r="H24" s="166"/>
      <c r="I24" s="167"/>
      <c r="J24" s="167"/>
      <c r="K24" s="144"/>
      <c r="L24" s="144"/>
      <c r="M24" s="147"/>
      <c r="N24" s="150"/>
      <c r="O24" s="168"/>
      <c r="P24" s="172"/>
    </row>
    <row r="25" spans="1:16" s="3" customFormat="1" ht="14.1" customHeight="1" x14ac:dyDescent="0.2">
      <c r="A25" s="12"/>
      <c r="B25" s="157">
        <v>4</v>
      </c>
      <c r="C25" s="151">
        <f>C24</f>
        <v>3</v>
      </c>
      <c r="D25" s="182">
        <f>D24</f>
        <v>8.3000000000000004E-2</v>
      </c>
      <c r="E25" s="151">
        <v>6.0999999999999999E-2</v>
      </c>
      <c r="F25" s="39" t="s">
        <v>65</v>
      </c>
      <c r="G25" s="151" t="str">
        <f t="shared" ref="G25" si="13">IF(E25&lt;0.12,"NA",IF(E25&gt;=0.12,0.2*E25))</f>
        <v>NA</v>
      </c>
      <c r="H25" s="151"/>
      <c r="I25" s="164"/>
      <c r="J25" s="164"/>
      <c r="K25" s="142">
        <f t="shared" ref="K25" si="14">ROUND(+IF(E25&lt;0.12,(I26),(IF(E25&gt;=0.12,((I25+2*I26+I27)/4)))),3)</f>
        <v>0.7</v>
      </c>
      <c r="L25" s="142">
        <f>ROUND(+(D25+D27)/2*(C27-C25),3)</f>
        <v>7.0000000000000007E-2</v>
      </c>
      <c r="M25" s="145">
        <f>ROUND(+K25*L25,4)</f>
        <v>4.9000000000000002E-2</v>
      </c>
      <c r="N25" s="148">
        <f t="shared" ref="N25" si="15">ROUND(+M25/$M$56*100,1)</f>
        <v>16.5</v>
      </c>
      <c r="O25" s="151"/>
      <c r="P25" s="154"/>
    </row>
    <row r="26" spans="1:16" s="3" customFormat="1" ht="14.1" customHeight="1" x14ac:dyDescent="0.2">
      <c r="A26" s="12"/>
      <c r="B26" s="158"/>
      <c r="C26" s="152"/>
      <c r="D26" s="279"/>
      <c r="E26" s="152"/>
      <c r="F26" s="40" t="s">
        <v>66</v>
      </c>
      <c r="G26" s="161">
        <f t="shared" ref="G26" si="16">IF(E25&lt;0.12,0.6*E25,IF(E25&gt;=0.12,0.6*E25))</f>
        <v>3.6600000000000001E-2</v>
      </c>
      <c r="H26" s="161"/>
      <c r="I26" s="165">
        <v>0.7</v>
      </c>
      <c r="J26" s="165"/>
      <c r="K26" s="143"/>
      <c r="L26" s="143"/>
      <c r="M26" s="146"/>
      <c r="N26" s="149"/>
      <c r="O26" s="152"/>
      <c r="P26" s="155"/>
    </row>
    <row r="27" spans="1:16" s="3" customFormat="1" ht="13.9" customHeight="1" thickBot="1" x14ac:dyDescent="0.25">
      <c r="A27" s="12"/>
      <c r="B27" s="159"/>
      <c r="C27" s="43">
        <f>C25+P8</f>
        <v>4</v>
      </c>
      <c r="D27" s="44">
        <v>5.7000000000000002E-2</v>
      </c>
      <c r="E27" s="168"/>
      <c r="F27" s="41" t="s">
        <v>67</v>
      </c>
      <c r="G27" s="166" t="str">
        <f t="shared" ref="G27" si="17">IF(E25&lt;0.12,"NA",IF(E25&gt;=0.12,0.8*E25))</f>
        <v>NA</v>
      </c>
      <c r="H27" s="166"/>
      <c r="I27" s="167"/>
      <c r="J27" s="167"/>
      <c r="K27" s="144"/>
      <c r="L27" s="144"/>
      <c r="M27" s="147"/>
      <c r="N27" s="150"/>
      <c r="O27" s="168"/>
      <c r="P27" s="172"/>
    </row>
    <row r="28" spans="1:16" s="3" customFormat="1" ht="14.1" customHeight="1" x14ac:dyDescent="0.2">
      <c r="A28" s="12"/>
      <c r="B28" s="157">
        <v>5</v>
      </c>
      <c r="C28" s="151">
        <f>C27</f>
        <v>4</v>
      </c>
      <c r="D28" s="182">
        <f>D27</f>
        <v>5.7000000000000002E-2</v>
      </c>
      <c r="E28" s="151">
        <v>5.3999999999999999E-2</v>
      </c>
      <c r="F28" s="39" t="s">
        <v>65</v>
      </c>
      <c r="G28" s="151" t="str">
        <f t="shared" ref="G28" si="18">IF(E28&lt;0.12,"NA",IF(E28&gt;=0.12,0.2*E28))</f>
        <v>NA</v>
      </c>
      <c r="H28" s="151"/>
      <c r="I28" s="164"/>
      <c r="J28" s="164"/>
      <c r="K28" s="142">
        <f t="shared" ref="K28" si="19">ROUND(+IF(E28&lt;0.12,(I29),(IF(E28&gt;=0.12,((I28+2*I29+I30)/4)))),3)</f>
        <v>0.44400000000000001</v>
      </c>
      <c r="L28" s="142">
        <f>ROUND(+(D28+D30)/2*(C30-C28),3)</f>
        <v>4.8000000000000001E-2</v>
      </c>
      <c r="M28" s="145">
        <f>ROUND(+K28*L28,4)</f>
        <v>2.1299999999999999E-2</v>
      </c>
      <c r="N28" s="148">
        <f t="shared" ref="N28" si="20">ROUND(+M28/$M$56*100,1)</f>
        <v>7.2</v>
      </c>
      <c r="O28" s="151"/>
      <c r="P28" s="154"/>
    </row>
    <row r="29" spans="1:16" s="3" customFormat="1" ht="14.1" customHeight="1" x14ac:dyDescent="0.2">
      <c r="A29" s="12"/>
      <c r="B29" s="158"/>
      <c r="C29" s="152"/>
      <c r="D29" s="279"/>
      <c r="E29" s="152"/>
      <c r="F29" s="40" t="s">
        <v>66</v>
      </c>
      <c r="G29" s="161">
        <f t="shared" ref="G29" si="21">IF(E28&lt;0.12,0.6*E28,IF(E28&gt;=0.12,0.6*E28))</f>
        <v>3.2399999999999998E-2</v>
      </c>
      <c r="H29" s="161"/>
      <c r="I29" s="165">
        <v>0.44440000000000002</v>
      </c>
      <c r="J29" s="165"/>
      <c r="K29" s="143"/>
      <c r="L29" s="143"/>
      <c r="M29" s="146"/>
      <c r="N29" s="149"/>
      <c r="O29" s="152"/>
      <c r="P29" s="155"/>
    </row>
    <row r="30" spans="1:16" s="3" customFormat="1" ht="13.9" customHeight="1" thickBot="1" x14ac:dyDescent="0.25">
      <c r="A30" s="12"/>
      <c r="B30" s="159"/>
      <c r="C30" s="43">
        <f>C28+P8</f>
        <v>5</v>
      </c>
      <c r="D30" s="44">
        <v>3.9E-2</v>
      </c>
      <c r="E30" s="168"/>
      <c r="F30" s="41" t="s">
        <v>67</v>
      </c>
      <c r="G30" s="166" t="str">
        <f t="shared" ref="G30" si="22">IF(E28&lt;0.12,"NA",IF(E28&gt;=0.12,0.8*E28))</f>
        <v>NA</v>
      </c>
      <c r="H30" s="166"/>
      <c r="I30" s="167"/>
      <c r="J30" s="167"/>
      <c r="K30" s="144"/>
      <c r="L30" s="144"/>
      <c r="M30" s="147"/>
      <c r="N30" s="150"/>
      <c r="O30" s="168"/>
      <c r="P30" s="172"/>
    </row>
    <row r="31" spans="1:16" s="3" customFormat="1" ht="14.1" customHeight="1" x14ac:dyDescent="0.2">
      <c r="A31" s="12"/>
      <c r="B31" s="157">
        <v>6</v>
      </c>
      <c r="C31" s="151">
        <f>C30</f>
        <v>5</v>
      </c>
      <c r="D31" s="182">
        <f>D30</f>
        <v>3.9E-2</v>
      </c>
      <c r="E31" s="151">
        <v>6.5000000000000002E-2</v>
      </c>
      <c r="F31" s="39" t="s">
        <v>65</v>
      </c>
      <c r="G31" s="151" t="str">
        <f t="shared" ref="G31" si="23">IF(E31&lt;0.12,"NA",IF(E31&gt;=0.12,0.2*E31))</f>
        <v>NA</v>
      </c>
      <c r="H31" s="151"/>
      <c r="I31" s="164"/>
      <c r="J31" s="164"/>
      <c r="K31" s="142">
        <f t="shared" ref="K31" si="24">ROUND(+IF(E31&lt;0.12,(I32),(IF(E31&gt;=0.12,((I31+2*I32+I33)/4)))),3)</f>
        <v>0.46500000000000002</v>
      </c>
      <c r="L31" s="142">
        <f>ROUND(+(D31+D33)/2*(C33-C31),3)</f>
        <v>5.0999999999999997E-2</v>
      </c>
      <c r="M31" s="145">
        <f>ROUND(+K31*L31,4)</f>
        <v>2.3699999999999999E-2</v>
      </c>
      <c r="N31" s="148">
        <f>ROUND(+M31/$M$56*100,1)</f>
        <v>8</v>
      </c>
      <c r="O31" s="151"/>
      <c r="P31" s="154"/>
    </row>
    <row r="32" spans="1:16" s="3" customFormat="1" ht="14.1" customHeight="1" x14ac:dyDescent="0.2">
      <c r="A32" s="12"/>
      <c r="B32" s="158"/>
      <c r="C32" s="152"/>
      <c r="D32" s="279"/>
      <c r="E32" s="152"/>
      <c r="F32" s="40" t="s">
        <v>66</v>
      </c>
      <c r="G32" s="161">
        <f t="shared" ref="G32" si="25">IF(E31&lt;0.12,0.6*E31,IF(E31&gt;=0.12,0.6*E31))</f>
        <v>3.9E-2</v>
      </c>
      <c r="H32" s="161"/>
      <c r="I32" s="165">
        <v>0.46500000000000002</v>
      </c>
      <c r="J32" s="165"/>
      <c r="K32" s="143"/>
      <c r="L32" s="143"/>
      <c r="M32" s="146"/>
      <c r="N32" s="149"/>
      <c r="O32" s="152"/>
      <c r="P32" s="155"/>
    </row>
    <row r="33" spans="1:16" s="3" customFormat="1" ht="13.9" customHeight="1" thickBot="1" x14ac:dyDescent="0.25">
      <c r="A33" s="12"/>
      <c r="B33" s="159"/>
      <c r="C33" s="43">
        <f>C31+P8</f>
        <v>6</v>
      </c>
      <c r="D33" s="44">
        <v>6.3E-2</v>
      </c>
      <c r="E33" s="168"/>
      <c r="F33" s="41" t="s">
        <v>67</v>
      </c>
      <c r="G33" s="166" t="str">
        <f t="shared" ref="G33" si="26">IF(E31&lt;0.12,"NA",IF(E31&gt;=0.12,0.8*E31))</f>
        <v>NA</v>
      </c>
      <c r="H33" s="166"/>
      <c r="I33" s="167"/>
      <c r="J33" s="167"/>
      <c r="K33" s="144"/>
      <c r="L33" s="144"/>
      <c r="M33" s="147"/>
      <c r="N33" s="150"/>
      <c r="O33" s="168"/>
      <c r="P33" s="172"/>
    </row>
    <row r="34" spans="1:16" s="3" customFormat="1" ht="14.1" customHeight="1" x14ac:dyDescent="0.2">
      <c r="A34" s="12"/>
      <c r="B34" s="157">
        <v>7</v>
      </c>
      <c r="C34" s="151">
        <f>C33</f>
        <v>6</v>
      </c>
      <c r="D34" s="182">
        <f>D33</f>
        <v>6.3E-2</v>
      </c>
      <c r="E34" s="151">
        <v>6.0999999999999999E-2</v>
      </c>
      <c r="F34" s="39" t="s">
        <v>65</v>
      </c>
      <c r="G34" s="151" t="str">
        <f t="shared" ref="G34" si="27">IF(E34&lt;0.12,"NA",IF(E34&gt;=0.12,0.2*E34))</f>
        <v>NA</v>
      </c>
      <c r="H34" s="151"/>
      <c r="I34" s="164"/>
      <c r="J34" s="164"/>
      <c r="K34" s="142">
        <f t="shared" ref="K34" si="28">ROUND(+IF(E34&lt;0.12,(I35),(IF(E34&gt;=0.12,((I34+2*I35+I36)/4)))),3)</f>
        <v>0.62</v>
      </c>
      <c r="L34" s="142">
        <f>ROUND(+(D34+D36)/2*(C36-C34),3)</f>
        <v>6.2E-2</v>
      </c>
      <c r="M34" s="145">
        <f>ROUND(+K34*L34,4)</f>
        <v>3.8399999999999997E-2</v>
      </c>
      <c r="N34" s="148">
        <f t="shared" ref="N34" si="29">ROUND(+M34/$M$56*100,1)</f>
        <v>13</v>
      </c>
      <c r="O34" s="151"/>
      <c r="P34" s="154"/>
    </row>
    <row r="35" spans="1:16" s="3" customFormat="1" ht="14.1" customHeight="1" x14ac:dyDescent="0.2">
      <c r="A35" s="12"/>
      <c r="B35" s="158"/>
      <c r="C35" s="152"/>
      <c r="D35" s="279"/>
      <c r="E35" s="152"/>
      <c r="F35" s="40" t="s">
        <v>66</v>
      </c>
      <c r="G35" s="161">
        <f t="shared" ref="G35" si="30">IF(E34&lt;0.12,0.6*E34,IF(E34&gt;=0.12,0.6*E34))</f>
        <v>3.6600000000000001E-2</v>
      </c>
      <c r="H35" s="161"/>
      <c r="I35" s="165">
        <v>0.62</v>
      </c>
      <c r="J35" s="165"/>
      <c r="K35" s="143"/>
      <c r="L35" s="143"/>
      <c r="M35" s="146"/>
      <c r="N35" s="149"/>
      <c r="O35" s="152"/>
      <c r="P35" s="155"/>
    </row>
    <row r="36" spans="1:16" s="3" customFormat="1" ht="13.9" customHeight="1" thickBot="1" x14ac:dyDescent="0.25">
      <c r="A36" s="12"/>
      <c r="B36" s="159"/>
      <c r="C36" s="43">
        <f>C34+P8</f>
        <v>7</v>
      </c>
      <c r="D36" s="44">
        <v>0.06</v>
      </c>
      <c r="E36" s="168"/>
      <c r="F36" s="41" t="s">
        <v>67</v>
      </c>
      <c r="G36" s="166" t="str">
        <f t="shared" ref="G36" si="31">IF(E34&lt;0.12,"NA",IF(E34&gt;=0.12,0.8*E34))</f>
        <v>NA</v>
      </c>
      <c r="H36" s="166"/>
      <c r="I36" s="167"/>
      <c r="J36" s="167"/>
      <c r="K36" s="144"/>
      <c r="L36" s="144"/>
      <c r="M36" s="147"/>
      <c r="N36" s="150"/>
      <c r="O36" s="168"/>
      <c r="P36" s="172"/>
    </row>
    <row r="37" spans="1:16" s="3" customFormat="1" ht="14.1" customHeight="1" x14ac:dyDescent="0.2">
      <c r="A37" s="12"/>
      <c r="B37" s="157">
        <v>8</v>
      </c>
      <c r="C37" s="151">
        <f>C36</f>
        <v>7</v>
      </c>
      <c r="D37" s="182">
        <f>D36</f>
        <v>0.06</v>
      </c>
      <c r="E37" s="151">
        <v>7.0000000000000007E-2</v>
      </c>
      <c r="F37" s="39" t="s">
        <v>65</v>
      </c>
      <c r="G37" s="151" t="str">
        <f t="shared" ref="G37" si="32">IF(E37&lt;0.12,"NA",IF(E37&gt;=0.12,0.2*E37))</f>
        <v>NA</v>
      </c>
      <c r="H37" s="151"/>
      <c r="I37" s="164"/>
      <c r="J37" s="164"/>
      <c r="K37" s="142">
        <f t="shared" ref="K37" si="33">ROUND(+IF(E37&lt;0.12,(I38),(IF(E37&gt;=0.12,((I37+2*I38+I39)/4)))),3)</f>
        <v>0.48</v>
      </c>
      <c r="L37" s="142">
        <f>ROUND(+(D37+D39)/2*(C39-C37),3)</f>
        <v>6.5000000000000002E-2</v>
      </c>
      <c r="M37" s="145">
        <f>ROUND(+K37*L37,4)</f>
        <v>3.1199999999999999E-2</v>
      </c>
      <c r="N37" s="148">
        <f t="shared" ref="N37" si="34">ROUND(+M37/$M$56*100,1)</f>
        <v>10.5</v>
      </c>
      <c r="O37" s="151"/>
      <c r="P37" s="154"/>
    </row>
    <row r="38" spans="1:16" s="3" customFormat="1" ht="14.1" customHeight="1" x14ac:dyDescent="0.2">
      <c r="A38" s="12"/>
      <c r="B38" s="158"/>
      <c r="C38" s="152"/>
      <c r="D38" s="279"/>
      <c r="E38" s="152"/>
      <c r="F38" s="40" t="s">
        <v>66</v>
      </c>
      <c r="G38" s="161">
        <f t="shared" ref="G38" si="35">IF(E37&lt;0.12,0.6*E37,IF(E37&gt;=0.12,0.6*E37))</f>
        <v>4.2000000000000003E-2</v>
      </c>
      <c r="H38" s="161"/>
      <c r="I38" s="165">
        <v>0.48</v>
      </c>
      <c r="J38" s="165"/>
      <c r="K38" s="143"/>
      <c r="L38" s="143"/>
      <c r="M38" s="146"/>
      <c r="N38" s="149"/>
      <c r="O38" s="152"/>
      <c r="P38" s="155"/>
    </row>
    <row r="39" spans="1:16" s="3" customFormat="1" ht="13.9" customHeight="1" thickBot="1" x14ac:dyDescent="0.25">
      <c r="A39" s="12"/>
      <c r="B39" s="159"/>
      <c r="C39" s="43">
        <f>C37+P8</f>
        <v>8</v>
      </c>
      <c r="D39" s="44">
        <v>6.9000000000000006E-2</v>
      </c>
      <c r="E39" s="168"/>
      <c r="F39" s="41" t="s">
        <v>67</v>
      </c>
      <c r="G39" s="166" t="str">
        <f t="shared" ref="G39" si="36">IF(E37&lt;0.12,"NA",IF(E37&gt;=0.12,0.8*E37))</f>
        <v>NA</v>
      </c>
      <c r="H39" s="166"/>
      <c r="I39" s="167"/>
      <c r="J39" s="167"/>
      <c r="K39" s="144"/>
      <c r="L39" s="144"/>
      <c r="M39" s="147"/>
      <c r="N39" s="150"/>
      <c r="O39" s="168"/>
      <c r="P39" s="172"/>
    </row>
    <row r="40" spans="1:16" s="3" customFormat="1" ht="14.1" customHeight="1" x14ac:dyDescent="0.2">
      <c r="A40" s="12"/>
      <c r="B40" s="157">
        <v>9</v>
      </c>
      <c r="C40" s="151">
        <v>8</v>
      </c>
      <c r="D40" s="182">
        <f>+D39</f>
        <v>6.9000000000000006E-2</v>
      </c>
      <c r="E40" s="151">
        <v>0.16</v>
      </c>
      <c r="F40" s="39" t="s">
        <v>65</v>
      </c>
      <c r="G40" s="164"/>
      <c r="H40" s="164"/>
      <c r="I40" s="164"/>
      <c r="J40" s="164"/>
      <c r="K40" s="151"/>
      <c r="L40" s="151"/>
      <c r="M40" s="169"/>
      <c r="N40" s="160"/>
      <c r="O40" s="151"/>
      <c r="P40" s="154"/>
    </row>
    <row r="41" spans="1:16" s="3" customFormat="1" ht="14.1" customHeight="1" x14ac:dyDescent="0.2">
      <c r="A41" s="12"/>
      <c r="B41" s="158"/>
      <c r="C41" s="152"/>
      <c r="D41" s="279"/>
      <c r="E41" s="152"/>
      <c r="F41" s="40" t="s">
        <v>66</v>
      </c>
      <c r="G41" s="173"/>
      <c r="H41" s="173"/>
      <c r="I41" s="165"/>
      <c r="J41" s="165"/>
      <c r="K41" s="152"/>
      <c r="L41" s="152"/>
      <c r="M41" s="170"/>
      <c r="N41" s="161"/>
      <c r="O41" s="152"/>
      <c r="P41" s="155"/>
    </row>
    <row r="42" spans="1:16" s="3" customFormat="1" ht="13.9" customHeight="1" thickBot="1" x14ac:dyDescent="0.25">
      <c r="A42" s="12"/>
      <c r="B42" s="159"/>
      <c r="C42" s="43">
        <v>9</v>
      </c>
      <c r="D42" s="44">
        <v>3.4000000000000002E-2</v>
      </c>
      <c r="E42" s="168"/>
      <c r="F42" s="41" t="s">
        <v>67</v>
      </c>
      <c r="G42" s="167"/>
      <c r="H42" s="167"/>
      <c r="I42" s="167"/>
      <c r="J42" s="167"/>
      <c r="K42" s="168"/>
      <c r="L42" s="168"/>
      <c r="M42" s="171"/>
      <c r="N42" s="166"/>
      <c r="O42" s="168"/>
      <c r="P42" s="172"/>
    </row>
    <row r="43" spans="1:16" s="3" customFormat="1" ht="14.1" customHeight="1" x14ac:dyDescent="0.2">
      <c r="A43" s="12"/>
      <c r="B43" s="157">
        <v>10</v>
      </c>
      <c r="C43" s="151">
        <v>9</v>
      </c>
      <c r="D43" s="182">
        <f>+D42</f>
        <v>3.4000000000000002E-2</v>
      </c>
      <c r="E43" s="151">
        <v>2.8000000000000001E-2</v>
      </c>
      <c r="F43" s="39" t="s">
        <v>65</v>
      </c>
      <c r="G43" s="151" t="str">
        <f>IF(E43&lt;0.12,"NA",IF(E43&gt;=0.12,0.2*E43))</f>
        <v>NA</v>
      </c>
      <c r="H43" s="151"/>
      <c r="I43" s="164"/>
      <c r="J43" s="164"/>
      <c r="K43" s="142">
        <f t="shared" ref="K43" si="37">ROUND(+IF(E43&lt;0.12,(I44),(IF(E43&gt;=0.12,((I43+2*I44+I45)/4)))),3)</f>
        <v>0.31</v>
      </c>
      <c r="L43" s="142">
        <f>ROUND(+(D43+D45)/2*(C45-C43),3)</f>
        <v>3.5999999999999997E-2</v>
      </c>
      <c r="M43" s="145">
        <f>ROUND(+K43*L43,4)</f>
        <v>1.12E-2</v>
      </c>
      <c r="N43" s="148">
        <f t="shared" ref="N43" si="38">ROUND(+M43/$M$56*100,1)</f>
        <v>3.8</v>
      </c>
      <c r="O43" s="151"/>
      <c r="P43" s="154"/>
    </row>
    <row r="44" spans="1:16" s="3" customFormat="1" ht="14.1" customHeight="1" x14ac:dyDescent="0.2">
      <c r="A44" s="12"/>
      <c r="B44" s="158"/>
      <c r="C44" s="152"/>
      <c r="D44" s="279"/>
      <c r="E44" s="152"/>
      <c r="F44" s="40" t="s">
        <v>66</v>
      </c>
      <c r="G44" s="161">
        <f>IF(E43&lt;0.12,0.6*E43,IF(E43&gt;=0.12,0.6*E43))</f>
        <v>1.6799999999999999E-2</v>
      </c>
      <c r="H44" s="161"/>
      <c r="I44" s="165">
        <v>0.31</v>
      </c>
      <c r="J44" s="165"/>
      <c r="K44" s="143"/>
      <c r="L44" s="143"/>
      <c r="M44" s="146"/>
      <c r="N44" s="149"/>
      <c r="O44" s="152"/>
      <c r="P44" s="155"/>
    </row>
    <row r="45" spans="1:16" s="3" customFormat="1" ht="13.9" customHeight="1" thickBot="1" x14ac:dyDescent="0.25">
      <c r="A45" s="12"/>
      <c r="B45" s="159"/>
      <c r="C45" s="43">
        <v>10.220000000000001</v>
      </c>
      <c r="D45" s="44">
        <v>2.5000000000000001E-2</v>
      </c>
      <c r="E45" s="168"/>
      <c r="F45" s="41" t="s">
        <v>67</v>
      </c>
      <c r="G45" s="166" t="str">
        <f>IF(E43&lt;0.12,"NA",IF(E43&gt;=0.12,0.8*E43))</f>
        <v>NA</v>
      </c>
      <c r="H45" s="166"/>
      <c r="I45" s="167"/>
      <c r="J45" s="167"/>
      <c r="K45" s="144"/>
      <c r="L45" s="144"/>
      <c r="M45" s="147"/>
      <c r="N45" s="150"/>
      <c r="O45" s="168"/>
      <c r="P45" s="172"/>
    </row>
    <row r="46" spans="1:16" s="3" customFormat="1" ht="14.1" customHeight="1" x14ac:dyDescent="0.2">
      <c r="A46" s="12"/>
      <c r="B46" s="140">
        <v>9</v>
      </c>
      <c r="C46" s="140">
        <v>8</v>
      </c>
      <c r="D46" s="131">
        <v>0.11600000000000001</v>
      </c>
      <c r="E46" s="283">
        <v>0.16</v>
      </c>
      <c r="F46" s="63" t="s">
        <v>31</v>
      </c>
      <c r="G46" s="141"/>
      <c r="H46" s="141"/>
      <c r="I46" s="285">
        <v>0.49299999999999999</v>
      </c>
      <c r="J46" s="285"/>
      <c r="K46" s="131">
        <f>ROUND(+AVERAGE(I46:J55),3)</f>
        <v>0.33300000000000002</v>
      </c>
      <c r="L46" s="140">
        <f>ROUND(+(D46+D51)/2*(C51-C46),3)</f>
        <v>9.2999999999999999E-2</v>
      </c>
      <c r="M46" s="282">
        <f>ROUND(+K46*L46,4)</f>
        <v>3.1E-2</v>
      </c>
      <c r="N46" s="140">
        <f>ROUND(+M46/$M$56*100,1)</f>
        <v>10.5</v>
      </c>
      <c r="O46" s="140"/>
      <c r="P46" s="140"/>
    </row>
    <row r="47" spans="1:16" s="3" customFormat="1" ht="14.1" customHeight="1" x14ac:dyDescent="0.2">
      <c r="A47" s="12"/>
      <c r="B47" s="129"/>
      <c r="C47" s="129"/>
      <c r="D47" s="130"/>
      <c r="E47" s="284"/>
      <c r="F47" s="47" t="s">
        <v>68</v>
      </c>
      <c r="G47" s="126">
        <f>+ROUND(0.1*$E$46,2)</f>
        <v>0.02</v>
      </c>
      <c r="H47" s="126"/>
      <c r="I47" s="126">
        <v>0.45700000000000002</v>
      </c>
      <c r="J47" s="126"/>
      <c r="K47" s="129"/>
      <c r="L47" s="129"/>
      <c r="M47" s="135"/>
      <c r="N47" s="129"/>
      <c r="O47" s="129"/>
      <c r="P47" s="129"/>
    </row>
    <row r="48" spans="1:16" s="3" customFormat="1" ht="14.1" customHeight="1" x14ac:dyDescent="0.2">
      <c r="A48" s="12"/>
      <c r="B48" s="129"/>
      <c r="C48" s="129"/>
      <c r="D48" s="130"/>
      <c r="E48" s="284"/>
      <c r="F48" s="47" t="s">
        <v>65</v>
      </c>
      <c r="G48" s="126">
        <f>+ROUND(0.2*$E$46,2)</f>
        <v>0.03</v>
      </c>
      <c r="H48" s="126"/>
      <c r="I48" s="126">
        <v>0.41</v>
      </c>
      <c r="J48" s="126"/>
      <c r="K48" s="129"/>
      <c r="L48" s="129"/>
      <c r="M48" s="135"/>
      <c r="N48" s="129"/>
      <c r="O48" s="129"/>
      <c r="P48" s="129"/>
    </row>
    <row r="49" spans="1:16" s="3" customFormat="1" ht="14.1" customHeight="1" x14ac:dyDescent="0.2">
      <c r="A49" s="12"/>
      <c r="B49" s="129"/>
      <c r="C49" s="129"/>
      <c r="D49" s="130"/>
      <c r="E49" s="284"/>
      <c r="F49" s="47" t="s">
        <v>69</v>
      </c>
      <c r="G49" s="126">
        <f>+ROUND(0.3*$E$46,2)</f>
        <v>0.05</v>
      </c>
      <c r="H49" s="126"/>
      <c r="I49" s="126">
        <v>0.4</v>
      </c>
      <c r="J49" s="126"/>
      <c r="K49" s="129"/>
      <c r="L49" s="129"/>
      <c r="M49" s="135"/>
      <c r="N49" s="129"/>
      <c r="O49" s="129"/>
      <c r="P49" s="129"/>
    </row>
    <row r="50" spans="1:16" s="3" customFormat="1" ht="14.1" customHeight="1" x14ac:dyDescent="0.2">
      <c r="A50" s="12"/>
      <c r="B50" s="129"/>
      <c r="C50" s="129"/>
      <c r="D50" s="130"/>
      <c r="E50" s="284"/>
      <c r="F50" s="47" t="s">
        <v>70</v>
      </c>
      <c r="G50" s="126">
        <f>+ROUND(0.4*$E$46,2)</f>
        <v>0.06</v>
      </c>
      <c r="H50" s="126"/>
      <c r="I50" s="126">
        <v>0.39</v>
      </c>
      <c r="J50" s="126"/>
      <c r="K50" s="129"/>
      <c r="L50" s="129"/>
      <c r="M50" s="135"/>
      <c r="N50" s="129"/>
      <c r="O50" s="129"/>
      <c r="P50" s="129"/>
    </row>
    <row r="51" spans="1:16" s="3" customFormat="1" ht="14.1" customHeight="1" x14ac:dyDescent="0.2">
      <c r="A51" s="12"/>
      <c r="B51" s="129"/>
      <c r="C51" s="129">
        <v>9</v>
      </c>
      <c r="D51" s="130">
        <v>7.0000000000000007E-2</v>
      </c>
      <c r="E51" s="284"/>
      <c r="F51" s="47" t="s">
        <v>30</v>
      </c>
      <c r="G51" s="126">
        <f>+ROUND(0.5*$E$46,2)</f>
        <v>0.08</v>
      </c>
      <c r="H51" s="126"/>
      <c r="I51" s="126">
        <v>0.28599999999999998</v>
      </c>
      <c r="J51" s="126"/>
      <c r="K51" s="129"/>
      <c r="L51" s="129"/>
      <c r="M51" s="135"/>
      <c r="N51" s="129"/>
      <c r="O51" s="129"/>
      <c r="P51" s="129"/>
    </row>
    <row r="52" spans="1:16" s="3" customFormat="1" ht="14.1" customHeight="1" x14ac:dyDescent="0.2">
      <c r="A52" s="12"/>
      <c r="B52" s="129"/>
      <c r="C52" s="129"/>
      <c r="D52" s="130"/>
      <c r="E52" s="284"/>
      <c r="F52" s="47" t="s">
        <v>66</v>
      </c>
      <c r="G52" s="126">
        <f>+ROUND(0.6*$E$46,2)</f>
        <v>0.1</v>
      </c>
      <c r="H52" s="126"/>
      <c r="I52" s="126">
        <v>0.23899999999999999</v>
      </c>
      <c r="J52" s="126"/>
      <c r="K52" s="129"/>
      <c r="L52" s="129"/>
      <c r="M52" s="135"/>
      <c r="N52" s="129"/>
      <c r="O52" s="129"/>
      <c r="P52" s="129"/>
    </row>
    <row r="53" spans="1:16" s="3" customFormat="1" ht="14.1" customHeight="1" x14ac:dyDescent="0.2">
      <c r="A53" s="12"/>
      <c r="B53" s="129"/>
      <c r="C53" s="129"/>
      <c r="D53" s="130"/>
      <c r="E53" s="284"/>
      <c r="F53" s="47" t="s">
        <v>71</v>
      </c>
      <c r="G53" s="126">
        <f>+ROUND(0.7*$E$46,2)</f>
        <v>0.11</v>
      </c>
      <c r="H53" s="126"/>
      <c r="I53" s="126">
        <v>0.23400000000000001</v>
      </c>
      <c r="J53" s="126"/>
      <c r="K53" s="129"/>
      <c r="L53" s="129"/>
      <c r="M53" s="135"/>
      <c r="N53" s="129"/>
      <c r="O53" s="129"/>
      <c r="P53" s="129"/>
    </row>
    <row r="54" spans="1:16" s="3" customFormat="1" ht="14.1" customHeight="1" x14ac:dyDescent="0.2">
      <c r="A54" s="12"/>
      <c r="B54" s="129"/>
      <c r="C54" s="129"/>
      <c r="D54" s="130"/>
      <c r="E54" s="284"/>
      <c r="F54" s="47" t="s">
        <v>67</v>
      </c>
      <c r="G54" s="126">
        <f>+ROUND(0.8*$E$46,2)</f>
        <v>0.13</v>
      </c>
      <c r="H54" s="126"/>
      <c r="I54" s="126">
        <v>0.22800000000000001</v>
      </c>
      <c r="J54" s="126"/>
      <c r="K54" s="129"/>
      <c r="L54" s="129"/>
      <c r="M54" s="135"/>
      <c r="N54" s="129"/>
      <c r="O54" s="129"/>
      <c r="P54" s="129"/>
    </row>
    <row r="55" spans="1:16" s="3" customFormat="1" ht="13.5" thickBot="1" x14ac:dyDescent="0.25">
      <c r="A55" s="12"/>
      <c r="B55" s="129"/>
      <c r="C55" s="129"/>
      <c r="D55" s="130"/>
      <c r="E55" s="284"/>
      <c r="F55" s="47" t="s">
        <v>72</v>
      </c>
      <c r="G55" s="126">
        <f>+ROUND(0.9*$E$46,2)</f>
        <v>0.14000000000000001</v>
      </c>
      <c r="H55" s="126"/>
      <c r="I55" s="281">
        <v>0.19500000000000001</v>
      </c>
      <c r="J55" s="281"/>
      <c r="K55" s="129"/>
      <c r="L55" s="129"/>
      <c r="M55" s="135"/>
      <c r="N55" s="129"/>
      <c r="O55" s="129"/>
      <c r="P55" s="129"/>
    </row>
    <row r="56" spans="1:16" s="3" customFormat="1" ht="12.75" customHeight="1" x14ac:dyDescent="0.2">
      <c r="A56" s="12"/>
      <c r="B56" s="112" t="s">
        <v>32</v>
      </c>
      <c r="C56" s="113"/>
      <c r="D56" s="113"/>
      <c r="E56" s="113"/>
      <c r="F56" s="113"/>
      <c r="G56" s="113"/>
      <c r="H56" s="113"/>
      <c r="I56" s="113"/>
      <c r="J56" s="113"/>
      <c r="K56" s="13">
        <f>ROUND(+M56/L56,3)</f>
        <v>0.438</v>
      </c>
      <c r="L56" s="54">
        <f>SUM(L16:L55)</f>
        <v>0.67700000000000005</v>
      </c>
      <c r="M56" s="45">
        <f>SUM(M16:M55)</f>
        <v>0.29649999999999999</v>
      </c>
      <c r="N56" s="14">
        <f>ROUND(SUM(N16:N55),0)</f>
        <v>100</v>
      </c>
      <c r="O56" s="116" t="s">
        <v>33</v>
      </c>
      <c r="P56" s="118"/>
    </row>
    <row r="57" spans="1:16" s="3" customFormat="1" ht="15" customHeight="1" thickBot="1" x14ac:dyDescent="0.25">
      <c r="A57" s="12"/>
      <c r="B57" s="114"/>
      <c r="C57" s="115"/>
      <c r="D57" s="115"/>
      <c r="E57" s="115"/>
      <c r="F57" s="115"/>
      <c r="G57" s="115"/>
      <c r="H57" s="115"/>
      <c r="I57" s="115"/>
      <c r="J57" s="115"/>
      <c r="K57" s="15" t="s">
        <v>34</v>
      </c>
      <c r="L57" s="15" t="s">
        <v>50</v>
      </c>
      <c r="M57" s="15" t="s">
        <v>51</v>
      </c>
      <c r="N57" s="15" t="s">
        <v>35</v>
      </c>
      <c r="O57" s="117"/>
      <c r="P57" s="119"/>
    </row>
    <row r="58" spans="1:16" ht="57" customHeight="1" thickBot="1" x14ac:dyDescent="0.3">
      <c r="A58" s="50"/>
      <c r="B58" s="120" t="s">
        <v>29</v>
      </c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2"/>
    </row>
    <row r="59" spans="1:16" ht="15" customHeight="1" thickBot="1" x14ac:dyDescent="0.3">
      <c r="A59" s="5"/>
      <c r="B59" s="123" t="s">
        <v>73</v>
      </c>
      <c r="C59" s="124"/>
      <c r="D59" s="124"/>
      <c r="E59" s="124"/>
      <c r="F59" s="124"/>
      <c r="G59" s="124" t="s">
        <v>74</v>
      </c>
      <c r="H59" s="124"/>
      <c r="I59" s="124"/>
      <c r="J59" s="124"/>
      <c r="K59" s="124"/>
      <c r="L59" s="124"/>
      <c r="M59" s="124" t="s">
        <v>75</v>
      </c>
      <c r="N59" s="124"/>
      <c r="O59" s="124"/>
      <c r="P59" s="125"/>
    </row>
    <row r="60" spans="1:16" ht="15" customHeight="1" thickBot="1" x14ac:dyDescent="0.3">
      <c r="A60" s="5"/>
      <c r="B60" s="87"/>
      <c r="C60" s="88"/>
      <c r="D60" s="88"/>
      <c r="E60" s="88"/>
      <c r="F60" s="88"/>
      <c r="G60" s="88"/>
      <c r="H60" s="88"/>
      <c r="I60" s="89"/>
      <c r="J60" s="92" t="s">
        <v>53</v>
      </c>
      <c r="K60" s="93"/>
      <c r="L60" s="93"/>
      <c r="M60" s="93"/>
      <c r="N60" s="93"/>
      <c r="O60" s="93"/>
      <c r="P60" s="94"/>
    </row>
    <row r="61" spans="1:16" ht="18.600000000000001" customHeight="1" thickBot="1" x14ac:dyDescent="0.3">
      <c r="A61" s="6"/>
      <c r="B61" s="87"/>
      <c r="C61" s="88"/>
      <c r="D61" s="88"/>
      <c r="E61" s="88"/>
      <c r="F61" s="88"/>
      <c r="G61" s="88"/>
      <c r="H61" s="88"/>
      <c r="I61" s="89"/>
      <c r="J61" s="51" t="s">
        <v>76</v>
      </c>
      <c r="K61" s="95" t="s">
        <v>82</v>
      </c>
      <c r="L61" s="95"/>
      <c r="M61" s="95"/>
      <c r="N61" s="95"/>
      <c r="O61" s="95"/>
      <c r="P61" s="96"/>
    </row>
    <row r="62" spans="1:16" ht="60" customHeight="1" thickBot="1" x14ac:dyDescent="0.3">
      <c r="A62" s="10"/>
      <c r="B62" s="87"/>
      <c r="C62" s="88"/>
      <c r="D62" s="88"/>
      <c r="E62" s="88"/>
      <c r="F62" s="88"/>
      <c r="G62" s="88"/>
      <c r="H62" s="88"/>
      <c r="I62" s="89"/>
      <c r="J62" s="97" t="s">
        <v>101</v>
      </c>
      <c r="K62" s="98"/>
      <c r="L62" s="98"/>
      <c r="M62" s="98"/>
      <c r="N62" s="98"/>
      <c r="O62" s="98"/>
      <c r="P62" s="99"/>
    </row>
    <row r="63" spans="1:16" ht="15" customHeight="1" thickBot="1" x14ac:dyDescent="0.3">
      <c r="A63" s="5"/>
      <c r="B63" s="87"/>
      <c r="C63" s="88"/>
      <c r="D63" s="88"/>
      <c r="E63" s="88"/>
      <c r="F63" s="88"/>
      <c r="G63" s="88"/>
      <c r="H63" s="88"/>
      <c r="I63" s="89"/>
      <c r="J63" s="100" t="s">
        <v>36</v>
      </c>
      <c r="K63" s="101"/>
      <c r="L63" s="101"/>
      <c r="M63" s="101"/>
      <c r="N63" s="102"/>
      <c r="O63" s="103">
        <v>5.45</v>
      </c>
      <c r="P63" s="104"/>
    </row>
    <row r="64" spans="1:16" ht="15" customHeight="1" thickBot="1" x14ac:dyDescent="0.3">
      <c r="A64" s="5"/>
      <c r="B64" s="87"/>
      <c r="C64" s="88"/>
      <c r="D64" s="88"/>
      <c r="E64" s="88"/>
      <c r="F64" s="88"/>
      <c r="G64" s="88"/>
      <c r="H64" s="88"/>
      <c r="I64" s="88"/>
      <c r="J64" s="105" t="s">
        <v>52</v>
      </c>
      <c r="K64" s="106"/>
      <c r="L64" s="106"/>
      <c r="M64" s="106"/>
      <c r="N64" s="106"/>
      <c r="O64" s="107">
        <v>0.35560000000000003</v>
      </c>
      <c r="P64" s="108"/>
    </row>
    <row r="65" spans="1:16" ht="14.45" customHeight="1" thickBot="1" x14ac:dyDescent="0.3">
      <c r="A65" s="5"/>
      <c r="B65" s="90"/>
      <c r="C65" s="79"/>
      <c r="D65" s="79"/>
      <c r="E65" s="79"/>
      <c r="F65" s="79"/>
      <c r="G65" s="79"/>
      <c r="H65" s="79"/>
      <c r="I65" s="91"/>
      <c r="J65" s="109" t="s">
        <v>77</v>
      </c>
      <c r="K65" s="110"/>
      <c r="L65" s="110"/>
      <c r="M65" s="110"/>
      <c r="N65" s="110"/>
      <c r="O65" s="110"/>
      <c r="P65" s="111"/>
    </row>
    <row r="66" spans="1:16" ht="14.45" customHeight="1" thickBot="1" x14ac:dyDescent="0.3">
      <c r="A66" s="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</row>
    <row r="67" spans="1:16" ht="15.75" thickBot="1" x14ac:dyDescent="0.3">
      <c r="A67" s="80" t="s">
        <v>37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2"/>
    </row>
    <row r="68" spans="1:16" ht="141.6" customHeight="1" thickBot="1" x14ac:dyDescent="0.3">
      <c r="A68" s="4"/>
      <c r="B68" s="83"/>
      <c r="C68" s="84"/>
      <c r="D68" s="84"/>
      <c r="E68" s="84"/>
      <c r="F68" s="85"/>
      <c r="G68" s="83"/>
      <c r="H68" s="84"/>
      <c r="I68" s="84"/>
      <c r="J68" s="84"/>
      <c r="K68" s="84"/>
      <c r="L68" s="85"/>
      <c r="M68" s="83"/>
      <c r="N68" s="84"/>
      <c r="O68" s="84"/>
      <c r="P68" s="85"/>
    </row>
    <row r="69" spans="1:16" s="9" customFormat="1" ht="13.9" customHeight="1" thickBot="1" x14ac:dyDescent="0.3">
      <c r="A69" s="8" t="s">
        <v>78</v>
      </c>
      <c r="B69" s="86" t="s">
        <v>99</v>
      </c>
      <c r="C69" s="74"/>
      <c r="D69" s="74"/>
      <c r="E69" s="74"/>
      <c r="F69" s="75"/>
      <c r="G69" s="86" t="s">
        <v>80</v>
      </c>
      <c r="H69" s="74"/>
      <c r="I69" s="74"/>
      <c r="J69" s="74"/>
      <c r="K69" s="74"/>
      <c r="L69" s="75"/>
      <c r="M69" s="86"/>
      <c r="N69" s="74"/>
      <c r="O69" s="74"/>
      <c r="P69" s="75"/>
    </row>
    <row r="70" spans="1:16" ht="14.45" customHeight="1" x14ac:dyDescent="0.25">
      <c r="A70" s="7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</row>
    <row r="71" spans="1:16" ht="14.45" customHeight="1" thickBot="1" x14ac:dyDescent="0.3">
      <c r="A71" s="7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</row>
    <row r="72" spans="1:16" s="3" customFormat="1" ht="15.75" customHeight="1" thickBot="1" x14ac:dyDescent="0.25">
      <c r="A72" s="76" t="s">
        <v>38</v>
      </c>
      <c r="B72" s="77"/>
      <c r="C72" s="77"/>
      <c r="D72" s="77" t="s">
        <v>81</v>
      </c>
      <c r="E72" s="77"/>
      <c r="F72" s="77"/>
      <c r="G72" s="77"/>
      <c r="H72" s="77"/>
      <c r="I72" s="77"/>
      <c r="J72" s="77" t="s">
        <v>39</v>
      </c>
      <c r="K72" s="77"/>
      <c r="L72" s="77"/>
      <c r="M72" s="77"/>
      <c r="N72" s="77"/>
      <c r="O72" s="77"/>
      <c r="P72" s="78"/>
    </row>
  </sheetData>
  <mergeCells count="269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G49:H49"/>
    <mergeCell ref="I49:J49"/>
    <mergeCell ref="G50:H50"/>
    <mergeCell ref="I50:J50"/>
    <mergeCell ref="C51:C55"/>
    <mergeCell ref="D51:D55"/>
    <mergeCell ref="G51:H51"/>
    <mergeCell ref="I51:J51"/>
    <mergeCell ref="G52:H52"/>
    <mergeCell ref="I52:J52"/>
    <mergeCell ref="C46:C50"/>
    <mergeCell ref="D46:D50"/>
    <mergeCell ref="E46:E55"/>
    <mergeCell ref="G46:H46"/>
    <mergeCell ref="I46:J46"/>
    <mergeCell ref="G47:H47"/>
    <mergeCell ref="I47:J47"/>
    <mergeCell ref="G48:H48"/>
    <mergeCell ref="I48:J48"/>
    <mergeCell ref="B56:J57"/>
    <mergeCell ref="O56:O57"/>
    <mergeCell ref="P56:P57"/>
    <mergeCell ref="B58:P58"/>
    <mergeCell ref="B59:F59"/>
    <mergeCell ref="G59:L59"/>
    <mergeCell ref="M59:P59"/>
    <mergeCell ref="G53:H53"/>
    <mergeCell ref="I53:J53"/>
    <mergeCell ref="G54:H54"/>
    <mergeCell ref="I54:J54"/>
    <mergeCell ref="G55:H55"/>
    <mergeCell ref="I55:J55"/>
    <mergeCell ref="K46:K55"/>
    <mergeCell ref="L46:L55"/>
    <mergeCell ref="M46:M55"/>
    <mergeCell ref="N46:N55"/>
    <mergeCell ref="O46:O55"/>
    <mergeCell ref="P46:P55"/>
    <mergeCell ref="B46:B55"/>
    <mergeCell ref="B60:I65"/>
    <mergeCell ref="J60:P60"/>
    <mergeCell ref="K61:P61"/>
    <mergeCell ref="J62:P62"/>
    <mergeCell ref="J63:N63"/>
    <mergeCell ref="O63:P63"/>
    <mergeCell ref="J64:N64"/>
    <mergeCell ref="O64:P64"/>
    <mergeCell ref="J65:P65"/>
    <mergeCell ref="B70:P70"/>
    <mergeCell ref="B71:P71"/>
    <mergeCell ref="A72:C72"/>
    <mergeCell ref="D72:I72"/>
    <mergeCell ref="J72:K72"/>
    <mergeCell ref="L72:P72"/>
    <mergeCell ref="B66:P66"/>
    <mergeCell ref="A67:P67"/>
    <mergeCell ref="B68:F68"/>
    <mergeCell ref="G68:L68"/>
    <mergeCell ref="M68:P68"/>
    <mergeCell ref="B69:F69"/>
    <mergeCell ref="G69:L69"/>
    <mergeCell ref="M69:P69"/>
  </mergeCells>
  <printOptions horizontalCentered="1"/>
  <pageMargins left="0.35433070866141736" right="0.23622047244094491" top="0.74803149606299213" bottom="0.74803149606299213" header="0.19685039370078741" footer="0.31496062992125984"/>
  <pageSetup paperSize="5" scale="7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"/>
  <sheetViews>
    <sheetView view="pageBreakPreview" topLeftCell="H1" zoomScale="110" zoomScaleSheetLayoutView="110" zoomScalePageLayoutView="110" workbookViewId="0">
      <selection activeCell="H5" sqref="A5:XFD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1"/>
      <c r="B2" s="320"/>
      <c r="C2" s="321"/>
      <c r="D2" s="322"/>
      <c r="E2" s="269" t="s">
        <v>54</v>
      </c>
      <c r="F2" s="270"/>
      <c r="G2" s="270"/>
      <c r="H2" s="270"/>
      <c r="I2" s="270"/>
      <c r="J2" s="270"/>
      <c r="K2" s="270"/>
      <c r="L2" s="270"/>
      <c r="M2" s="270"/>
      <c r="N2" s="270"/>
      <c r="O2" s="323"/>
      <c r="P2" s="273"/>
    </row>
    <row r="3" spans="1:16" s="2" customFormat="1" ht="20.45" customHeight="1" thickBot="1" x14ac:dyDescent="0.3">
      <c r="A3" s="11"/>
      <c r="B3" s="324"/>
      <c r="C3" s="325"/>
      <c r="D3" s="326"/>
      <c r="E3" s="271"/>
      <c r="F3" s="272"/>
      <c r="G3" s="272"/>
      <c r="H3" s="272"/>
      <c r="I3" s="272"/>
      <c r="J3" s="272"/>
      <c r="K3" s="272"/>
      <c r="L3" s="272"/>
      <c r="M3" s="272"/>
      <c r="N3" s="272"/>
      <c r="O3" s="327"/>
      <c r="P3" s="274"/>
    </row>
    <row r="4" spans="1:16" s="2" customFormat="1" ht="4.9000000000000004" customHeight="1" thickBot="1" x14ac:dyDescent="0.3">
      <c r="A4" s="11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</row>
    <row r="5" spans="1:16" s="17" customFormat="1" ht="26.25" customHeight="1" thickBot="1" x14ac:dyDescent="0.25">
      <c r="A5" s="16"/>
      <c r="B5" s="61" t="s">
        <v>0</v>
      </c>
      <c r="C5" s="276">
        <v>42920</v>
      </c>
      <c r="D5" s="259"/>
      <c r="E5" s="253" t="s">
        <v>1</v>
      </c>
      <c r="F5" s="254"/>
      <c r="G5" s="319">
        <v>4</v>
      </c>
      <c r="H5" s="258" t="s">
        <v>2</v>
      </c>
      <c r="I5" s="254"/>
      <c r="J5" s="316" t="s">
        <v>105</v>
      </c>
      <c r="K5" s="317"/>
      <c r="L5" s="317"/>
      <c r="M5" s="317"/>
      <c r="N5" s="317"/>
      <c r="O5" s="317"/>
      <c r="P5" s="318"/>
    </row>
    <row r="6" spans="1:16" s="19" customFormat="1" ht="11.25" customHeight="1" thickBot="1" x14ac:dyDescent="0.3">
      <c r="A6" s="18"/>
      <c r="B6" s="253" t="s">
        <v>3</v>
      </c>
      <c r="C6" s="254"/>
      <c r="D6" s="255" t="s">
        <v>95</v>
      </c>
      <c r="E6" s="255"/>
      <c r="F6" s="255"/>
      <c r="G6" s="255"/>
      <c r="H6" s="255"/>
      <c r="I6" s="255"/>
      <c r="J6" s="256"/>
      <c r="K6" s="257" t="s">
        <v>4</v>
      </c>
      <c r="L6" s="258"/>
      <c r="M6" s="259" t="s">
        <v>96</v>
      </c>
      <c r="N6" s="260"/>
      <c r="O6" s="259" t="s">
        <v>100</v>
      </c>
      <c r="P6" s="261"/>
    </row>
    <row r="7" spans="1:16" s="19" customFormat="1" ht="14.1" customHeight="1" x14ac:dyDescent="0.25">
      <c r="A7" s="18"/>
      <c r="B7" s="262" t="s">
        <v>55</v>
      </c>
      <c r="C7" s="242"/>
      <c r="D7" s="242"/>
      <c r="E7" s="263"/>
      <c r="F7" s="264" t="s">
        <v>11</v>
      </c>
      <c r="G7" s="265"/>
      <c r="H7" s="266"/>
      <c r="I7" s="20">
        <v>0.5395833333333333</v>
      </c>
      <c r="J7" s="267" t="s">
        <v>83</v>
      </c>
      <c r="K7" s="268"/>
      <c r="L7" s="21">
        <v>0.94</v>
      </c>
      <c r="M7" s="262" t="s">
        <v>14</v>
      </c>
      <c r="N7" s="242"/>
      <c r="O7" s="242"/>
      <c r="P7" s="22">
        <v>10.220000000000001</v>
      </c>
    </row>
    <row r="8" spans="1:16" s="19" customFormat="1" ht="14.1" customHeight="1" thickBot="1" x14ac:dyDescent="0.3">
      <c r="A8" s="18"/>
      <c r="B8" s="231" t="s">
        <v>6</v>
      </c>
      <c r="C8" s="232"/>
      <c r="D8" s="232"/>
      <c r="E8" s="233"/>
      <c r="F8" s="23" t="s">
        <v>15</v>
      </c>
      <c r="G8" s="24"/>
      <c r="H8" s="25"/>
      <c r="I8" s="26">
        <v>0.55902777777777779</v>
      </c>
      <c r="J8" s="234" t="s">
        <v>84</v>
      </c>
      <c r="K8" s="235"/>
      <c r="L8" s="21">
        <v>0.94</v>
      </c>
      <c r="M8" s="236" t="s">
        <v>18</v>
      </c>
      <c r="N8" s="216"/>
      <c r="O8" s="216"/>
      <c r="P8" s="27">
        <v>1</v>
      </c>
    </row>
    <row r="9" spans="1:16" s="19" customFormat="1" ht="14.1" customHeight="1" x14ac:dyDescent="0.25">
      <c r="A9" s="28"/>
      <c r="B9" s="237" t="s">
        <v>7</v>
      </c>
      <c r="C9" s="238"/>
      <c r="D9" s="240" t="s">
        <v>8</v>
      </c>
      <c r="E9" s="242" t="s">
        <v>9</v>
      </c>
      <c r="F9" s="242"/>
      <c r="G9" s="242"/>
      <c r="H9" s="29"/>
      <c r="I9" s="243" t="s">
        <v>56</v>
      </c>
      <c r="J9" s="244"/>
      <c r="K9" s="247">
        <v>0</v>
      </c>
      <c r="L9" s="249" t="s">
        <v>13</v>
      </c>
      <c r="M9" s="250"/>
      <c r="N9" s="250"/>
      <c r="O9" s="251">
        <v>15</v>
      </c>
      <c r="P9" s="252"/>
    </row>
    <row r="10" spans="1:16" s="19" customFormat="1" ht="14.1" customHeight="1" thickBot="1" x14ac:dyDescent="0.3">
      <c r="A10" s="28"/>
      <c r="B10" s="117"/>
      <c r="C10" s="239"/>
      <c r="D10" s="241"/>
      <c r="E10" s="216" t="s">
        <v>10</v>
      </c>
      <c r="F10" s="216"/>
      <c r="G10" s="216"/>
      <c r="H10" s="30" t="s">
        <v>5</v>
      </c>
      <c r="I10" s="245"/>
      <c r="J10" s="246"/>
      <c r="K10" s="248"/>
      <c r="L10" s="217" t="s">
        <v>17</v>
      </c>
      <c r="M10" s="218"/>
      <c r="N10" s="218"/>
      <c r="O10" s="219">
        <v>0.53819444444444442</v>
      </c>
      <c r="P10" s="220"/>
    </row>
    <row r="11" spans="1:16" s="32" customFormat="1" ht="21.6" customHeight="1" x14ac:dyDescent="0.2">
      <c r="A11" s="12"/>
      <c r="B11" s="221" t="s">
        <v>19</v>
      </c>
      <c r="C11" s="224" t="s">
        <v>57</v>
      </c>
      <c r="D11" s="224"/>
      <c r="E11" s="224"/>
      <c r="F11" s="31"/>
      <c r="G11" s="225" t="s">
        <v>58</v>
      </c>
      <c r="H11" s="225"/>
      <c r="I11" s="225"/>
      <c r="J11" s="225"/>
      <c r="K11" s="225"/>
      <c r="L11" s="226"/>
      <c r="M11" s="225" t="s">
        <v>59</v>
      </c>
      <c r="N11" s="225"/>
      <c r="O11" s="225"/>
      <c r="P11" s="229"/>
    </row>
    <row r="12" spans="1:16" s="32" customFormat="1" ht="21.6" customHeight="1" x14ac:dyDescent="0.2">
      <c r="A12" s="12"/>
      <c r="B12" s="222"/>
      <c r="C12" s="230" t="s">
        <v>60</v>
      </c>
      <c r="D12" s="230"/>
      <c r="E12" s="230"/>
      <c r="F12" s="33"/>
      <c r="G12" s="194" t="s">
        <v>63</v>
      </c>
      <c r="H12" s="194"/>
      <c r="I12" s="194"/>
      <c r="J12" s="194"/>
      <c r="K12" s="194"/>
      <c r="L12" s="227"/>
      <c r="M12" s="194" t="s">
        <v>62</v>
      </c>
      <c r="N12" s="194"/>
      <c r="O12" s="194"/>
      <c r="P12" s="195"/>
    </row>
    <row r="13" spans="1:16" s="32" customFormat="1" ht="21.6" customHeight="1" thickBot="1" x14ac:dyDescent="0.25">
      <c r="A13" s="12"/>
      <c r="B13" s="223"/>
      <c r="C13" s="196"/>
      <c r="D13" s="197"/>
      <c r="E13" s="197"/>
      <c r="F13" s="197"/>
      <c r="G13" s="198" t="s">
        <v>61</v>
      </c>
      <c r="H13" s="198"/>
      <c r="I13" s="198"/>
      <c r="J13" s="198"/>
      <c r="K13" s="198"/>
      <c r="L13" s="228"/>
      <c r="M13" s="198" t="s">
        <v>64</v>
      </c>
      <c r="N13" s="198"/>
      <c r="O13" s="198"/>
      <c r="P13" s="199"/>
    </row>
    <row r="14" spans="1:16" ht="16.5" customHeight="1" x14ac:dyDescent="0.25">
      <c r="A14" s="5"/>
      <c r="B14" s="200" t="s">
        <v>20</v>
      </c>
      <c r="C14" s="202" t="s">
        <v>21</v>
      </c>
      <c r="D14" s="202" t="s">
        <v>42</v>
      </c>
      <c r="E14" s="204" t="s">
        <v>22</v>
      </c>
      <c r="F14" s="206" t="s">
        <v>43</v>
      </c>
      <c r="G14" s="207"/>
      <c r="H14" s="208"/>
      <c r="I14" s="212" t="s">
        <v>44</v>
      </c>
      <c r="J14" s="213"/>
      <c r="K14" s="34"/>
      <c r="L14" s="35" t="s">
        <v>45</v>
      </c>
      <c r="M14" s="35" t="s">
        <v>46</v>
      </c>
      <c r="N14" s="35" t="s">
        <v>46</v>
      </c>
      <c r="O14" s="35" t="s">
        <v>47</v>
      </c>
      <c r="P14" s="36" t="s">
        <v>23</v>
      </c>
    </row>
    <row r="15" spans="1:16" ht="14.1" customHeight="1" thickBot="1" x14ac:dyDescent="0.3">
      <c r="A15" s="5"/>
      <c r="B15" s="201"/>
      <c r="C15" s="203"/>
      <c r="D15" s="203"/>
      <c r="E15" s="205"/>
      <c r="F15" s="209"/>
      <c r="G15" s="210"/>
      <c r="H15" s="211"/>
      <c r="I15" s="214" t="s">
        <v>24</v>
      </c>
      <c r="J15" s="215"/>
      <c r="K15" s="37" t="s">
        <v>25</v>
      </c>
      <c r="L15" s="37" t="s">
        <v>48</v>
      </c>
      <c r="M15" s="37" t="s">
        <v>49</v>
      </c>
      <c r="N15" s="37" t="s">
        <v>26</v>
      </c>
      <c r="O15" s="37" t="s">
        <v>27</v>
      </c>
      <c r="P15" s="38" t="s">
        <v>28</v>
      </c>
    </row>
    <row r="16" spans="1:16" s="3" customFormat="1" ht="14.1" customHeight="1" x14ac:dyDescent="0.2">
      <c r="A16" s="12"/>
      <c r="B16" s="157">
        <v>1</v>
      </c>
      <c r="C16" s="151">
        <f>K9</f>
        <v>0</v>
      </c>
      <c r="D16" s="188">
        <f>0.049+0.025</f>
        <v>7.400000000000001E-2</v>
      </c>
      <c r="E16" s="151">
        <f>0.025+0.053</f>
        <v>7.8E-2</v>
      </c>
      <c r="F16" s="39" t="s">
        <v>65</v>
      </c>
      <c r="G16" s="151" t="str">
        <f t="shared" ref="G16" si="0">IF(E16&lt;0.12,"NA",IF(E16&gt;=0.12,0.2*E16))</f>
        <v>NA</v>
      </c>
      <c r="H16" s="151"/>
      <c r="I16" s="164"/>
      <c r="J16" s="164"/>
      <c r="K16" s="142">
        <f>ROUND(+IF(E16&lt;0.12,(I17),(IF(E16&gt;=0.12,((I16+2*I17+I18)/4)))),3)</f>
        <v>8.7999999999999995E-2</v>
      </c>
      <c r="L16" s="142">
        <f>ROUND(+(D16+D18)/2*(C18-C16),3)</f>
        <v>7.5999999999999998E-2</v>
      </c>
      <c r="M16" s="145">
        <f>ROUND(+K16*L16,4)</f>
        <v>6.7000000000000002E-3</v>
      </c>
      <c r="N16" s="148">
        <f>ROUND(+M16/$M$56*100,1)</f>
        <v>3</v>
      </c>
      <c r="O16" s="151"/>
      <c r="P16" s="154"/>
    </row>
    <row r="17" spans="1:16" s="3" customFormat="1" ht="14.1" customHeight="1" x14ac:dyDescent="0.2">
      <c r="A17" s="12"/>
      <c r="B17" s="158"/>
      <c r="C17" s="152"/>
      <c r="D17" s="280"/>
      <c r="E17" s="152"/>
      <c r="F17" s="40" t="s">
        <v>66</v>
      </c>
      <c r="G17" s="161">
        <f t="shared" ref="G17" si="1">IF(E16&lt;0.12,0.6*E16,IF(E16&gt;=0.12,0.6*E16))</f>
        <v>4.6800000000000001E-2</v>
      </c>
      <c r="H17" s="161"/>
      <c r="I17" s="165">
        <v>8.7999999999999995E-2</v>
      </c>
      <c r="J17" s="165"/>
      <c r="K17" s="143"/>
      <c r="L17" s="143"/>
      <c r="M17" s="146"/>
      <c r="N17" s="149"/>
      <c r="O17" s="152"/>
      <c r="P17" s="155"/>
    </row>
    <row r="18" spans="1:16" s="3" customFormat="1" ht="13.9" customHeight="1" thickBot="1" x14ac:dyDescent="0.25">
      <c r="A18" s="12"/>
      <c r="B18" s="159"/>
      <c r="C18" s="43">
        <f>C16+P8</f>
        <v>1</v>
      </c>
      <c r="D18" s="43">
        <f>0.053+0.025</f>
        <v>7.8E-2</v>
      </c>
      <c r="E18" s="168"/>
      <c r="F18" s="41" t="s">
        <v>67</v>
      </c>
      <c r="G18" s="166" t="str">
        <f t="shared" ref="G18" si="2">IF(E16&lt;0.12,"NA",IF(E16&gt;=0.12,0.8*E16))</f>
        <v>NA</v>
      </c>
      <c r="H18" s="166"/>
      <c r="I18" s="167"/>
      <c r="J18" s="167"/>
      <c r="K18" s="144"/>
      <c r="L18" s="144"/>
      <c r="M18" s="147"/>
      <c r="N18" s="150"/>
      <c r="O18" s="168"/>
      <c r="P18" s="172"/>
    </row>
    <row r="19" spans="1:16" s="3" customFormat="1" ht="14.1" customHeight="1" x14ac:dyDescent="0.2">
      <c r="A19" s="12"/>
      <c r="B19" s="157">
        <v>2</v>
      </c>
      <c r="C19" s="151">
        <f>C18</f>
        <v>1</v>
      </c>
      <c r="D19" s="188">
        <f>D18</f>
        <v>7.8E-2</v>
      </c>
      <c r="E19" s="151">
        <f>0.025+0.046</f>
        <v>7.1000000000000008E-2</v>
      </c>
      <c r="F19" s="39" t="s">
        <v>65</v>
      </c>
      <c r="G19" s="151" t="str">
        <f t="shared" ref="G19" si="3">IF(E19&lt;0.12,"NA",IF(E19&gt;=0.12,0.2*E19))</f>
        <v>NA</v>
      </c>
      <c r="H19" s="151"/>
      <c r="I19" s="164"/>
      <c r="J19" s="164"/>
      <c r="K19" s="142">
        <f t="shared" ref="K19" si="4">ROUND(+IF(E19&lt;0.12,(I20),(IF(E19&gt;=0.12,((I19+2*I20+I21)/4)))),3)</f>
        <v>0.28699999999999998</v>
      </c>
      <c r="L19" s="142">
        <f>ROUND(+(D19+D21)/2*(C21-C19),3)</f>
        <v>7.3999999999999996E-2</v>
      </c>
      <c r="M19" s="145">
        <f>ROUND(+K19*L19,4)</f>
        <v>2.12E-2</v>
      </c>
      <c r="N19" s="148">
        <f t="shared" ref="N19" si="5">ROUND(+M19/$M$56*100,1)</f>
        <v>9.4</v>
      </c>
      <c r="O19" s="151"/>
      <c r="P19" s="154"/>
    </row>
    <row r="20" spans="1:16" s="3" customFormat="1" ht="14.1" customHeight="1" x14ac:dyDescent="0.2">
      <c r="A20" s="12"/>
      <c r="B20" s="158"/>
      <c r="C20" s="152"/>
      <c r="D20" s="280"/>
      <c r="E20" s="152"/>
      <c r="F20" s="40" t="s">
        <v>66</v>
      </c>
      <c r="G20" s="161">
        <f t="shared" ref="G20" si="6">IF(E19&lt;0.12,0.6*E19,IF(E19&gt;=0.12,0.6*E19))</f>
        <v>4.2600000000000006E-2</v>
      </c>
      <c r="H20" s="161"/>
      <c r="I20" s="165">
        <v>0.28699999999999998</v>
      </c>
      <c r="J20" s="165"/>
      <c r="K20" s="143"/>
      <c r="L20" s="143"/>
      <c r="M20" s="146"/>
      <c r="N20" s="149"/>
      <c r="O20" s="152"/>
      <c r="P20" s="155"/>
    </row>
    <row r="21" spans="1:16" s="3" customFormat="1" ht="13.9" customHeight="1" thickBot="1" x14ac:dyDescent="0.25">
      <c r="A21" s="12"/>
      <c r="B21" s="159"/>
      <c r="C21" s="43">
        <f>C19+P8</f>
        <v>2</v>
      </c>
      <c r="D21" s="44">
        <f>0.025+0.044</f>
        <v>6.9000000000000006E-2</v>
      </c>
      <c r="E21" s="168"/>
      <c r="F21" s="41" t="s">
        <v>67</v>
      </c>
      <c r="G21" s="166" t="str">
        <f t="shared" ref="G21" si="7">IF(E19&lt;0.12,"NA",IF(E19&gt;=0.12,0.8*E19))</f>
        <v>NA</v>
      </c>
      <c r="H21" s="166"/>
      <c r="I21" s="167"/>
      <c r="J21" s="167"/>
      <c r="K21" s="144"/>
      <c r="L21" s="144"/>
      <c r="M21" s="147"/>
      <c r="N21" s="150"/>
      <c r="O21" s="168"/>
      <c r="P21" s="172"/>
    </row>
    <row r="22" spans="1:16" s="3" customFormat="1" ht="14.1" customHeight="1" x14ac:dyDescent="0.2">
      <c r="A22" s="12"/>
      <c r="B22" s="157">
        <v>3</v>
      </c>
      <c r="C22" s="151">
        <f>C21</f>
        <v>2</v>
      </c>
      <c r="D22" s="182">
        <f>D21</f>
        <v>6.9000000000000006E-2</v>
      </c>
      <c r="E22" s="151">
        <f>0.025+0.055</f>
        <v>0.08</v>
      </c>
      <c r="F22" s="39" t="s">
        <v>65</v>
      </c>
      <c r="G22" s="151" t="str">
        <f t="shared" ref="G22" si="8">IF(E22&lt;0.12,"NA",IF(E22&gt;=0.12,0.2*E22))</f>
        <v>NA</v>
      </c>
      <c r="H22" s="151"/>
      <c r="I22" s="164"/>
      <c r="J22" s="164"/>
      <c r="K22" s="142">
        <f t="shared" ref="K22" si="9">ROUND(+IF(E22&lt;0.12,(I23),(IF(E22&gt;=0.12,((I22+2*I23+I24)/4)))),3)</f>
        <v>0.48299999999999998</v>
      </c>
      <c r="L22" s="142">
        <f>ROUND(+(D22+D24)/2*(C24-C22),3)</f>
        <v>7.0000000000000007E-2</v>
      </c>
      <c r="M22" s="145">
        <f>ROUND(+K22*L22,4)</f>
        <v>3.3799999999999997E-2</v>
      </c>
      <c r="N22" s="148">
        <f t="shared" ref="N22" si="10">ROUND(+M22/$M$56*100,1)</f>
        <v>15.1</v>
      </c>
      <c r="O22" s="151"/>
      <c r="P22" s="154"/>
    </row>
    <row r="23" spans="1:16" s="3" customFormat="1" ht="14.1" customHeight="1" x14ac:dyDescent="0.2">
      <c r="A23" s="12"/>
      <c r="B23" s="158"/>
      <c r="C23" s="152"/>
      <c r="D23" s="279"/>
      <c r="E23" s="152"/>
      <c r="F23" s="40" t="s">
        <v>66</v>
      </c>
      <c r="G23" s="161">
        <f t="shared" ref="G23" si="11">IF(E22&lt;0.12,0.6*E22,IF(E22&gt;=0.12,0.6*E22))</f>
        <v>4.8000000000000001E-2</v>
      </c>
      <c r="H23" s="161"/>
      <c r="I23" s="165">
        <v>0.48299999999999998</v>
      </c>
      <c r="J23" s="165"/>
      <c r="K23" s="143"/>
      <c r="L23" s="143"/>
      <c r="M23" s="146"/>
      <c r="N23" s="149"/>
      <c r="O23" s="152"/>
      <c r="P23" s="155"/>
    </row>
    <row r="24" spans="1:16" s="3" customFormat="1" ht="13.9" customHeight="1" thickBot="1" x14ac:dyDescent="0.25">
      <c r="A24" s="12"/>
      <c r="B24" s="159"/>
      <c r="C24" s="43">
        <f>C22+P8</f>
        <v>3</v>
      </c>
      <c r="D24" s="44">
        <f>0.025+0.046</f>
        <v>7.1000000000000008E-2</v>
      </c>
      <c r="E24" s="168"/>
      <c r="F24" s="41" t="s">
        <v>67</v>
      </c>
      <c r="G24" s="166" t="str">
        <f t="shared" ref="G24" si="12">IF(E22&lt;0.12,"NA",IF(E22&gt;=0.12,0.8*E22))</f>
        <v>NA</v>
      </c>
      <c r="H24" s="166"/>
      <c r="I24" s="167"/>
      <c r="J24" s="167"/>
      <c r="K24" s="144"/>
      <c r="L24" s="144"/>
      <c r="M24" s="147"/>
      <c r="N24" s="150"/>
      <c r="O24" s="168"/>
      <c r="P24" s="172"/>
    </row>
    <row r="25" spans="1:16" s="3" customFormat="1" ht="14.1" customHeight="1" x14ac:dyDescent="0.2">
      <c r="A25" s="12"/>
      <c r="B25" s="157">
        <v>4</v>
      </c>
      <c r="C25" s="151">
        <f>C24</f>
        <v>3</v>
      </c>
      <c r="D25" s="182">
        <f>D24</f>
        <v>7.1000000000000008E-2</v>
      </c>
      <c r="E25" s="151">
        <f>0.025+0.029</f>
        <v>5.4000000000000006E-2</v>
      </c>
      <c r="F25" s="39" t="s">
        <v>65</v>
      </c>
      <c r="G25" s="151" t="str">
        <f t="shared" ref="G25" si="13">IF(E25&lt;0.12,"NA",IF(E25&gt;=0.12,0.2*E25))</f>
        <v>NA</v>
      </c>
      <c r="H25" s="151"/>
      <c r="I25" s="164"/>
      <c r="J25" s="164"/>
      <c r="K25" s="142">
        <f t="shared" ref="K25" si="14">ROUND(+IF(E25&lt;0.12,(I26),(IF(E25&gt;=0.12,((I25+2*I26+I27)/4)))),3)</f>
        <v>0.46500000000000002</v>
      </c>
      <c r="L25" s="142">
        <f>ROUND(+(D25+D27)/2*(C27-C25),3)</f>
        <v>5.8999999999999997E-2</v>
      </c>
      <c r="M25" s="145">
        <f>ROUND(+K25*L25,4)</f>
        <v>2.7400000000000001E-2</v>
      </c>
      <c r="N25" s="148">
        <f t="shared" ref="N25" si="15">ROUND(+M25/$M$56*100,1)</f>
        <v>12.2</v>
      </c>
      <c r="O25" s="151"/>
      <c r="P25" s="154"/>
    </row>
    <row r="26" spans="1:16" s="3" customFormat="1" ht="14.1" customHeight="1" x14ac:dyDescent="0.2">
      <c r="A26" s="12"/>
      <c r="B26" s="158"/>
      <c r="C26" s="152"/>
      <c r="D26" s="279"/>
      <c r="E26" s="152"/>
      <c r="F26" s="40" t="s">
        <v>66</v>
      </c>
      <c r="G26" s="161">
        <f t="shared" ref="G26" si="16">IF(E25&lt;0.12,0.6*E25,IF(E25&gt;=0.12,0.6*E25))</f>
        <v>3.2400000000000005E-2</v>
      </c>
      <c r="H26" s="161"/>
      <c r="I26" s="165">
        <v>0.46500000000000002</v>
      </c>
      <c r="J26" s="165"/>
      <c r="K26" s="143"/>
      <c r="L26" s="143"/>
      <c r="M26" s="146"/>
      <c r="N26" s="149"/>
      <c r="O26" s="152"/>
      <c r="P26" s="155"/>
    </row>
    <row r="27" spans="1:16" s="3" customFormat="1" ht="13.9" customHeight="1" thickBot="1" x14ac:dyDescent="0.25">
      <c r="A27" s="12"/>
      <c r="B27" s="159"/>
      <c r="C27" s="43">
        <f>C25+P8</f>
        <v>4</v>
      </c>
      <c r="D27" s="44">
        <f>0.025+0.021</f>
        <v>4.5999999999999999E-2</v>
      </c>
      <c r="E27" s="168"/>
      <c r="F27" s="41" t="s">
        <v>67</v>
      </c>
      <c r="G27" s="166" t="str">
        <f t="shared" ref="G27" si="17">IF(E25&lt;0.12,"NA",IF(E25&gt;=0.12,0.8*E25))</f>
        <v>NA</v>
      </c>
      <c r="H27" s="166"/>
      <c r="I27" s="167"/>
      <c r="J27" s="167"/>
      <c r="K27" s="144"/>
      <c r="L27" s="144"/>
      <c r="M27" s="147"/>
      <c r="N27" s="150"/>
      <c r="O27" s="168"/>
      <c r="P27" s="172"/>
    </row>
    <row r="28" spans="1:16" s="3" customFormat="1" ht="14.1" customHeight="1" x14ac:dyDescent="0.2">
      <c r="A28" s="12"/>
      <c r="B28" s="157">
        <v>5</v>
      </c>
      <c r="C28" s="151">
        <f>C27</f>
        <v>4</v>
      </c>
      <c r="D28" s="182">
        <f>D27</f>
        <v>4.5999999999999999E-2</v>
      </c>
      <c r="E28" s="151">
        <f>0.025+0.018</f>
        <v>4.2999999999999997E-2</v>
      </c>
      <c r="F28" s="39" t="s">
        <v>65</v>
      </c>
      <c r="G28" s="151" t="str">
        <f t="shared" ref="G28" si="18">IF(E28&lt;0.12,"NA",IF(E28&gt;=0.12,0.2*E28))</f>
        <v>NA</v>
      </c>
      <c r="H28" s="151"/>
      <c r="I28" s="164"/>
      <c r="J28" s="164"/>
      <c r="K28" s="142">
        <f t="shared" ref="K28" si="19">ROUND(+IF(E28&lt;0.12,(I29),(IF(E28&gt;=0.12,((I28+2*I29+I30)/4)))),3)</f>
        <v>0.33900000000000002</v>
      </c>
      <c r="L28" s="142">
        <f>ROUND(+(D28+D30)/2*(C30-C28),3)</f>
        <v>4.7E-2</v>
      </c>
      <c r="M28" s="145">
        <f>ROUND(+K28*L28,4)</f>
        <v>1.5900000000000001E-2</v>
      </c>
      <c r="N28" s="148">
        <f t="shared" ref="N28" si="20">ROUND(+M28/$M$56*100,1)</f>
        <v>7.1</v>
      </c>
      <c r="O28" s="151"/>
      <c r="P28" s="154"/>
    </row>
    <row r="29" spans="1:16" s="3" customFormat="1" ht="14.1" customHeight="1" x14ac:dyDescent="0.2">
      <c r="A29" s="12"/>
      <c r="B29" s="158"/>
      <c r="C29" s="152"/>
      <c r="D29" s="279"/>
      <c r="E29" s="152"/>
      <c r="F29" s="40" t="s">
        <v>66</v>
      </c>
      <c r="G29" s="161">
        <f t="shared" ref="G29" si="21">IF(E28&lt;0.12,0.6*E28,IF(E28&gt;=0.12,0.6*E28))</f>
        <v>2.5799999999999997E-2</v>
      </c>
      <c r="H29" s="161"/>
      <c r="I29" s="165">
        <v>0.33900000000000002</v>
      </c>
      <c r="J29" s="165"/>
      <c r="K29" s="143"/>
      <c r="L29" s="143"/>
      <c r="M29" s="146"/>
      <c r="N29" s="149"/>
      <c r="O29" s="152"/>
      <c r="P29" s="155"/>
    </row>
    <row r="30" spans="1:16" s="3" customFormat="1" ht="13.9" customHeight="1" thickBot="1" x14ac:dyDescent="0.25">
      <c r="A30" s="12"/>
      <c r="B30" s="159"/>
      <c r="C30" s="43">
        <f>C28+P8</f>
        <v>5</v>
      </c>
      <c r="D30" s="44">
        <f>0.025+0.023</f>
        <v>4.8000000000000001E-2</v>
      </c>
      <c r="E30" s="168"/>
      <c r="F30" s="41" t="s">
        <v>67</v>
      </c>
      <c r="G30" s="166" t="str">
        <f t="shared" ref="G30" si="22">IF(E28&lt;0.12,"NA",IF(E28&gt;=0.12,0.8*E28))</f>
        <v>NA</v>
      </c>
      <c r="H30" s="166"/>
      <c r="I30" s="167"/>
      <c r="J30" s="167"/>
      <c r="K30" s="144"/>
      <c r="L30" s="144"/>
      <c r="M30" s="147"/>
      <c r="N30" s="150"/>
      <c r="O30" s="168"/>
      <c r="P30" s="172"/>
    </row>
    <row r="31" spans="1:16" s="3" customFormat="1" ht="14.1" customHeight="1" x14ac:dyDescent="0.2">
      <c r="A31" s="12"/>
      <c r="B31" s="157">
        <v>6</v>
      </c>
      <c r="C31" s="151">
        <f>C30</f>
        <v>5</v>
      </c>
      <c r="D31" s="182">
        <f>D30</f>
        <v>4.8000000000000001E-2</v>
      </c>
      <c r="E31" s="151">
        <f>0.025+0.038</f>
        <v>6.3E-2</v>
      </c>
      <c r="F31" s="39" t="s">
        <v>65</v>
      </c>
      <c r="G31" s="151" t="str">
        <f t="shared" ref="G31" si="23">IF(E31&lt;0.12,"NA",IF(E31&gt;=0.12,0.2*E31))</f>
        <v>NA</v>
      </c>
      <c r="H31" s="151"/>
      <c r="I31" s="164"/>
      <c r="J31" s="164"/>
      <c r="K31" s="142">
        <f t="shared" ref="K31" si="24">ROUND(+IF(E31&lt;0.12,(I32),(IF(E31&gt;=0.12,((I31+2*I32+I33)/4)))),3)</f>
        <v>0.245</v>
      </c>
      <c r="L31" s="142">
        <f>ROUND(+(D31+D33)/2*(C33-C31),3)</f>
        <v>5.8999999999999997E-2</v>
      </c>
      <c r="M31" s="145">
        <f>ROUND(+K31*L31,4)</f>
        <v>1.4500000000000001E-2</v>
      </c>
      <c r="N31" s="148">
        <f>ROUND(+M31/$M$56*100,1)</f>
        <v>6.5</v>
      </c>
      <c r="O31" s="151"/>
      <c r="P31" s="154"/>
    </row>
    <row r="32" spans="1:16" s="3" customFormat="1" ht="14.1" customHeight="1" x14ac:dyDescent="0.2">
      <c r="A32" s="12"/>
      <c r="B32" s="158"/>
      <c r="C32" s="152"/>
      <c r="D32" s="279"/>
      <c r="E32" s="152"/>
      <c r="F32" s="40" t="s">
        <v>66</v>
      </c>
      <c r="G32" s="161">
        <f t="shared" ref="G32" si="25">IF(E31&lt;0.12,0.6*E31,IF(E31&gt;=0.12,0.6*E31))</f>
        <v>3.78E-2</v>
      </c>
      <c r="H32" s="161"/>
      <c r="I32" s="165">
        <v>0.245</v>
      </c>
      <c r="J32" s="165"/>
      <c r="K32" s="143"/>
      <c r="L32" s="143"/>
      <c r="M32" s="146"/>
      <c r="N32" s="149"/>
      <c r="O32" s="152"/>
      <c r="P32" s="155"/>
    </row>
    <row r="33" spans="1:16" s="3" customFormat="1" ht="13.9" customHeight="1" thickBot="1" x14ac:dyDescent="0.25">
      <c r="A33" s="12"/>
      <c r="B33" s="159"/>
      <c r="C33" s="43">
        <f>C31+P8</f>
        <v>6</v>
      </c>
      <c r="D33" s="44">
        <f>0.025+0.045</f>
        <v>7.0000000000000007E-2</v>
      </c>
      <c r="E33" s="168"/>
      <c r="F33" s="41" t="s">
        <v>67</v>
      </c>
      <c r="G33" s="166" t="str">
        <f t="shared" ref="G33" si="26">IF(E31&lt;0.12,"NA",IF(E31&gt;=0.12,0.8*E31))</f>
        <v>NA</v>
      </c>
      <c r="H33" s="166"/>
      <c r="I33" s="167"/>
      <c r="J33" s="167"/>
      <c r="K33" s="144"/>
      <c r="L33" s="144"/>
      <c r="M33" s="147"/>
      <c r="N33" s="150"/>
      <c r="O33" s="168"/>
      <c r="P33" s="172"/>
    </row>
    <row r="34" spans="1:16" s="3" customFormat="1" ht="14.1" customHeight="1" x14ac:dyDescent="0.2">
      <c r="A34" s="12"/>
      <c r="B34" s="157">
        <v>7</v>
      </c>
      <c r="C34" s="151">
        <f>C33</f>
        <v>6</v>
      </c>
      <c r="D34" s="182">
        <f>D33</f>
        <v>7.0000000000000007E-2</v>
      </c>
      <c r="E34" s="151">
        <f>0.025+0.039</f>
        <v>6.4000000000000001E-2</v>
      </c>
      <c r="F34" s="39" t="s">
        <v>65</v>
      </c>
      <c r="G34" s="151" t="str">
        <f t="shared" ref="G34" si="27">IF(E34&lt;0.12,"NA",IF(E34&gt;=0.12,0.2*E34))</f>
        <v>NA</v>
      </c>
      <c r="H34" s="151"/>
      <c r="I34" s="164"/>
      <c r="J34" s="164"/>
      <c r="K34" s="142">
        <f t="shared" ref="K34" si="28">ROUND(+IF(E34&lt;0.12,(I35),(IF(E34&gt;=0.12,((I34+2*I35+I36)/4)))),3)</f>
        <v>0.35899999999999999</v>
      </c>
      <c r="L34" s="142">
        <f>ROUND(+(D34+D36)/2*(C36-C34),3)</f>
        <v>6.3E-2</v>
      </c>
      <c r="M34" s="145">
        <f>ROUND(+K34*L34,4)</f>
        <v>2.2599999999999999E-2</v>
      </c>
      <c r="N34" s="148">
        <f t="shared" ref="N34" si="29">ROUND(+M34/$M$56*100,1)</f>
        <v>10.1</v>
      </c>
      <c r="O34" s="151"/>
      <c r="P34" s="154"/>
    </row>
    <row r="35" spans="1:16" s="3" customFormat="1" ht="14.1" customHeight="1" x14ac:dyDescent="0.2">
      <c r="A35" s="12"/>
      <c r="B35" s="158"/>
      <c r="C35" s="152"/>
      <c r="D35" s="279"/>
      <c r="E35" s="152"/>
      <c r="F35" s="40" t="s">
        <v>66</v>
      </c>
      <c r="G35" s="161">
        <f t="shared" ref="G35" si="30">IF(E34&lt;0.12,0.6*E34,IF(E34&gt;=0.12,0.6*E34))</f>
        <v>3.8399999999999997E-2</v>
      </c>
      <c r="H35" s="161"/>
      <c r="I35" s="165">
        <v>0.35899999999999999</v>
      </c>
      <c r="J35" s="165"/>
      <c r="K35" s="143"/>
      <c r="L35" s="143"/>
      <c r="M35" s="146"/>
      <c r="N35" s="149"/>
      <c r="O35" s="152"/>
      <c r="P35" s="155"/>
    </row>
    <row r="36" spans="1:16" s="3" customFormat="1" ht="13.9" customHeight="1" thickBot="1" x14ac:dyDescent="0.25">
      <c r="A36" s="12"/>
      <c r="B36" s="159"/>
      <c r="C36" s="43">
        <f>C34+P8</f>
        <v>7</v>
      </c>
      <c r="D36" s="44">
        <f>0.025+0.031</f>
        <v>5.6000000000000001E-2</v>
      </c>
      <c r="E36" s="168"/>
      <c r="F36" s="41" t="s">
        <v>67</v>
      </c>
      <c r="G36" s="166" t="str">
        <f t="shared" ref="G36" si="31">IF(E34&lt;0.12,"NA",IF(E34&gt;=0.12,0.8*E34))</f>
        <v>NA</v>
      </c>
      <c r="H36" s="166"/>
      <c r="I36" s="167"/>
      <c r="J36" s="167"/>
      <c r="K36" s="144"/>
      <c r="L36" s="144"/>
      <c r="M36" s="147"/>
      <c r="N36" s="150"/>
      <c r="O36" s="168"/>
      <c r="P36" s="172"/>
    </row>
    <row r="37" spans="1:16" s="3" customFormat="1" ht="14.1" customHeight="1" x14ac:dyDescent="0.2">
      <c r="A37" s="12"/>
      <c r="B37" s="157">
        <v>8</v>
      </c>
      <c r="C37" s="151">
        <f>C36</f>
        <v>7</v>
      </c>
      <c r="D37" s="182">
        <f>D36</f>
        <v>5.6000000000000001E-2</v>
      </c>
      <c r="E37" s="151">
        <f>0.025+0.05</f>
        <v>7.5000000000000011E-2</v>
      </c>
      <c r="F37" s="39" t="s">
        <v>65</v>
      </c>
      <c r="G37" s="151" t="str">
        <f t="shared" ref="G37" si="32">IF(E37&lt;0.12,"NA",IF(E37&gt;=0.12,0.2*E37))</f>
        <v>NA</v>
      </c>
      <c r="H37" s="151"/>
      <c r="I37" s="164"/>
      <c r="J37" s="164"/>
      <c r="K37" s="142">
        <f t="shared" ref="K37" si="33">ROUND(+IF(E37&lt;0.12,(I38),(IF(E37&gt;=0.12,((I37+2*I38+I39)/4)))),3)</f>
        <v>0.41499999999999998</v>
      </c>
      <c r="L37" s="142">
        <f>ROUND(+(D37+D39)/2*(C39-C37),3)</f>
        <v>7.0999999999999994E-2</v>
      </c>
      <c r="M37" s="145">
        <f>ROUND(+K37*L37,4)</f>
        <v>2.9499999999999998E-2</v>
      </c>
      <c r="N37" s="148">
        <f t="shared" ref="N37" si="34">ROUND(+M37/$M$56*100,1)</f>
        <v>13.1</v>
      </c>
      <c r="O37" s="151"/>
      <c r="P37" s="154"/>
    </row>
    <row r="38" spans="1:16" s="3" customFormat="1" ht="14.1" customHeight="1" x14ac:dyDescent="0.2">
      <c r="A38" s="12"/>
      <c r="B38" s="158"/>
      <c r="C38" s="152"/>
      <c r="D38" s="279"/>
      <c r="E38" s="152"/>
      <c r="F38" s="40" t="s">
        <v>66</v>
      </c>
      <c r="G38" s="161">
        <f t="shared" ref="G38" si="35">IF(E37&lt;0.12,0.6*E37,IF(E37&gt;=0.12,0.6*E37))</f>
        <v>4.5000000000000005E-2</v>
      </c>
      <c r="H38" s="161"/>
      <c r="I38" s="165">
        <v>0.41499999999999998</v>
      </c>
      <c r="J38" s="165"/>
      <c r="K38" s="143"/>
      <c r="L38" s="143"/>
      <c r="M38" s="146"/>
      <c r="N38" s="149"/>
      <c r="O38" s="152"/>
      <c r="P38" s="155"/>
    </row>
    <row r="39" spans="1:16" s="3" customFormat="1" ht="13.9" customHeight="1" thickBot="1" x14ac:dyDescent="0.25">
      <c r="A39" s="12"/>
      <c r="B39" s="159"/>
      <c r="C39" s="43">
        <f>C37+P8</f>
        <v>8</v>
      </c>
      <c r="D39" s="44">
        <f>0.061+0.025</f>
        <v>8.5999999999999993E-2</v>
      </c>
      <c r="E39" s="168"/>
      <c r="F39" s="41" t="s">
        <v>67</v>
      </c>
      <c r="G39" s="166" t="str">
        <f t="shared" ref="G39" si="36">IF(E37&lt;0.12,"NA",IF(E37&gt;=0.12,0.8*E37))</f>
        <v>NA</v>
      </c>
      <c r="H39" s="166"/>
      <c r="I39" s="167"/>
      <c r="J39" s="167"/>
      <c r="K39" s="144"/>
      <c r="L39" s="144"/>
      <c r="M39" s="147"/>
      <c r="N39" s="150"/>
      <c r="O39" s="168"/>
      <c r="P39" s="172"/>
    </row>
    <row r="40" spans="1:16" s="3" customFormat="1" ht="14.1" customHeight="1" x14ac:dyDescent="0.2">
      <c r="A40" s="12"/>
      <c r="B40" s="157">
        <v>9</v>
      </c>
      <c r="C40" s="151">
        <v>8</v>
      </c>
      <c r="D40" s="182">
        <f>+D39</f>
        <v>8.5999999999999993E-2</v>
      </c>
      <c r="E40" s="151">
        <v>0.13400000000000001</v>
      </c>
      <c r="F40" s="39" t="s">
        <v>65</v>
      </c>
      <c r="G40" s="164"/>
      <c r="H40" s="164"/>
      <c r="I40" s="164"/>
      <c r="J40" s="164"/>
      <c r="K40" s="151"/>
      <c r="L40" s="151"/>
      <c r="M40" s="169"/>
      <c r="N40" s="160"/>
      <c r="O40" s="151"/>
      <c r="P40" s="154"/>
    </row>
    <row r="41" spans="1:16" s="3" customFormat="1" ht="14.1" customHeight="1" x14ac:dyDescent="0.2">
      <c r="A41" s="12"/>
      <c r="B41" s="158"/>
      <c r="C41" s="152"/>
      <c r="D41" s="279"/>
      <c r="E41" s="152"/>
      <c r="F41" s="40" t="s">
        <v>66</v>
      </c>
      <c r="G41" s="173"/>
      <c r="H41" s="173"/>
      <c r="I41" s="165"/>
      <c r="J41" s="165"/>
      <c r="K41" s="152"/>
      <c r="L41" s="152"/>
      <c r="M41" s="170"/>
      <c r="N41" s="161"/>
      <c r="O41" s="152"/>
      <c r="P41" s="155"/>
    </row>
    <row r="42" spans="1:16" s="3" customFormat="1" ht="13.9" customHeight="1" thickBot="1" x14ac:dyDescent="0.25">
      <c r="A42" s="12"/>
      <c r="B42" s="159"/>
      <c r="C42" s="43">
        <v>9</v>
      </c>
      <c r="D42" s="44">
        <f>0.048+0.025</f>
        <v>7.3000000000000009E-2</v>
      </c>
      <c r="E42" s="168"/>
      <c r="F42" s="41" t="s">
        <v>67</v>
      </c>
      <c r="G42" s="167"/>
      <c r="H42" s="167"/>
      <c r="I42" s="167"/>
      <c r="J42" s="167"/>
      <c r="K42" s="168"/>
      <c r="L42" s="168"/>
      <c r="M42" s="171"/>
      <c r="N42" s="166"/>
      <c r="O42" s="168"/>
      <c r="P42" s="172"/>
    </row>
    <row r="43" spans="1:16" s="3" customFormat="1" ht="14.1" customHeight="1" x14ac:dyDescent="0.2">
      <c r="A43" s="12"/>
      <c r="B43" s="157">
        <v>10</v>
      </c>
      <c r="C43" s="151">
        <v>9</v>
      </c>
      <c r="D43" s="182">
        <f>+D42</f>
        <v>7.3000000000000009E-2</v>
      </c>
      <c r="E43" s="151">
        <f>0.025+0.018</f>
        <v>4.2999999999999997E-2</v>
      </c>
      <c r="F43" s="39" t="s">
        <v>65</v>
      </c>
      <c r="G43" s="151" t="str">
        <f>IF(E43&lt;0.12,"NA",IF(E43&gt;=0.12,0.2*E43))</f>
        <v>NA</v>
      </c>
      <c r="H43" s="151"/>
      <c r="I43" s="164"/>
      <c r="J43" s="164"/>
      <c r="K43" s="142">
        <f t="shared" ref="K43" si="37">ROUND(+IF(E43&lt;0.12,(I44),(IF(E43&gt;=0.12,((I43+2*I44+I45)/4)))),3)</f>
        <v>0.29099999999999998</v>
      </c>
      <c r="L43" s="142">
        <f>ROUND(+(D43+D45)/2*(C45-C43),3)</f>
        <v>6.2E-2</v>
      </c>
      <c r="M43" s="145">
        <f>ROUND(+K43*L43,4)</f>
        <v>1.7999999999999999E-2</v>
      </c>
      <c r="N43" s="148">
        <f t="shared" ref="N43" si="38">ROUND(+M43/$M$56*100,1)</f>
        <v>8</v>
      </c>
      <c r="O43" s="151"/>
      <c r="P43" s="154"/>
    </row>
    <row r="44" spans="1:16" s="3" customFormat="1" ht="14.1" customHeight="1" x14ac:dyDescent="0.2">
      <c r="A44" s="12"/>
      <c r="B44" s="158"/>
      <c r="C44" s="152"/>
      <c r="D44" s="279"/>
      <c r="E44" s="152"/>
      <c r="F44" s="40" t="s">
        <v>66</v>
      </c>
      <c r="G44" s="161">
        <f>IF(E43&lt;0.12,0.6*E43,IF(E43&gt;=0.12,0.6*E43))</f>
        <v>2.5799999999999997E-2</v>
      </c>
      <c r="H44" s="161"/>
      <c r="I44" s="165">
        <v>0.29099999999999998</v>
      </c>
      <c r="J44" s="165"/>
      <c r="K44" s="143"/>
      <c r="L44" s="143"/>
      <c r="M44" s="146"/>
      <c r="N44" s="149"/>
      <c r="O44" s="152"/>
      <c r="P44" s="155"/>
    </row>
    <row r="45" spans="1:16" s="3" customFormat="1" ht="13.9" customHeight="1" thickBot="1" x14ac:dyDescent="0.25">
      <c r="A45" s="12"/>
      <c r="B45" s="159"/>
      <c r="C45" s="43">
        <v>10.220000000000001</v>
      </c>
      <c r="D45" s="44">
        <f>0.003+0.025</f>
        <v>2.8000000000000001E-2</v>
      </c>
      <c r="E45" s="168"/>
      <c r="F45" s="41" t="s">
        <v>67</v>
      </c>
      <c r="G45" s="166" t="str">
        <f>IF(E43&lt;0.12,"NA",IF(E43&gt;=0.12,0.8*E43))</f>
        <v>NA</v>
      </c>
      <c r="H45" s="166"/>
      <c r="I45" s="167"/>
      <c r="J45" s="167"/>
      <c r="K45" s="144"/>
      <c r="L45" s="144"/>
      <c r="M45" s="147"/>
      <c r="N45" s="150"/>
      <c r="O45" s="168"/>
      <c r="P45" s="172"/>
    </row>
    <row r="46" spans="1:16" s="3" customFormat="1" ht="14.1" customHeight="1" x14ac:dyDescent="0.2">
      <c r="A46" s="12"/>
      <c r="B46" s="140">
        <v>9</v>
      </c>
      <c r="C46" s="140">
        <f>+C40</f>
        <v>8</v>
      </c>
      <c r="D46" s="131">
        <f>+D40</f>
        <v>8.5999999999999993E-2</v>
      </c>
      <c r="E46" s="131">
        <f>+E40</f>
        <v>0.13400000000000001</v>
      </c>
      <c r="F46" s="63" t="s">
        <v>31</v>
      </c>
      <c r="G46" s="141"/>
      <c r="H46" s="141"/>
      <c r="I46" s="285">
        <v>0.53600000000000003</v>
      </c>
      <c r="J46" s="285"/>
      <c r="K46" s="131">
        <f>ROUND(+AVERAGE(I46:J55),3)</f>
        <v>0.436</v>
      </c>
      <c r="L46" s="140">
        <f>ROUND(+(D46+D51)/2*(C51-C46),3)</f>
        <v>0.08</v>
      </c>
      <c r="M46" s="282">
        <f>ROUND(+K46*L46,4)</f>
        <v>3.49E-2</v>
      </c>
      <c r="N46" s="140">
        <f>ROUND(+M46/$M$56*100,1)</f>
        <v>15.5</v>
      </c>
      <c r="O46" s="140"/>
      <c r="P46" s="140"/>
    </row>
    <row r="47" spans="1:16" s="3" customFormat="1" ht="14.1" customHeight="1" x14ac:dyDescent="0.2">
      <c r="A47" s="12"/>
      <c r="B47" s="129"/>
      <c r="C47" s="129"/>
      <c r="D47" s="130"/>
      <c r="E47" s="130"/>
      <c r="F47" s="47" t="s">
        <v>68</v>
      </c>
      <c r="G47" s="126">
        <f>+ROUND(0.1*$E$46,2)</f>
        <v>0.01</v>
      </c>
      <c r="H47" s="126"/>
      <c r="I47" s="126">
        <v>0.51400000000000001</v>
      </c>
      <c r="J47" s="126"/>
      <c r="K47" s="129"/>
      <c r="L47" s="129"/>
      <c r="M47" s="135"/>
      <c r="N47" s="129"/>
      <c r="O47" s="129"/>
      <c r="P47" s="129"/>
    </row>
    <row r="48" spans="1:16" s="3" customFormat="1" ht="14.1" customHeight="1" x14ac:dyDescent="0.2">
      <c r="A48" s="12"/>
      <c r="B48" s="129"/>
      <c r="C48" s="129"/>
      <c r="D48" s="130"/>
      <c r="E48" s="130"/>
      <c r="F48" s="47" t="s">
        <v>65</v>
      </c>
      <c r="G48" s="126">
        <f>+ROUND(0.2*$E$46,2)</f>
        <v>0.03</v>
      </c>
      <c r="H48" s="126"/>
      <c r="I48" s="126">
        <v>0.58899999999999997</v>
      </c>
      <c r="J48" s="126"/>
      <c r="K48" s="129"/>
      <c r="L48" s="129"/>
      <c r="M48" s="135"/>
      <c r="N48" s="129"/>
      <c r="O48" s="129"/>
      <c r="P48" s="129"/>
    </row>
    <row r="49" spans="1:16" s="3" customFormat="1" ht="14.1" customHeight="1" x14ac:dyDescent="0.2">
      <c r="A49" s="12"/>
      <c r="B49" s="129"/>
      <c r="C49" s="129"/>
      <c r="D49" s="130"/>
      <c r="E49" s="130"/>
      <c r="F49" s="47" t="s">
        <v>69</v>
      </c>
      <c r="G49" s="126">
        <f>+ROUND(0.3*$E$46,2)</f>
        <v>0.04</v>
      </c>
      <c r="H49" s="126"/>
      <c r="I49" s="126">
        <v>0.56299999999999994</v>
      </c>
      <c r="J49" s="126"/>
      <c r="K49" s="129"/>
      <c r="L49" s="129"/>
      <c r="M49" s="135"/>
      <c r="N49" s="129"/>
      <c r="O49" s="129"/>
      <c r="P49" s="129"/>
    </row>
    <row r="50" spans="1:16" s="3" customFormat="1" ht="14.1" customHeight="1" x14ac:dyDescent="0.2">
      <c r="A50" s="12"/>
      <c r="B50" s="129"/>
      <c r="C50" s="129"/>
      <c r="D50" s="130"/>
      <c r="E50" s="130"/>
      <c r="F50" s="47" t="s">
        <v>70</v>
      </c>
      <c r="G50" s="126">
        <f>+ROUND(0.4*$E$46,2)</f>
        <v>0.05</v>
      </c>
      <c r="H50" s="126"/>
      <c r="I50" s="126">
        <v>0.57699999999999996</v>
      </c>
      <c r="J50" s="126"/>
      <c r="K50" s="129"/>
      <c r="L50" s="129"/>
      <c r="M50" s="135"/>
      <c r="N50" s="129"/>
      <c r="O50" s="129"/>
      <c r="P50" s="129"/>
    </row>
    <row r="51" spans="1:16" s="3" customFormat="1" ht="14.1" customHeight="1" x14ac:dyDescent="0.2">
      <c r="A51" s="12"/>
      <c r="B51" s="129"/>
      <c r="C51" s="129">
        <f>+C42</f>
        <v>9</v>
      </c>
      <c r="D51" s="130">
        <f>+D42</f>
        <v>7.3000000000000009E-2</v>
      </c>
      <c r="E51" s="130"/>
      <c r="F51" s="47" t="s">
        <v>30</v>
      </c>
      <c r="G51" s="126">
        <f>+ROUND(0.5*$E$46,2)</f>
        <v>7.0000000000000007E-2</v>
      </c>
      <c r="H51" s="126"/>
      <c r="I51" s="126">
        <v>0.53300000000000003</v>
      </c>
      <c r="J51" s="126"/>
      <c r="K51" s="129"/>
      <c r="L51" s="129"/>
      <c r="M51" s="135"/>
      <c r="N51" s="129"/>
      <c r="O51" s="129"/>
      <c r="P51" s="129"/>
    </row>
    <row r="52" spans="1:16" s="3" customFormat="1" ht="14.1" customHeight="1" x14ac:dyDescent="0.2">
      <c r="A52" s="12"/>
      <c r="B52" s="129"/>
      <c r="C52" s="129"/>
      <c r="D52" s="130"/>
      <c r="E52" s="130"/>
      <c r="F52" s="47" t="s">
        <v>66</v>
      </c>
      <c r="G52" s="126">
        <f>+ROUND(0.6*$E$46,2)</f>
        <v>0.08</v>
      </c>
      <c r="H52" s="126"/>
      <c r="I52" s="126">
        <v>0.45800000000000002</v>
      </c>
      <c r="J52" s="126"/>
      <c r="K52" s="129"/>
      <c r="L52" s="129"/>
      <c r="M52" s="135"/>
      <c r="N52" s="129"/>
      <c r="O52" s="129"/>
      <c r="P52" s="129"/>
    </row>
    <row r="53" spans="1:16" s="3" customFormat="1" ht="14.1" customHeight="1" x14ac:dyDescent="0.2">
      <c r="A53" s="12"/>
      <c r="B53" s="129"/>
      <c r="C53" s="129"/>
      <c r="D53" s="130"/>
      <c r="E53" s="130"/>
      <c r="F53" s="47" t="s">
        <v>71</v>
      </c>
      <c r="G53" s="126">
        <f>+ROUND(0.7*$E$46,2)</f>
        <v>0.09</v>
      </c>
      <c r="H53" s="126"/>
      <c r="I53" s="126">
        <v>0.318</v>
      </c>
      <c r="J53" s="126"/>
      <c r="K53" s="129"/>
      <c r="L53" s="129"/>
      <c r="M53" s="135"/>
      <c r="N53" s="129"/>
      <c r="O53" s="129"/>
      <c r="P53" s="129"/>
    </row>
    <row r="54" spans="1:16" s="3" customFormat="1" ht="14.1" customHeight="1" x14ac:dyDescent="0.2">
      <c r="A54" s="12"/>
      <c r="B54" s="129"/>
      <c r="C54" s="129"/>
      <c r="D54" s="130"/>
      <c r="E54" s="130"/>
      <c r="F54" s="47" t="s">
        <v>67</v>
      </c>
      <c r="G54" s="126">
        <f>+ROUND(0.8*$E$46,2)</f>
        <v>0.11</v>
      </c>
      <c r="H54" s="126"/>
      <c r="I54" s="126">
        <v>0.16400000000000001</v>
      </c>
      <c r="J54" s="126"/>
      <c r="K54" s="129"/>
      <c r="L54" s="129"/>
      <c r="M54" s="135"/>
      <c r="N54" s="129"/>
      <c r="O54" s="129"/>
      <c r="P54" s="129"/>
    </row>
    <row r="55" spans="1:16" s="3" customFormat="1" ht="13.5" thickBot="1" x14ac:dyDescent="0.25">
      <c r="A55" s="12"/>
      <c r="B55" s="129"/>
      <c r="C55" s="129"/>
      <c r="D55" s="130"/>
      <c r="E55" s="130"/>
      <c r="F55" s="47" t="s">
        <v>72</v>
      </c>
      <c r="G55" s="126">
        <f>+ROUND(0.9*$E$46,2)</f>
        <v>0.12</v>
      </c>
      <c r="H55" s="126"/>
      <c r="I55" s="281">
        <v>0.105</v>
      </c>
      <c r="J55" s="281"/>
      <c r="K55" s="129"/>
      <c r="L55" s="129"/>
      <c r="M55" s="135"/>
      <c r="N55" s="129"/>
      <c r="O55" s="129"/>
      <c r="P55" s="129"/>
    </row>
    <row r="56" spans="1:16" s="3" customFormat="1" ht="12.75" customHeight="1" x14ac:dyDescent="0.2">
      <c r="A56" s="12"/>
      <c r="B56" s="112" t="s">
        <v>32</v>
      </c>
      <c r="C56" s="113"/>
      <c r="D56" s="113"/>
      <c r="E56" s="113"/>
      <c r="F56" s="113"/>
      <c r="G56" s="113"/>
      <c r="H56" s="113"/>
      <c r="I56" s="113"/>
      <c r="J56" s="113"/>
      <c r="K56" s="13">
        <f>ROUND(+M56/L56,3)</f>
        <v>0.34</v>
      </c>
      <c r="L56" s="54">
        <f>SUM(L16:L55)</f>
        <v>0.66099999999999992</v>
      </c>
      <c r="M56" s="45">
        <f>SUM(M16:M55)</f>
        <v>0.22449999999999998</v>
      </c>
      <c r="N56" s="14">
        <f>ROUND(SUM(N16:N55),0)</f>
        <v>100</v>
      </c>
      <c r="O56" s="116" t="s">
        <v>33</v>
      </c>
      <c r="P56" s="118"/>
    </row>
    <row r="57" spans="1:16" s="3" customFormat="1" ht="15" customHeight="1" thickBot="1" x14ac:dyDescent="0.25">
      <c r="A57" s="12"/>
      <c r="B57" s="114"/>
      <c r="C57" s="115"/>
      <c r="D57" s="115"/>
      <c r="E57" s="115"/>
      <c r="F57" s="115"/>
      <c r="G57" s="115"/>
      <c r="H57" s="115"/>
      <c r="I57" s="115"/>
      <c r="J57" s="115"/>
      <c r="K57" s="15" t="s">
        <v>34</v>
      </c>
      <c r="L57" s="15" t="s">
        <v>50</v>
      </c>
      <c r="M57" s="15" t="s">
        <v>51</v>
      </c>
      <c r="N57" s="15" t="s">
        <v>35</v>
      </c>
      <c r="O57" s="117"/>
      <c r="P57" s="119"/>
    </row>
    <row r="58" spans="1:16" ht="57" customHeight="1" thickBot="1" x14ac:dyDescent="0.3">
      <c r="A58" s="50"/>
      <c r="B58" s="120" t="s">
        <v>29</v>
      </c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2"/>
    </row>
    <row r="59" spans="1:16" ht="15" customHeight="1" thickBot="1" x14ac:dyDescent="0.3">
      <c r="A59" s="5"/>
      <c r="B59" s="123" t="s">
        <v>73</v>
      </c>
      <c r="C59" s="124"/>
      <c r="D59" s="124"/>
      <c r="E59" s="124"/>
      <c r="F59" s="124"/>
      <c r="G59" s="124" t="s">
        <v>74</v>
      </c>
      <c r="H59" s="124"/>
      <c r="I59" s="124"/>
      <c r="J59" s="124"/>
      <c r="K59" s="124"/>
      <c r="L59" s="124"/>
      <c r="M59" s="124" t="s">
        <v>75</v>
      </c>
      <c r="N59" s="124"/>
      <c r="O59" s="124"/>
      <c r="P59" s="125"/>
    </row>
    <row r="60" spans="1:16" ht="15" customHeight="1" thickBot="1" x14ac:dyDescent="0.3">
      <c r="A60" s="5"/>
      <c r="B60" s="87"/>
      <c r="C60" s="88"/>
      <c r="D60" s="88"/>
      <c r="E60" s="88"/>
      <c r="F60" s="88"/>
      <c r="G60" s="88"/>
      <c r="H60" s="88"/>
      <c r="I60" s="89"/>
      <c r="J60" s="92" t="s">
        <v>53</v>
      </c>
      <c r="K60" s="93"/>
      <c r="L60" s="93"/>
      <c r="M60" s="93"/>
      <c r="N60" s="93"/>
      <c r="O60" s="93"/>
      <c r="P60" s="94"/>
    </row>
    <row r="61" spans="1:16" ht="18.600000000000001" customHeight="1" thickBot="1" x14ac:dyDescent="0.3">
      <c r="A61" s="6"/>
      <c r="B61" s="87"/>
      <c r="C61" s="88"/>
      <c r="D61" s="88"/>
      <c r="E61" s="88"/>
      <c r="F61" s="88"/>
      <c r="G61" s="88"/>
      <c r="H61" s="88"/>
      <c r="I61" s="89"/>
      <c r="J61" s="51" t="s">
        <v>76</v>
      </c>
      <c r="K61" s="95" t="s">
        <v>82</v>
      </c>
      <c r="L61" s="95"/>
      <c r="M61" s="95"/>
      <c r="N61" s="95"/>
      <c r="O61" s="95"/>
      <c r="P61" s="96"/>
    </row>
    <row r="62" spans="1:16" ht="60" customHeight="1" thickBot="1" x14ac:dyDescent="0.3">
      <c r="A62" s="10"/>
      <c r="B62" s="87"/>
      <c r="C62" s="88"/>
      <c r="D62" s="88"/>
      <c r="E62" s="88"/>
      <c r="F62" s="88"/>
      <c r="G62" s="88"/>
      <c r="H62" s="88"/>
      <c r="I62" s="89"/>
      <c r="J62" s="97" t="s">
        <v>101</v>
      </c>
      <c r="K62" s="98"/>
      <c r="L62" s="98"/>
      <c r="M62" s="98"/>
      <c r="N62" s="98"/>
      <c r="O62" s="98"/>
      <c r="P62" s="99"/>
    </row>
    <row r="63" spans="1:16" ht="15" customHeight="1" thickBot="1" x14ac:dyDescent="0.3">
      <c r="A63" s="5"/>
      <c r="B63" s="87"/>
      <c r="C63" s="88"/>
      <c r="D63" s="88"/>
      <c r="E63" s="88"/>
      <c r="F63" s="88"/>
      <c r="G63" s="88"/>
      <c r="H63" s="88"/>
      <c r="I63" s="89"/>
      <c r="J63" s="100" t="s">
        <v>36</v>
      </c>
      <c r="K63" s="101"/>
      <c r="L63" s="101"/>
      <c r="M63" s="101"/>
      <c r="N63" s="102"/>
      <c r="O63" s="103">
        <v>5.52</v>
      </c>
      <c r="P63" s="104"/>
    </row>
    <row r="64" spans="1:16" ht="15" customHeight="1" thickBot="1" x14ac:dyDescent="0.3">
      <c r="A64" s="5"/>
      <c r="B64" s="87"/>
      <c r="C64" s="88"/>
      <c r="D64" s="88"/>
      <c r="E64" s="88"/>
      <c r="F64" s="88"/>
      <c r="G64" s="88"/>
      <c r="H64" s="88"/>
      <c r="I64" s="88"/>
      <c r="J64" s="105" t="s">
        <v>52</v>
      </c>
      <c r="K64" s="106"/>
      <c r="L64" s="106"/>
      <c r="M64" s="106"/>
      <c r="N64" s="106"/>
      <c r="O64" s="107">
        <v>0.3266</v>
      </c>
      <c r="P64" s="108"/>
    </row>
    <row r="65" spans="1:16" ht="14.45" customHeight="1" thickBot="1" x14ac:dyDescent="0.3">
      <c r="A65" s="5"/>
      <c r="B65" s="90"/>
      <c r="C65" s="79"/>
      <c r="D65" s="79"/>
      <c r="E65" s="79"/>
      <c r="F65" s="79"/>
      <c r="G65" s="79"/>
      <c r="H65" s="79"/>
      <c r="I65" s="91"/>
      <c r="J65" s="109" t="s">
        <v>77</v>
      </c>
      <c r="K65" s="110"/>
      <c r="L65" s="110"/>
      <c r="M65" s="110"/>
      <c r="N65" s="110"/>
      <c r="O65" s="110"/>
      <c r="P65" s="111"/>
    </row>
    <row r="66" spans="1:16" ht="14.45" customHeight="1" thickBot="1" x14ac:dyDescent="0.3">
      <c r="A66" s="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</row>
    <row r="67" spans="1:16" ht="15.75" thickBot="1" x14ac:dyDescent="0.3">
      <c r="A67" s="80" t="s">
        <v>37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2"/>
    </row>
    <row r="68" spans="1:16" ht="141.6" customHeight="1" thickBot="1" x14ac:dyDescent="0.3">
      <c r="A68" s="4"/>
      <c r="B68" s="83"/>
      <c r="C68" s="84"/>
      <c r="D68" s="84"/>
      <c r="E68" s="84"/>
      <c r="F68" s="85"/>
      <c r="G68" s="83"/>
      <c r="H68" s="84"/>
      <c r="I68" s="84"/>
      <c r="J68" s="84"/>
      <c r="K68" s="84"/>
      <c r="L68" s="85"/>
      <c r="M68" s="83"/>
      <c r="N68" s="84"/>
      <c r="O68" s="84"/>
      <c r="P68" s="85"/>
    </row>
    <row r="69" spans="1:16" s="9" customFormat="1" ht="13.9" customHeight="1" thickBot="1" x14ac:dyDescent="0.3">
      <c r="A69" s="8" t="s">
        <v>78</v>
      </c>
      <c r="B69" s="86" t="s">
        <v>99</v>
      </c>
      <c r="C69" s="74"/>
      <c r="D69" s="74"/>
      <c r="E69" s="74"/>
      <c r="F69" s="75"/>
      <c r="G69" s="86" t="s">
        <v>80</v>
      </c>
      <c r="H69" s="74"/>
      <c r="I69" s="74"/>
      <c r="J69" s="74"/>
      <c r="K69" s="74"/>
      <c r="L69" s="75"/>
      <c r="M69" s="86"/>
      <c r="N69" s="74"/>
      <c r="O69" s="74"/>
      <c r="P69" s="75"/>
    </row>
    <row r="70" spans="1:16" ht="14.45" customHeight="1" x14ac:dyDescent="0.25">
      <c r="A70" s="7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</row>
    <row r="71" spans="1:16" ht="14.45" customHeight="1" thickBot="1" x14ac:dyDescent="0.3">
      <c r="A71" s="7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</row>
    <row r="72" spans="1:16" s="3" customFormat="1" ht="15.75" customHeight="1" thickBot="1" x14ac:dyDescent="0.25">
      <c r="A72" s="76" t="s">
        <v>38</v>
      </c>
      <c r="B72" s="77"/>
      <c r="C72" s="77"/>
      <c r="D72" s="77" t="s">
        <v>81</v>
      </c>
      <c r="E72" s="77"/>
      <c r="F72" s="77"/>
      <c r="G72" s="77"/>
      <c r="H72" s="77"/>
      <c r="I72" s="77"/>
      <c r="J72" s="77" t="s">
        <v>39</v>
      </c>
      <c r="K72" s="77"/>
      <c r="L72" s="77"/>
      <c r="M72" s="77"/>
      <c r="N72" s="77"/>
      <c r="O72" s="77"/>
      <c r="P72" s="78"/>
    </row>
  </sheetData>
  <mergeCells count="269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G49:H49"/>
    <mergeCell ref="I49:J49"/>
    <mergeCell ref="G50:H50"/>
    <mergeCell ref="I50:J50"/>
    <mergeCell ref="C51:C55"/>
    <mergeCell ref="D51:D55"/>
    <mergeCell ref="G51:H51"/>
    <mergeCell ref="I51:J51"/>
    <mergeCell ref="G52:H52"/>
    <mergeCell ref="I52:J52"/>
    <mergeCell ref="C46:C50"/>
    <mergeCell ref="D46:D50"/>
    <mergeCell ref="E46:E55"/>
    <mergeCell ref="G46:H46"/>
    <mergeCell ref="I46:J46"/>
    <mergeCell ref="G47:H47"/>
    <mergeCell ref="I47:J47"/>
    <mergeCell ref="G48:H48"/>
    <mergeCell ref="I48:J48"/>
    <mergeCell ref="B56:J57"/>
    <mergeCell ref="O56:O57"/>
    <mergeCell ref="P56:P57"/>
    <mergeCell ref="B58:P58"/>
    <mergeCell ref="B59:F59"/>
    <mergeCell ref="G59:L59"/>
    <mergeCell ref="M59:P59"/>
    <mergeCell ref="G53:H53"/>
    <mergeCell ref="I53:J53"/>
    <mergeCell ref="G54:H54"/>
    <mergeCell ref="I54:J54"/>
    <mergeCell ref="G55:H55"/>
    <mergeCell ref="I55:J55"/>
    <mergeCell ref="K46:K55"/>
    <mergeCell ref="L46:L55"/>
    <mergeCell ref="M46:M55"/>
    <mergeCell ref="N46:N55"/>
    <mergeCell ref="O46:O55"/>
    <mergeCell ref="P46:P55"/>
    <mergeCell ref="B46:B55"/>
    <mergeCell ref="B60:I65"/>
    <mergeCell ref="J60:P60"/>
    <mergeCell ref="K61:P61"/>
    <mergeCell ref="J62:P62"/>
    <mergeCell ref="J63:N63"/>
    <mergeCell ref="O63:P63"/>
    <mergeCell ref="J64:N64"/>
    <mergeCell ref="O64:P64"/>
    <mergeCell ref="J65:P65"/>
    <mergeCell ref="B70:P70"/>
    <mergeCell ref="B71:P71"/>
    <mergeCell ref="A72:C72"/>
    <mergeCell ref="D72:I72"/>
    <mergeCell ref="J72:K72"/>
    <mergeCell ref="L72:P72"/>
    <mergeCell ref="B66:P66"/>
    <mergeCell ref="A67:P67"/>
    <mergeCell ref="B68:F68"/>
    <mergeCell ref="G68:L68"/>
    <mergeCell ref="M68:P68"/>
    <mergeCell ref="B69:F69"/>
    <mergeCell ref="G69:L69"/>
    <mergeCell ref="M69:P69"/>
  </mergeCells>
  <printOptions horizontalCentered="1"/>
  <pageMargins left="0.35433070866141736" right="0.23622047244094491" top="0.74803149606299213" bottom="0.74803149606299213" header="0.19685039370078741" footer="0.31496062992125984"/>
  <pageSetup paperSize="5" scale="7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view="pageBreakPreview" topLeftCell="J1" zoomScale="110" zoomScaleSheetLayoutView="110" zoomScalePageLayoutView="110" workbookViewId="0">
      <selection activeCell="J5" sqref="A5:XFD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1"/>
      <c r="B2" s="320"/>
      <c r="C2" s="321"/>
      <c r="D2" s="322"/>
      <c r="E2" s="269" t="s">
        <v>54</v>
      </c>
      <c r="F2" s="270"/>
      <c r="G2" s="270"/>
      <c r="H2" s="270"/>
      <c r="I2" s="270"/>
      <c r="J2" s="270"/>
      <c r="K2" s="270"/>
      <c r="L2" s="270"/>
      <c r="M2" s="270"/>
      <c r="N2" s="270"/>
      <c r="O2" s="323"/>
      <c r="P2" s="273"/>
    </row>
    <row r="3" spans="1:16" s="2" customFormat="1" ht="20.45" customHeight="1" thickBot="1" x14ac:dyDescent="0.3">
      <c r="A3" s="11"/>
      <c r="B3" s="324"/>
      <c r="C3" s="325"/>
      <c r="D3" s="326"/>
      <c r="E3" s="271"/>
      <c r="F3" s="272"/>
      <c r="G3" s="272"/>
      <c r="H3" s="272"/>
      <c r="I3" s="272"/>
      <c r="J3" s="272"/>
      <c r="K3" s="272"/>
      <c r="L3" s="272"/>
      <c r="M3" s="272"/>
      <c r="N3" s="272"/>
      <c r="O3" s="327"/>
      <c r="P3" s="274"/>
    </row>
    <row r="4" spans="1:16" s="2" customFormat="1" ht="4.9000000000000004" customHeight="1" thickBot="1" x14ac:dyDescent="0.3">
      <c r="A4" s="11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</row>
    <row r="5" spans="1:16" s="17" customFormat="1" ht="26.25" customHeight="1" thickBot="1" x14ac:dyDescent="0.25">
      <c r="A5" s="16"/>
      <c r="B5" s="61" t="s">
        <v>0</v>
      </c>
      <c r="C5" s="276">
        <v>42943</v>
      </c>
      <c r="D5" s="259"/>
      <c r="E5" s="253" t="s">
        <v>1</v>
      </c>
      <c r="F5" s="254"/>
      <c r="G5" s="319">
        <v>5</v>
      </c>
      <c r="H5" s="258" t="s">
        <v>2</v>
      </c>
      <c r="I5" s="254"/>
      <c r="J5" s="316" t="s">
        <v>105</v>
      </c>
      <c r="K5" s="317"/>
      <c r="L5" s="317"/>
      <c r="M5" s="317"/>
      <c r="N5" s="317"/>
      <c r="O5" s="317"/>
      <c r="P5" s="318"/>
    </row>
    <row r="6" spans="1:16" s="19" customFormat="1" ht="11.25" customHeight="1" thickBot="1" x14ac:dyDescent="0.3">
      <c r="A6" s="18"/>
      <c r="B6" s="253" t="s">
        <v>3</v>
      </c>
      <c r="C6" s="254"/>
      <c r="D6" s="255" t="s">
        <v>95</v>
      </c>
      <c r="E6" s="255"/>
      <c r="F6" s="255"/>
      <c r="G6" s="255"/>
      <c r="H6" s="255"/>
      <c r="I6" s="255"/>
      <c r="J6" s="256"/>
      <c r="K6" s="257" t="s">
        <v>4</v>
      </c>
      <c r="L6" s="258"/>
      <c r="M6" s="259" t="s">
        <v>96</v>
      </c>
      <c r="N6" s="260"/>
      <c r="O6" s="259" t="s">
        <v>97</v>
      </c>
      <c r="P6" s="261"/>
    </row>
    <row r="7" spans="1:16" s="19" customFormat="1" ht="14.1" customHeight="1" x14ac:dyDescent="0.25">
      <c r="A7" s="18"/>
      <c r="B7" s="262" t="s">
        <v>55</v>
      </c>
      <c r="C7" s="242"/>
      <c r="D7" s="242"/>
      <c r="E7" s="263"/>
      <c r="F7" s="264" t="s">
        <v>11</v>
      </c>
      <c r="G7" s="265"/>
      <c r="H7" s="266"/>
      <c r="I7" s="20">
        <v>0.4680555555555555</v>
      </c>
      <c r="J7" s="267" t="s">
        <v>83</v>
      </c>
      <c r="K7" s="268"/>
      <c r="L7" s="21">
        <v>0.95</v>
      </c>
      <c r="M7" s="262" t="s">
        <v>14</v>
      </c>
      <c r="N7" s="242"/>
      <c r="O7" s="242"/>
      <c r="P7" s="22">
        <v>9</v>
      </c>
    </row>
    <row r="8" spans="1:16" s="19" customFormat="1" ht="14.1" customHeight="1" thickBot="1" x14ac:dyDescent="0.3">
      <c r="A8" s="18"/>
      <c r="B8" s="231" t="s">
        <v>6</v>
      </c>
      <c r="C8" s="232"/>
      <c r="D8" s="232"/>
      <c r="E8" s="233"/>
      <c r="F8" s="23" t="s">
        <v>15</v>
      </c>
      <c r="G8" s="24"/>
      <c r="H8" s="25"/>
      <c r="I8" s="26">
        <v>0.47916666666666669</v>
      </c>
      <c r="J8" s="234" t="s">
        <v>84</v>
      </c>
      <c r="K8" s="235"/>
      <c r="L8" s="21">
        <v>0.95</v>
      </c>
      <c r="M8" s="236" t="s">
        <v>18</v>
      </c>
      <c r="N8" s="216"/>
      <c r="O8" s="216"/>
      <c r="P8" s="27">
        <v>1</v>
      </c>
    </row>
    <row r="9" spans="1:16" s="19" customFormat="1" ht="14.1" customHeight="1" x14ac:dyDescent="0.25">
      <c r="A9" s="28"/>
      <c r="B9" s="237" t="s">
        <v>7</v>
      </c>
      <c r="C9" s="238"/>
      <c r="D9" s="240" t="s">
        <v>8</v>
      </c>
      <c r="E9" s="242" t="s">
        <v>9</v>
      </c>
      <c r="F9" s="242"/>
      <c r="G9" s="242"/>
      <c r="H9" s="29"/>
      <c r="I9" s="243" t="s">
        <v>56</v>
      </c>
      <c r="J9" s="244"/>
      <c r="K9" s="247">
        <v>0</v>
      </c>
      <c r="L9" s="249" t="s">
        <v>13</v>
      </c>
      <c r="M9" s="250"/>
      <c r="N9" s="250"/>
      <c r="O9" s="251">
        <v>12</v>
      </c>
      <c r="P9" s="252"/>
    </row>
    <row r="10" spans="1:16" s="19" customFormat="1" ht="14.1" customHeight="1" thickBot="1" x14ac:dyDescent="0.3">
      <c r="A10" s="28"/>
      <c r="B10" s="117"/>
      <c r="C10" s="239"/>
      <c r="D10" s="241"/>
      <c r="E10" s="216" t="s">
        <v>10</v>
      </c>
      <c r="F10" s="216"/>
      <c r="G10" s="216"/>
      <c r="H10" s="30" t="s">
        <v>5</v>
      </c>
      <c r="I10" s="245"/>
      <c r="J10" s="246"/>
      <c r="K10" s="248"/>
      <c r="L10" s="217" t="s">
        <v>17</v>
      </c>
      <c r="M10" s="218"/>
      <c r="N10" s="218"/>
      <c r="O10" s="219">
        <v>0.48125000000000001</v>
      </c>
      <c r="P10" s="220"/>
    </row>
    <row r="11" spans="1:16" s="32" customFormat="1" ht="21.6" customHeight="1" x14ac:dyDescent="0.2">
      <c r="A11" s="12"/>
      <c r="B11" s="221" t="s">
        <v>19</v>
      </c>
      <c r="C11" s="224" t="s">
        <v>57</v>
      </c>
      <c r="D11" s="224"/>
      <c r="E11" s="224"/>
      <c r="F11" s="31"/>
      <c r="G11" s="225" t="s">
        <v>58</v>
      </c>
      <c r="H11" s="225"/>
      <c r="I11" s="225"/>
      <c r="J11" s="225"/>
      <c r="K11" s="225"/>
      <c r="L11" s="226"/>
      <c r="M11" s="225" t="s">
        <v>59</v>
      </c>
      <c r="N11" s="225"/>
      <c r="O11" s="225"/>
      <c r="P11" s="229"/>
    </row>
    <row r="12" spans="1:16" s="32" customFormat="1" ht="21.6" customHeight="1" x14ac:dyDescent="0.2">
      <c r="A12" s="12"/>
      <c r="B12" s="222"/>
      <c r="C12" s="230" t="s">
        <v>60</v>
      </c>
      <c r="D12" s="230"/>
      <c r="E12" s="230"/>
      <c r="F12" s="33"/>
      <c r="G12" s="194" t="s">
        <v>63</v>
      </c>
      <c r="H12" s="194"/>
      <c r="I12" s="194"/>
      <c r="J12" s="194"/>
      <c r="K12" s="194"/>
      <c r="L12" s="227"/>
      <c r="M12" s="194" t="s">
        <v>62</v>
      </c>
      <c r="N12" s="194"/>
      <c r="O12" s="194"/>
      <c r="P12" s="195"/>
    </row>
    <row r="13" spans="1:16" s="32" customFormat="1" ht="21.6" customHeight="1" thickBot="1" x14ac:dyDescent="0.25">
      <c r="A13" s="12"/>
      <c r="B13" s="223"/>
      <c r="C13" s="196"/>
      <c r="D13" s="197"/>
      <c r="E13" s="197"/>
      <c r="F13" s="197"/>
      <c r="G13" s="198" t="s">
        <v>61</v>
      </c>
      <c r="H13" s="198"/>
      <c r="I13" s="198"/>
      <c r="J13" s="198"/>
      <c r="K13" s="198"/>
      <c r="L13" s="228"/>
      <c r="M13" s="198" t="s">
        <v>64</v>
      </c>
      <c r="N13" s="198"/>
      <c r="O13" s="198"/>
      <c r="P13" s="199"/>
    </row>
    <row r="14" spans="1:16" ht="16.5" customHeight="1" x14ac:dyDescent="0.25">
      <c r="A14" s="5"/>
      <c r="B14" s="200" t="s">
        <v>20</v>
      </c>
      <c r="C14" s="202" t="s">
        <v>21</v>
      </c>
      <c r="D14" s="202" t="s">
        <v>42</v>
      </c>
      <c r="E14" s="204" t="s">
        <v>22</v>
      </c>
      <c r="F14" s="206" t="s">
        <v>43</v>
      </c>
      <c r="G14" s="207"/>
      <c r="H14" s="208"/>
      <c r="I14" s="212" t="s">
        <v>44</v>
      </c>
      <c r="J14" s="213"/>
      <c r="K14" s="34"/>
      <c r="L14" s="35" t="s">
        <v>45</v>
      </c>
      <c r="M14" s="35" t="s">
        <v>46</v>
      </c>
      <c r="N14" s="35" t="s">
        <v>46</v>
      </c>
      <c r="O14" s="35" t="s">
        <v>47</v>
      </c>
      <c r="P14" s="36" t="s">
        <v>23</v>
      </c>
    </row>
    <row r="15" spans="1:16" ht="14.1" customHeight="1" thickBot="1" x14ac:dyDescent="0.3">
      <c r="A15" s="5"/>
      <c r="B15" s="201"/>
      <c r="C15" s="203"/>
      <c r="D15" s="203"/>
      <c r="E15" s="205"/>
      <c r="F15" s="209"/>
      <c r="G15" s="210"/>
      <c r="H15" s="211"/>
      <c r="I15" s="214" t="s">
        <v>24</v>
      </c>
      <c r="J15" s="215"/>
      <c r="K15" s="37" t="s">
        <v>25</v>
      </c>
      <c r="L15" s="37" t="s">
        <v>48</v>
      </c>
      <c r="M15" s="37" t="s">
        <v>49</v>
      </c>
      <c r="N15" s="37" t="s">
        <v>26</v>
      </c>
      <c r="O15" s="37" t="s">
        <v>27</v>
      </c>
      <c r="P15" s="38" t="s">
        <v>28</v>
      </c>
    </row>
    <row r="16" spans="1:16" s="3" customFormat="1" ht="14.1" customHeight="1" x14ac:dyDescent="0.2">
      <c r="A16" s="12"/>
      <c r="B16" s="157">
        <v>1</v>
      </c>
      <c r="C16" s="151">
        <f>K9</f>
        <v>0</v>
      </c>
      <c r="D16" s="162">
        <v>4.5999999999999999E-2</v>
      </c>
      <c r="E16" s="142">
        <v>5.1999999999999998E-2</v>
      </c>
      <c r="F16" s="39" t="s">
        <v>65</v>
      </c>
      <c r="G16" s="151" t="str">
        <f t="shared" ref="G16" si="0">IF(E16&lt;0.12,"NA",IF(E16&gt;=0.12,0.2*E16))</f>
        <v>NA</v>
      </c>
      <c r="H16" s="151"/>
      <c r="I16" s="164"/>
      <c r="J16" s="164"/>
      <c r="K16" s="142">
        <f>ROUND(+IF(E16&lt;0.12,(I17),(IF(E16&gt;=0.12,((I16+2*I17+I18)/4)))),3)</f>
        <v>0.22800000000000001</v>
      </c>
      <c r="L16" s="142">
        <f>ROUND(+(D16+D18)/2*(C18-C16),3)</f>
        <v>4.9000000000000002E-2</v>
      </c>
      <c r="M16" s="145">
        <f>ROUND(+K16*L16,4)</f>
        <v>1.12E-2</v>
      </c>
      <c r="N16" s="148">
        <f>ROUND(+M16/$M$53*100,1)</f>
        <v>6.4</v>
      </c>
      <c r="O16" s="151"/>
      <c r="P16" s="154"/>
    </row>
    <row r="17" spans="1:16" s="3" customFormat="1" ht="14.1" customHeight="1" x14ac:dyDescent="0.2">
      <c r="A17" s="12"/>
      <c r="B17" s="158"/>
      <c r="C17" s="152"/>
      <c r="D17" s="163"/>
      <c r="E17" s="143"/>
      <c r="F17" s="40" t="s">
        <v>66</v>
      </c>
      <c r="G17" s="161">
        <f t="shared" ref="G17" si="1">IF(E16&lt;0.12,0.6*E16,IF(E16&gt;=0.12,0.6*E16))</f>
        <v>3.1199999999999999E-2</v>
      </c>
      <c r="H17" s="161"/>
      <c r="I17" s="165">
        <v>0.22800000000000001</v>
      </c>
      <c r="J17" s="165"/>
      <c r="K17" s="143"/>
      <c r="L17" s="143"/>
      <c r="M17" s="146"/>
      <c r="N17" s="149"/>
      <c r="O17" s="152"/>
      <c r="P17" s="155"/>
    </row>
    <row r="18" spans="1:16" s="3" customFormat="1" ht="13.9" customHeight="1" thickBot="1" x14ac:dyDescent="0.25">
      <c r="A18" s="12"/>
      <c r="B18" s="159"/>
      <c r="C18" s="43">
        <f>C16+P8</f>
        <v>1</v>
      </c>
      <c r="D18" s="53">
        <v>5.1999999999999998E-2</v>
      </c>
      <c r="E18" s="144"/>
      <c r="F18" s="41" t="s">
        <v>67</v>
      </c>
      <c r="G18" s="166" t="str">
        <f t="shared" ref="G18" si="2">IF(E16&lt;0.12,"NA",IF(E16&gt;=0.12,0.8*E16))</f>
        <v>NA</v>
      </c>
      <c r="H18" s="166"/>
      <c r="I18" s="167"/>
      <c r="J18" s="167"/>
      <c r="K18" s="144"/>
      <c r="L18" s="144"/>
      <c r="M18" s="147"/>
      <c r="N18" s="150"/>
      <c r="O18" s="168"/>
      <c r="P18" s="172"/>
    </row>
    <row r="19" spans="1:16" s="3" customFormat="1" ht="14.1" customHeight="1" x14ac:dyDescent="0.2">
      <c r="A19" s="12"/>
      <c r="B19" s="157">
        <v>2</v>
      </c>
      <c r="C19" s="151">
        <f>C18</f>
        <v>1</v>
      </c>
      <c r="D19" s="162">
        <f>D18</f>
        <v>5.1999999999999998E-2</v>
      </c>
      <c r="E19" s="142">
        <v>4.4999999999999998E-2</v>
      </c>
      <c r="F19" s="39" t="s">
        <v>65</v>
      </c>
      <c r="G19" s="151" t="str">
        <f t="shared" ref="G19" si="3">IF(E19&lt;0.12,"NA",IF(E19&gt;=0.12,0.2*E19))</f>
        <v>NA</v>
      </c>
      <c r="H19" s="151"/>
      <c r="I19" s="164"/>
      <c r="J19" s="164"/>
      <c r="K19" s="142">
        <f t="shared" ref="K19" si="4">ROUND(+IF(E19&lt;0.12,(I20),(IF(E19&gt;=0.12,((I19+2*I20+I21)/4)))),3)</f>
        <v>0.32100000000000001</v>
      </c>
      <c r="L19" s="142">
        <f>ROUND(+(D19+D21)/2*(C21-C19),3)</f>
        <v>6.0999999999999999E-2</v>
      </c>
      <c r="M19" s="145">
        <f>ROUND(+K19*L19,4)</f>
        <v>1.9599999999999999E-2</v>
      </c>
      <c r="N19" s="148">
        <f t="shared" ref="N19" si="5">ROUND(+M19/$M$53*100,1)</f>
        <v>11.2</v>
      </c>
      <c r="O19" s="151"/>
      <c r="P19" s="154"/>
    </row>
    <row r="20" spans="1:16" s="3" customFormat="1" ht="14.1" customHeight="1" x14ac:dyDescent="0.2">
      <c r="A20" s="12"/>
      <c r="B20" s="158"/>
      <c r="C20" s="152"/>
      <c r="D20" s="163"/>
      <c r="E20" s="143"/>
      <c r="F20" s="40" t="s">
        <v>66</v>
      </c>
      <c r="G20" s="161">
        <f t="shared" ref="G20" si="6">IF(E19&lt;0.12,0.6*E19,IF(E19&gt;=0.12,0.6*E19))</f>
        <v>2.7E-2</v>
      </c>
      <c r="H20" s="161"/>
      <c r="I20" s="165">
        <v>0.32100000000000001</v>
      </c>
      <c r="J20" s="165"/>
      <c r="K20" s="143"/>
      <c r="L20" s="143"/>
      <c r="M20" s="146"/>
      <c r="N20" s="149"/>
      <c r="O20" s="152"/>
      <c r="P20" s="155"/>
    </row>
    <row r="21" spans="1:16" s="3" customFormat="1" ht="13.9" customHeight="1" thickBot="1" x14ac:dyDescent="0.25">
      <c r="A21" s="12"/>
      <c r="B21" s="159"/>
      <c r="C21" s="43">
        <f>C19+P8</f>
        <v>2</v>
      </c>
      <c r="D21" s="53">
        <v>7.0000000000000007E-2</v>
      </c>
      <c r="E21" s="144"/>
      <c r="F21" s="41" t="s">
        <v>67</v>
      </c>
      <c r="G21" s="166" t="str">
        <f t="shared" ref="G21" si="7">IF(E19&lt;0.12,"NA",IF(E19&gt;=0.12,0.8*E19))</f>
        <v>NA</v>
      </c>
      <c r="H21" s="166"/>
      <c r="I21" s="167"/>
      <c r="J21" s="167"/>
      <c r="K21" s="144"/>
      <c r="L21" s="144"/>
      <c r="M21" s="147"/>
      <c r="N21" s="150"/>
      <c r="O21" s="168"/>
      <c r="P21" s="172"/>
    </row>
    <row r="22" spans="1:16" s="3" customFormat="1" ht="14.1" customHeight="1" x14ac:dyDescent="0.2">
      <c r="A22" s="12"/>
      <c r="B22" s="157">
        <v>3</v>
      </c>
      <c r="C22" s="151">
        <f>C21</f>
        <v>2</v>
      </c>
      <c r="D22" s="162">
        <f>D21</f>
        <v>7.0000000000000007E-2</v>
      </c>
      <c r="E22" s="142">
        <v>7.0000000000000007E-2</v>
      </c>
      <c r="F22" s="39" t="s">
        <v>65</v>
      </c>
      <c r="G22" s="151" t="str">
        <f t="shared" ref="G22" si="8">IF(E22&lt;0.12,"NA",IF(E22&gt;=0.12,0.2*E22))</f>
        <v>NA</v>
      </c>
      <c r="H22" s="151"/>
      <c r="I22" s="164"/>
      <c r="J22" s="164"/>
      <c r="K22" s="142">
        <f t="shared" ref="K22" si="9">ROUND(+IF(E22&lt;0.12,(I23),(IF(E22&gt;=0.12,((I22+2*I23+I24)/4)))),3)</f>
        <v>0.39600000000000002</v>
      </c>
      <c r="L22" s="142">
        <f>ROUND(+(D22+D24)/2*(C24-C22),3)</f>
        <v>7.1999999999999995E-2</v>
      </c>
      <c r="M22" s="145">
        <f>ROUND(+K22*L22,4)</f>
        <v>2.8500000000000001E-2</v>
      </c>
      <c r="N22" s="148">
        <f t="shared" ref="N22" si="10">ROUND(+M22/$M$53*100,1)</f>
        <v>16.2</v>
      </c>
      <c r="O22" s="151"/>
      <c r="P22" s="154"/>
    </row>
    <row r="23" spans="1:16" s="3" customFormat="1" ht="14.1" customHeight="1" x14ac:dyDescent="0.2">
      <c r="A23" s="12"/>
      <c r="B23" s="158"/>
      <c r="C23" s="152"/>
      <c r="D23" s="163"/>
      <c r="E23" s="143"/>
      <c r="F23" s="40" t="s">
        <v>66</v>
      </c>
      <c r="G23" s="161">
        <f t="shared" ref="G23" si="11">IF(E22&lt;0.12,0.6*E22,IF(E22&gt;=0.12,0.6*E22))</f>
        <v>4.2000000000000003E-2</v>
      </c>
      <c r="H23" s="161"/>
      <c r="I23" s="165">
        <v>0.39600000000000002</v>
      </c>
      <c r="J23" s="165"/>
      <c r="K23" s="143"/>
      <c r="L23" s="143"/>
      <c r="M23" s="146"/>
      <c r="N23" s="149"/>
      <c r="O23" s="152"/>
      <c r="P23" s="155"/>
    </row>
    <row r="24" spans="1:16" s="3" customFormat="1" ht="13.9" customHeight="1" thickBot="1" x14ac:dyDescent="0.25">
      <c r="A24" s="12"/>
      <c r="B24" s="159"/>
      <c r="C24" s="43">
        <f>C22+P8</f>
        <v>3</v>
      </c>
      <c r="D24" s="53">
        <v>7.2999999999999995E-2</v>
      </c>
      <c r="E24" s="144"/>
      <c r="F24" s="41" t="s">
        <v>67</v>
      </c>
      <c r="G24" s="166" t="str">
        <f t="shared" ref="G24" si="12">IF(E22&lt;0.12,"NA",IF(E22&gt;=0.12,0.8*E22))</f>
        <v>NA</v>
      </c>
      <c r="H24" s="166"/>
      <c r="I24" s="167"/>
      <c r="J24" s="167"/>
      <c r="K24" s="144"/>
      <c r="L24" s="144"/>
      <c r="M24" s="147"/>
      <c r="N24" s="150"/>
      <c r="O24" s="168"/>
      <c r="P24" s="172"/>
    </row>
    <row r="25" spans="1:16" s="3" customFormat="1" ht="14.1" customHeight="1" x14ac:dyDescent="0.2">
      <c r="A25" s="12"/>
      <c r="B25" s="157">
        <v>4</v>
      </c>
      <c r="C25" s="151">
        <f>C24</f>
        <v>3</v>
      </c>
      <c r="D25" s="162">
        <f>D24</f>
        <v>7.2999999999999995E-2</v>
      </c>
      <c r="E25" s="142">
        <v>5.2999999999999999E-2</v>
      </c>
      <c r="F25" s="39" t="s">
        <v>65</v>
      </c>
      <c r="G25" s="151" t="str">
        <f t="shared" ref="G25" si="13">IF(E25&lt;0.12,"NA",IF(E25&gt;=0.12,0.2*E25))</f>
        <v>NA</v>
      </c>
      <c r="H25" s="151"/>
      <c r="I25" s="164"/>
      <c r="J25" s="164"/>
      <c r="K25" s="142">
        <f t="shared" ref="K25" si="14">ROUND(+IF(E25&lt;0.12,(I26),(IF(E25&gt;=0.12,((I25+2*I26+I27)/4)))),3)</f>
        <v>0.371</v>
      </c>
      <c r="L25" s="142">
        <f>ROUND(+(D25+D27)/2*(C27-C25),3)</f>
        <v>4.8000000000000001E-2</v>
      </c>
      <c r="M25" s="145">
        <f>ROUND(+K25*L25,4)</f>
        <v>1.78E-2</v>
      </c>
      <c r="N25" s="148">
        <f t="shared" ref="N25" si="15">ROUND(+M25/$M$53*100,1)</f>
        <v>10.1</v>
      </c>
      <c r="O25" s="151"/>
      <c r="P25" s="154"/>
    </row>
    <row r="26" spans="1:16" s="3" customFormat="1" ht="14.1" customHeight="1" x14ac:dyDescent="0.2">
      <c r="A26" s="12"/>
      <c r="B26" s="158"/>
      <c r="C26" s="152"/>
      <c r="D26" s="163"/>
      <c r="E26" s="143"/>
      <c r="F26" s="40" t="s">
        <v>66</v>
      </c>
      <c r="G26" s="161">
        <f t="shared" ref="G26" si="16">IF(E25&lt;0.12,0.6*E25,IF(E25&gt;=0.12,0.6*E25))</f>
        <v>3.1799999999999995E-2</v>
      </c>
      <c r="H26" s="161"/>
      <c r="I26" s="165">
        <v>0.371</v>
      </c>
      <c r="J26" s="165"/>
      <c r="K26" s="143"/>
      <c r="L26" s="143"/>
      <c r="M26" s="146"/>
      <c r="N26" s="149"/>
      <c r="O26" s="152"/>
      <c r="P26" s="155"/>
    </row>
    <row r="27" spans="1:16" s="3" customFormat="1" ht="13.9" customHeight="1" thickBot="1" x14ac:dyDescent="0.25">
      <c r="A27" s="12"/>
      <c r="B27" s="159"/>
      <c r="C27" s="43">
        <f>C25+P8</f>
        <v>4</v>
      </c>
      <c r="D27" s="53">
        <v>2.1999999999999999E-2</v>
      </c>
      <c r="E27" s="144"/>
      <c r="F27" s="41" t="s">
        <v>67</v>
      </c>
      <c r="G27" s="166" t="str">
        <f t="shared" ref="G27" si="17">IF(E25&lt;0.12,"NA",IF(E25&gt;=0.12,0.8*E25))</f>
        <v>NA</v>
      </c>
      <c r="H27" s="166"/>
      <c r="I27" s="167"/>
      <c r="J27" s="167"/>
      <c r="K27" s="144"/>
      <c r="L27" s="144"/>
      <c r="M27" s="147"/>
      <c r="N27" s="150"/>
      <c r="O27" s="168"/>
      <c r="P27" s="172"/>
    </row>
    <row r="28" spans="1:16" s="3" customFormat="1" ht="14.1" customHeight="1" x14ac:dyDescent="0.2">
      <c r="A28" s="12"/>
      <c r="B28" s="157">
        <v>5</v>
      </c>
      <c r="C28" s="151">
        <f>C27</f>
        <v>4</v>
      </c>
      <c r="D28" s="162">
        <f>D27</f>
        <v>2.1999999999999999E-2</v>
      </c>
      <c r="E28" s="142">
        <v>1.7000000000000001E-2</v>
      </c>
      <c r="F28" s="39" t="s">
        <v>65</v>
      </c>
      <c r="G28" s="151" t="str">
        <f t="shared" ref="G28" si="18">IF(E28&lt;0.12,"NA",IF(E28&gt;=0.12,0.2*E28))</f>
        <v>NA</v>
      </c>
      <c r="H28" s="151"/>
      <c r="I28" s="164"/>
      <c r="J28" s="164"/>
      <c r="K28" s="142">
        <f t="shared" ref="K28" si="19">ROUND(+IF(E28&lt;0.12,(I29),(IF(E28&gt;=0.12,((I28+2*I29+I30)/4)))),3)</f>
        <v>0.316</v>
      </c>
      <c r="L28" s="142">
        <f>ROUND(+(D28+D30)/2*(C30-C28),3)</f>
        <v>2.1000000000000001E-2</v>
      </c>
      <c r="M28" s="145">
        <f>ROUND(+K28*L28,4)</f>
        <v>6.6E-3</v>
      </c>
      <c r="N28" s="148">
        <f t="shared" ref="N28" si="20">ROUND(+M28/$M$53*100,1)</f>
        <v>3.8</v>
      </c>
      <c r="O28" s="151"/>
      <c r="P28" s="154"/>
    </row>
    <row r="29" spans="1:16" s="3" customFormat="1" ht="14.1" customHeight="1" x14ac:dyDescent="0.2">
      <c r="A29" s="12"/>
      <c r="B29" s="158"/>
      <c r="C29" s="152"/>
      <c r="D29" s="163"/>
      <c r="E29" s="143"/>
      <c r="F29" s="40" t="s">
        <v>66</v>
      </c>
      <c r="G29" s="161">
        <f t="shared" ref="G29" si="21">IF(E28&lt;0.12,0.6*E28,IF(E28&gt;=0.12,0.6*E28))</f>
        <v>1.0200000000000001E-2</v>
      </c>
      <c r="H29" s="161"/>
      <c r="I29" s="165">
        <v>0.316</v>
      </c>
      <c r="J29" s="165"/>
      <c r="K29" s="143"/>
      <c r="L29" s="143"/>
      <c r="M29" s="146"/>
      <c r="N29" s="149"/>
      <c r="O29" s="152"/>
      <c r="P29" s="155"/>
    </row>
    <row r="30" spans="1:16" s="3" customFormat="1" ht="13.9" customHeight="1" thickBot="1" x14ac:dyDescent="0.25">
      <c r="A30" s="12"/>
      <c r="B30" s="159"/>
      <c r="C30" s="43">
        <f>C28+P8</f>
        <v>5</v>
      </c>
      <c r="D30" s="53">
        <v>0.02</v>
      </c>
      <c r="E30" s="144"/>
      <c r="F30" s="41" t="s">
        <v>67</v>
      </c>
      <c r="G30" s="166" t="str">
        <f t="shared" ref="G30" si="22">IF(E28&lt;0.12,"NA",IF(E28&gt;=0.12,0.8*E28))</f>
        <v>NA</v>
      </c>
      <c r="H30" s="166"/>
      <c r="I30" s="167"/>
      <c r="J30" s="167"/>
      <c r="K30" s="144"/>
      <c r="L30" s="144"/>
      <c r="M30" s="147"/>
      <c r="N30" s="150"/>
      <c r="O30" s="168"/>
      <c r="P30" s="172"/>
    </row>
    <row r="31" spans="1:16" s="3" customFormat="1" ht="14.1" customHeight="1" x14ac:dyDescent="0.2">
      <c r="A31" s="12"/>
      <c r="B31" s="157">
        <v>6</v>
      </c>
      <c r="C31" s="151">
        <f>C30</f>
        <v>5</v>
      </c>
      <c r="D31" s="162">
        <f>D30</f>
        <v>0.02</v>
      </c>
      <c r="E31" s="142">
        <v>5.5E-2</v>
      </c>
      <c r="F31" s="39" t="s">
        <v>65</v>
      </c>
      <c r="G31" s="151" t="str">
        <f t="shared" ref="G31" si="23">IF(E31&lt;0.12,"NA",IF(E31&gt;=0.12,0.2*E31))</f>
        <v>NA</v>
      </c>
      <c r="H31" s="151"/>
      <c r="I31" s="164"/>
      <c r="J31" s="164"/>
      <c r="K31" s="142">
        <f t="shared" ref="K31" si="24">ROUND(+IF(E31&lt;0.12,(I32),(IF(E31&gt;=0.12,((I31+2*I32+I33)/4)))),3)</f>
        <v>0.39</v>
      </c>
      <c r="L31" s="142">
        <f>ROUND(+(D31+D33)/2*(C33-C31),3)</f>
        <v>4.2999999999999997E-2</v>
      </c>
      <c r="M31" s="145">
        <f>ROUND(+K31*L31,4)</f>
        <v>1.6799999999999999E-2</v>
      </c>
      <c r="N31" s="148">
        <f>ROUND(+M31/$M$53*100,1)</f>
        <v>9.6</v>
      </c>
      <c r="O31" s="151"/>
      <c r="P31" s="154"/>
    </row>
    <row r="32" spans="1:16" s="3" customFormat="1" ht="14.1" customHeight="1" x14ac:dyDescent="0.2">
      <c r="A32" s="12"/>
      <c r="B32" s="158"/>
      <c r="C32" s="152"/>
      <c r="D32" s="163"/>
      <c r="E32" s="143"/>
      <c r="F32" s="40" t="s">
        <v>66</v>
      </c>
      <c r="G32" s="161">
        <f t="shared" ref="G32" si="25">IF(E31&lt;0.12,0.6*E31,IF(E31&gt;=0.12,0.6*E31))</f>
        <v>3.3000000000000002E-2</v>
      </c>
      <c r="H32" s="161"/>
      <c r="I32" s="165">
        <v>0.39</v>
      </c>
      <c r="J32" s="165"/>
      <c r="K32" s="143"/>
      <c r="L32" s="143"/>
      <c r="M32" s="146"/>
      <c r="N32" s="149"/>
      <c r="O32" s="152"/>
      <c r="P32" s="155"/>
    </row>
    <row r="33" spans="1:18" s="3" customFormat="1" ht="13.9" customHeight="1" thickBot="1" x14ac:dyDescent="0.25">
      <c r="A33" s="12"/>
      <c r="B33" s="159"/>
      <c r="C33" s="43">
        <f>C31+P8</f>
        <v>6</v>
      </c>
      <c r="D33" s="53">
        <v>6.5000000000000002E-2</v>
      </c>
      <c r="E33" s="144"/>
      <c r="F33" s="41" t="s">
        <v>67</v>
      </c>
      <c r="G33" s="166" t="str">
        <f t="shared" ref="G33" si="26">IF(E31&lt;0.12,"NA",IF(E31&gt;=0.12,0.8*E31))</f>
        <v>NA</v>
      </c>
      <c r="H33" s="166"/>
      <c r="I33" s="167"/>
      <c r="J33" s="167"/>
      <c r="K33" s="144"/>
      <c r="L33" s="144"/>
      <c r="M33" s="147"/>
      <c r="N33" s="150"/>
      <c r="O33" s="168"/>
      <c r="P33" s="172"/>
    </row>
    <row r="34" spans="1:18" s="3" customFormat="1" ht="14.1" customHeight="1" x14ac:dyDescent="0.2">
      <c r="A34" s="12"/>
      <c r="B34" s="157">
        <v>7</v>
      </c>
      <c r="C34" s="151">
        <f>C33</f>
        <v>6</v>
      </c>
      <c r="D34" s="162">
        <f>D33</f>
        <v>6.5000000000000002E-2</v>
      </c>
      <c r="E34" s="142">
        <v>6.5000000000000002E-2</v>
      </c>
      <c r="F34" s="39" t="s">
        <v>65</v>
      </c>
      <c r="G34" s="151" t="str">
        <f t="shared" ref="G34" si="27">IF(E34&lt;0.12,"NA",IF(E34&gt;=0.12,0.2*E34))</f>
        <v>NA</v>
      </c>
      <c r="H34" s="151"/>
      <c r="I34" s="164"/>
      <c r="J34" s="164"/>
      <c r="K34" s="142">
        <f t="shared" ref="K34" si="28">ROUND(+IF(E34&lt;0.12,(I35),(IF(E34&gt;=0.12,((I34+2*I35+I36)/4)))),3)</f>
        <v>0.27200000000000002</v>
      </c>
      <c r="L34" s="142">
        <f>ROUND(+(D34+D36)/2*(C36-C34),3)</f>
        <v>6.3E-2</v>
      </c>
      <c r="M34" s="145">
        <f>ROUND(+K34*L34,4)</f>
        <v>1.7100000000000001E-2</v>
      </c>
      <c r="N34" s="148">
        <f t="shared" ref="N34" si="29">ROUND(+M34/$M$53*100,1)</f>
        <v>9.6999999999999993</v>
      </c>
      <c r="O34" s="151"/>
      <c r="P34" s="154"/>
    </row>
    <row r="35" spans="1:18" s="3" customFormat="1" ht="14.1" customHeight="1" x14ac:dyDescent="0.2">
      <c r="A35" s="12"/>
      <c r="B35" s="158"/>
      <c r="C35" s="152"/>
      <c r="D35" s="163"/>
      <c r="E35" s="143"/>
      <c r="F35" s="40" t="s">
        <v>66</v>
      </c>
      <c r="G35" s="161">
        <f t="shared" ref="G35" si="30">IF(E34&lt;0.12,0.6*E34,IF(E34&gt;=0.12,0.6*E34))</f>
        <v>3.9E-2</v>
      </c>
      <c r="H35" s="161"/>
      <c r="I35" s="165">
        <v>0.27200000000000002</v>
      </c>
      <c r="J35" s="165"/>
      <c r="K35" s="143"/>
      <c r="L35" s="143"/>
      <c r="M35" s="146"/>
      <c r="N35" s="149"/>
      <c r="O35" s="152"/>
      <c r="P35" s="155"/>
    </row>
    <row r="36" spans="1:18" s="3" customFormat="1" ht="13.9" customHeight="1" thickBot="1" x14ac:dyDescent="0.25">
      <c r="A36" s="12"/>
      <c r="B36" s="159"/>
      <c r="C36" s="43">
        <f>C34+P8</f>
        <v>7</v>
      </c>
      <c r="D36" s="53">
        <v>0.06</v>
      </c>
      <c r="E36" s="144"/>
      <c r="F36" s="41" t="s">
        <v>67</v>
      </c>
      <c r="G36" s="166" t="str">
        <f t="shared" ref="G36" si="31">IF(E34&lt;0.12,"NA",IF(E34&gt;=0.12,0.8*E34))</f>
        <v>NA</v>
      </c>
      <c r="H36" s="166"/>
      <c r="I36" s="167"/>
      <c r="J36" s="167"/>
      <c r="K36" s="144"/>
      <c r="L36" s="144"/>
      <c r="M36" s="147"/>
      <c r="N36" s="150"/>
      <c r="O36" s="168"/>
      <c r="P36" s="172"/>
    </row>
    <row r="37" spans="1:18" s="3" customFormat="1" ht="14.1" customHeight="1" x14ac:dyDescent="0.2">
      <c r="A37" s="12"/>
      <c r="B37" s="157">
        <v>8</v>
      </c>
      <c r="C37" s="151">
        <f>C36</f>
        <v>7</v>
      </c>
      <c r="D37" s="162">
        <f>D36</f>
        <v>0.06</v>
      </c>
      <c r="E37" s="142">
        <v>7.0000000000000007E-2</v>
      </c>
      <c r="F37" s="39" t="s">
        <v>65</v>
      </c>
      <c r="G37" s="151" t="str">
        <f t="shared" ref="G37" si="32">IF(E37&lt;0.12,"NA",IF(E37&gt;=0.12,0.2*E37))</f>
        <v>NA</v>
      </c>
      <c r="H37" s="151"/>
      <c r="I37" s="164"/>
      <c r="J37" s="164"/>
      <c r="K37" s="142">
        <f t="shared" ref="K37" si="33">ROUND(+IF(E37&lt;0.12,(I38),(IF(E37&gt;=0.12,((I37+2*I38+I39)/4)))),3)</f>
        <v>0.378</v>
      </c>
      <c r="L37" s="142">
        <f>ROUND(+(D37+D39)/2*(C39-C37),3)</f>
        <v>7.9000000000000001E-2</v>
      </c>
      <c r="M37" s="145">
        <f>ROUND(+K37*L37,4)</f>
        <v>2.9899999999999999E-2</v>
      </c>
      <c r="N37" s="148">
        <f t="shared" ref="N37" si="34">ROUND(+M37/$M$53*100,1)</f>
        <v>17</v>
      </c>
      <c r="O37" s="151"/>
      <c r="P37" s="154"/>
    </row>
    <row r="38" spans="1:18" s="3" customFormat="1" ht="14.1" customHeight="1" x14ac:dyDescent="0.2">
      <c r="A38" s="12"/>
      <c r="B38" s="158"/>
      <c r="C38" s="152"/>
      <c r="D38" s="163"/>
      <c r="E38" s="143"/>
      <c r="F38" s="40" t="s">
        <v>66</v>
      </c>
      <c r="G38" s="161">
        <f t="shared" ref="G38" si="35">IF(E37&lt;0.12,0.6*E37,IF(E37&gt;=0.12,0.6*E37))</f>
        <v>4.2000000000000003E-2</v>
      </c>
      <c r="H38" s="161"/>
      <c r="I38" s="165">
        <v>0.378</v>
      </c>
      <c r="J38" s="165"/>
      <c r="K38" s="143"/>
      <c r="L38" s="143"/>
      <c r="M38" s="146"/>
      <c r="N38" s="149"/>
      <c r="O38" s="152"/>
      <c r="P38" s="155"/>
    </row>
    <row r="39" spans="1:18" s="3" customFormat="1" ht="13.9" customHeight="1" thickBot="1" x14ac:dyDescent="0.25">
      <c r="A39" s="12"/>
      <c r="B39" s="159"/>
      <c r="C39" s="43">
        <f>C37+P8</f>
        <v>8</v>
      </c>
      <c r="D39" s="53">
        <v>9.8000000000000004E-2</v>
      </c>
      <c r="E39" s="144"/>
      <c r="F39" s="41" t="s">
        <v>67</v>
      </c>
      <c r="G39" s="166" t="str">
        <f t="shared" ref="G39" si="36">IF(E37&lt;0.12,"NA",IF(E37&gt;=0.12,0.8*E37))</f>
        <v>NA</v>
      </c>
      <c r="H39" s="166"/>
      <c r="I39" s="167"/>
      <c r="J39" s="167"/>
      <c r="K39" s="144"/>
      <c r="L39" s="144"/>
      <c r="M39" s="147"/>
      <c r="N39" s="150"/>
      <c r="O39" s="168"/>
      <c r="P39" s="172"/>
    </row>
    <row r="40" spans="1:18" s="3" customFormat="1" ht="14.1" customHeight="1" x14ac:dyDescent="0.2">
      <c r="A40" s="12"/>
      <c r="B40" s="157">
        <v>9</v>
      </c>
      <c r="C40" s="151">
        <v>8</v>
      </c>
      <c r="D40" s="162">
        <f>+D39</f>
        <v>9.8000000000000004E-2</v>
      </c>
      <c r="E40" s="142">
        <v>0.14499999999999999</v>
      </c>
      <c r="F40" s="39" t="s">
        <v>65</v>
      </c>
      <c r="G40" s="164"/>
      <c r="H40" s="164"/>
      <c r="I40" s="164"/>
      <c r="J40" s="164"/>
      <c r="K40" s="151"/>
      <c r="L40" s="151"/>
      <c r="M40" s="169"/>
      <c r="N40" s="160"/>
      <c r="O40" s="151"/>
      <c r="P40" s="154"/>
    </row>
    <row r="41" spans="1:18" s="3" customFormat="1" ht="14.1" customHeight="1" x14ac:dyDescent="0.2">
      <c r="A41" s="12"/>
      <c r="B41" s="158"/>
      <c r="C41" s="152"/>
      <c r="D41" s="163"/>
      <c r="E41" s="143"/>
      <c r="F41" s="40" t="s">
        <v>66</v>
      </c>
      <c r="G41" s="173"/>
      <c r="H41" s="173"/>
      <c r="I41" s="165"/>
      <c r="J41" s="165"/>
      <c r="K41" s="152"/>
      <c r="L41" s="152"/>
      <c r="M41" s="170"/>
      <c r="N41" s="161"/>
      <c r="O41" s="152"/>
      <c r="P41" s="155"/>
    </row>
    <row r="42" spans="1:18" s="3" customFormat="1" ht="13.9" customHeight="1" thickBot="1" x14ac:dyDescent="0.25">
      <c r="A42" s="12"/>
      <c r="B42" s="159"/>
      <c r="C42" s="43">
        <v>9</v>
      </c>
      <c r="D42" s="53">
        <v>4.2999999999999997E-2</v>
      </c>
      <c r="E42" s="144"/>
      <c r="F42" s="41" t="s">
        <v>67</v>
      </c>
      <c r="G42" s="167"/>
      <c r="H42" s="167"/>
      <c r="I42" s="167"/>
      <c r="J42" s="167"/>
      <c r="K42" s="168"/>
      <c r="L42" s="168"/>
      <c r="M42" s="171"/>
      <c r="N42" s="166"/>
      <c r="O42" s="168"/>
      <c r="P42" s="172"/>
    </row>
    <row r="43" spans="1:18" s="3" customFormat="1" ht="14.1" customHeight="1" x14ac:dyDescent="0.2">
      <c r="A43" s="12"/>
      <c r="B43" s="290">
        <v>9</v>
      </c>
      <c r="C43" s="132">
        <v>8</v>
      </c>
      <c r="D43" s="289">
        <f>+D40</f>
        <v>9.8000000000000004E-2</v>
      </c>
      <c r="E43" s="289">
        <f>+E40</f>
        <v>0.14499999999999999</v>
      </c>
      <c r="F43" s="46" t="s">
        <v>31</v>
      </c>
      <c r="G43" s="285"/>
      <c r="H43" s="285"/>
      <c r="I43" s="293">
        <v>0.45500000000000002</v>
      </c>
      <c r="J43" s="293"/>
      <c r="K43" s="289">
        <f>ROUND(+AVERAGE(I43:J52),3)</f>
        <v>0.39700000000000002</v>
      </c>
      <c r="L43" s="132">
        <f>ROUND(+(D43+D48)/2*(C48-C43),3)</f>
        <v>7.0999999999999994E-2</v>
      </c>
      <c r="M43" s="134">
        <f>ROUND(+K43*L43,4)</f>
        <v>2.8199999999999999E-2</v>
      </c>
      <c r="N43" s="132">
        <f>ROUND(+M43/$M$53*100,1)</f>
        <v>16.100000000000001</v>
      </c>
      <c r="O43" s="132"/>
      <c r="P43" s="137"/>
      <c r="R43" s="55"/>
    </row>
    <row r="44" spans="1:18" s="3" customFormat="1" ht="14.1" customHeight="1" x14ac:dyDescent="0.2">
      <c r="A44" s="12"/>
      <c r="B44" s="291"/>
      <c r="C44" s="129"/>
      <c r="D44" s="130"/>
      <c r="E44" s="130"/>
      <c r="F44" s="47" t="s">
        <v>68</v>
      </c>
      <c r="G44" s="126">
        <f>+ROUND(0.1*$E$43,2)</f>
        <v>0.01</v>
      </c>
      <c r="H44" s="126"/>
      <c r="I44" s="286">
        <v>0.49199999999999999</v>
      </c>
      <c r="J44" s="286"/>
      <c r="K44" s="129"/>
      <c r="L44" s="129"/>
      <c r="M44" s="135"/>
      <c r="N44" s="129"/>
      <c r="O44" s="129"/>
      <c r="P44" s="138"/>
    </row>
    <row r="45" spans="1:18" s="3" customFormat="1" ht="14.1" customHeight="1" x14ac:dyDescent="0.2">
      <c r="A45" s="12"/>
      <c r="B45" s="291"/>
      <c r="C45" s="129"/>
      <c r="D45" s="130"/>
      <c r="E45" s="130"/>
      <c r="F45" s="47" t="s">
        <v>65</v>
      </c>
      <c r="G45" s="126">
        <f>+ROUND(0.2*$E$43,2)</f>
        <v>0.03</v>
      </c>
      <c r="H45" s="126"/>
      <c r="I45" s="286">
        <v>0.52800000000000002</v>
      </c>
      <c r="J45" s="286"/>
      <c r="K45" s="129"/>
      <c r="L45" s="129"/>
      <c r="M45" s="135"/>
      <c r="N45" s="129"/>
      <c r="O45" s="129"/>
      <c r="P45" s="138"/>
    </row>
    <row r="46" spans="1:18" s="3" customFormat="1" ht="14.1" customHeight="1" x14ac:dyDescent="0.2">
      <c r="A46" s="12"/>
      <c r="B46" s="291"/>
      <c r="C46" s="129"/>
      <c r="D46" s="130"/>
      <c r="E46" s="130"/>
      <c r="F46" s="47" t="s">
        <v>69</v>
      </c>
      <c r="G46" s="126">
        <f>+ROUND(0.3*$E$43,2)</f>
        <v>0.04</v>
      </c>
      <c r="H46" s="126"/>
      <c r="I46" s="286">
        <v>0.48799999999999999</v>
      </c>
      <c r="J46" s="286"/>
      <c r="K46" s="129"/>
      <c r="L46" s="129"/>
      <c r="M46" s="135"/>
      <c r="N46" s="129"/>
      <c r="O46" s="129"/>
      <c r="P46" s="138"/>
    </row>
    <row r="47" spans="1:18" s="3" customFormat="1" ht="14.1" customHeight="1" x14ac:dyDescent="0.2">
      <c r="A47" s="12"/>
      <c r="B47" s="291"/>
      <c r="C47" s="129"/>
      <c r="D47" s="130"/>
      <c r="E47" s="130"/>
      <c r="F47" s="47" t="s">
        <v>70</v>
      </c>
      <c r="G47" s="126">
        <f>+ROUND(0.4*$E$43,2)</f>
        <v>0.06</v>
      </c>
      <c r="H47" s="126"/>
      <c r="I47" s="286">
        <v>0.497</v>
      </c>
      <c r="J47" s="286"/>
      <c r="K47" s="129"/>
      <c r="L47" s="129"/>
      <c r="M47" s="135"/>
      <c r="N47" s="129"/>
      <c r="O47" s="129"/>
      <c r="P47" s="138"/>
    </row>
    <row r="48" spans="1:18" s="3" customFormat="1" ht="14.1" customHeight="1" x14ac:dyDescent="0.2">
      <c r="A48" s="12"/>
      <c r="B48" s="291"/>
      <c r="C48" s="129">
        <v>9</v>
      </c>
      <c r="D48" s="130">
        <f>+D42</f>
        <v>4.2999999999999997E-2</v>
      </c>
      <c r="E48" s="130"/>
      <c r="F48" s="47" t="s">
        <v>30</v>
      </c>
      <c r="G48" s="126">
        <f>+ROUND(0.5*$E$43,2)</f>
        <v>7.0000000000000007E-2</v>
      </c>
      <c r="H48" s="126"/>
      <c r="I48" s="286">
        <v>0.36099999999999999</v>
      </c>
      <c r="J48" s="286"/>
      <c r="K48" s="129"/>
      <c r="L48" s="129"/>
      <c r="M48" s="135"/>
      <c r="N48" s="129"/>
      <c r="O48" s="129"/>
      <c r="P48" s="138"/>
    </row>
    <row r="49" spans="1:16" s="3" customFormat="1" ht="14.1" customHeight="1" x14ac:dyDescent="0.2">
      <c r="A49" s="12"/>
      <c r="B49" s="291"/>
      <c r="C49" s="129"/>
      <c r="D49" s="130"/>
      <c r="E49" s="130"/>
      <c r="F49" s="47" t="s">
        <v>66</v>
      </c>
      <c r="G49" s="126">
        <f>+ROUND(0.6*$E$43,2)</f>
        <v>0.09</v>
      </c>
      <c r="H49" s="126"/>
      <c r="I49" s="286">
        <v>0.32</v>
      </c>
      <c r="J49" s="286"/>
      <c r="K49" s="129"/>
      <c r="L49" s="129"/>
      <c r="M49" s="135"/>
      <c r="N49" s="129"/>
      <c r="O49" s="129"/>
      <c r="P49" s="138"/>
    </row>
    <row r="50" spans="1:16" s="3" customFormat="1" ht="14.1" customHeight="1" x14ac:dyDescent="0.2">
      <c r="A50" s="12"/>
      <c r="B50" s="291"/>
      <c r="C50" s="129"/>
      <c r="D50" s="130"/>
      <c r="E50" s="130"/>
      <c r="F50" s="47" t="s">
        <v>71</v>
      </c>
      <c r="G50" s="126">
        <f>+ROUND(0.7*$E$43,2)</f>
        <v>0.1</v>
      </c>
      <c r="H50" s="126"/>
      <c r="I50" s="286">
        <v>0.28499999999999998</v>
      </c>
      <c r="J50" s="286"/>
      <c r="K50" s="129"/>
      <c r="L50" s="129"/>
      <c r="M50" s="135"/>
      <c r="N50" s="129"/>
      <c r="O50" s="129"/>
      <c r="P50" s="138"/>
    </row>
    <row r="51" spans="1:16" s="3" customFormat="1" ht="14.1" customHeight="1" x14ac:dyDescent="0.2">
      <c r="A51" s="12"/>
      <c r="B51" s="291"/>
      <c r="C51" s="129"/>
      <c r="D51" s="130"/>
      <c r="E51" s="130"/>
      <c r="F51" s="47" t="s">
        <v>67</v>
      </c>
      <c r="G51" s="126">
        <f>+ROUND(0.8*$E$43,2)</f>
        <v>0.12</v>
      </c>
      <c r="H51" s="126"/>
      <c r="I51" s="286">
        <v>0.27700000000000002</v>
      </c>
      <c r="J51" s="286"/>
      <c r="K51" s="129"/>
      <c r="L51" s="129"/>
      <c r="M51" s="135"/>
      <c r="N51" s="129"/>
      <c r="O51" s="129"/>
      <c r="P51" s="138"/>
    </row>
    <row r="52" spans="1:16" s="3" customFormat="1" ht="13.5" thickBot="1" x14ac:dyDescent="0.25">
      <c r="A52" s="12"/>
      <c r="B52" s="292"/>
      <c r="C52" s="133"/>
      <c r="D52" s="288"/>
      <c r="E52" s="288"/>
      <c r="F52" s="49" t="s">
        <v>72</v>
      </c>
      <c r="G52" s="281">
        <f>+ROUND(0.9*$E$43,2)</f>
        <v>0.13</v>
      </c>
      <c r="H52" s="281"/>
      <c r="I52" s="287">
        <v>0.26700000000000002</v>
      </c>
      <c r="J52" s="287"/>
      <c r="K52" s="133"/>
      <c r="L52" s="133"/>
      <c r="M52" s="136"/>
      <c r="N52" s="133"/>
      <c r="O52" s="133"/>
      <c r="P52" s="139"/>
    </row>
    <row r="53" spans="1:16" s="3" customFormat="1" ht="12.75" customHeight="1" x14ac:dyDescent="0.2">
      <c r="A53" s="12"/>
      <c r="B53" s="112" t="s">
        <v>32</v>
      </c>
      <c r="C53" s="113"/>
      <c r="D53" s="113"/>
      <c r="E53" s="113"/>
      <c r="F53" s="113"/>
      <c r="G53" s="113"/>
      <c r="H53" s="113"/>
      <c r="I53" s="113"/>
      <c r="J53" s="113"/>
      <c r="K53" s="13">
        <f>ROUND(+M53/L53,3)</f>
        <v>0.34699999999999998</v>
      </c>
      <c r="L53" s="54">
        <f>SUM(L16:L52)</f>
        <v>0.50700000000000001</v>
      </c>
      <c r="M53" s="45">
        <f>SUM(M16:M52)</f>
        <v>0.1757</v>
      </c>
      <c r="N53" s="14">
        <f>ROUND(SUM(N16:N52),0)</f>
        <v>100</v>
      </c>
      <c r="O53" s="116" t="s">
        <v>33</v>
      </c>
      <c r="P53" s="118"/>
    </row>
    <row r="54" spans="1:16" s="3" customFormat="1" ht="15" customHeight="1" thickBot="1" x14ac:dyDescent="0.25">
      <c r="A54" s="12"/>
      <c r="B54" s="114"/>
      <c r="C54" s="115"/>
      <c r="D54" s="115"/>
      <c r="E54" s="115"/>
      <c r="F54" s="115"/>
      <c r="G54" s="115"/>
      <c r="H54" s="115"/>
      <c r="I54" s="115"/>
      <c r="J54" s="115"/>
      <c r="K54" s="15" t="s">
        <v>34</v>
      </c>
      <c r="L54" s="15" t="s">
        <v>50</v>
      </c>
      <c r="M54" s="15" t="s">
        <v>51</v>
      </c>
      <c r="N54" s="15" t="s">
        <v>35</v>
      </c>
      <c r="O54" s="117"/>
      <c r="P54" s="119"/>
    </row>
    <row r="55" spans="1:16" ht="57" customHeight="1" thickBot="1" x14ac:dyDescent="0.3">
      <c r="A55" s="50"/>
      <c r="B55" s="120" t="s">
        <v>29</v>
      </c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2"/>
    </row>
    <row r="56" spans="1:16" ht="15" customHeight="1" thickBot="1" x14ac:dyDescent="0.3">
      <c r="A56" s="5"/>
      <c r="B56" s="123" t="s">
        <v>73</v>
      </c>
      <c r="C56" s="124"/>
      <c r="D56" s="124"/>
      <c r="E56" s="124"/>
      <c r="F56" s="124"/>
      <c r="G56" s="124" t="s">
        <v>74</v>
      </c>
      <c r="H56" s="124"/>
      <c r="I56" s="124"/>
      <c r="J56" s="124"/>
      <c r="K56" s="124"/>
      <c r="L56" s="124"/>
      <c r="M56" s="124" t="s">
        <v>75</v>
      </c>
      <c r="N56" s="124"/>
      <c r="O56" s="124"/>
      <c r="P56" s="125"/>
    </row>
    <row r="57" spans="1:16" ht="15" customHeight="1" thickBot="1" x14ac:dyDescent="0.3">
      <c r="A57" s="5"/>
      <c r="B57" s="87"/>
      <c r="C57" s="88"/>
      <c r="D57" s="88"/>
      <c r="E57" s="88"/>
      <c r="F57" s="88"/>
      <c r="G57" s="88"/>
      <c r="H57" s="88"/>
      <c r="I57" s="89"/>
      <c r="J57" s="92" t="s">
        <v>53</v>
      </c>
      <c r="K57" s="93"/>
      <c r="L57" s="93"/>
      <c r="M57" s="93"/>
      <c r="N57" s="93"/>
      <c r="O57" s="93"/>
      <c r="P57" s="94"/>
    </row>
    <row r="58" spans="1:16" ht="18.600000000000001" customHeight="1" thickBot="1" x14ac:dyDescent="0.3">
      <c r="A58" s="6"/>
      <c r="B58" s="87"/>
      <c r="C58" s="88"/>
      <c r="D58" s="88"/>
      <c r="E58" s="88"/>
      <c r="F58" s="88"/>
      <c r="G58" s="88"/>
      <c r="H58" s="88"/>
      <c r="I58" s="89"/>
      <c r="J58" s="51" t="s">
        <v>76</v>
      </c>
      <c r="K58" s="95" t="s">
        <v>82</v>
      </c>
      <c r="L58" s="95"/>
      <c r="M58" s="95"/>
      <c r="N58" s="95"/>
      <c r="O58" s="95"/>
      <c r="P58" s="96"/>
    </row>
    <row r="59" spans="1:16" ht="60" customHeight="1" thickBot="1" x14ac:dyDescent="0.3">
      <c r="A59" s="10"/>
      <c r="B59" s="87"/>
      <c r="C59" s="88"/>
      <c r="D59" s="88"/>
      <c r="E59" s="88"/>
      <c r="F59" s="88"/>
      <c r="G59" s="88"/>
      <c r="H59" s="88"/>
      <c r="I59" s="89"/>
      <c r="J59" s="97" t="s">
        <v>102</v>
      </c>
      <c r="K59" s="98"/>
      <c r="L59" s="98"/>
      <c r="M59" s="98"/>
      <c r="N59" s="98"/>
      <c r="O59" s="98"/>
      <c r="P59" s="99"/>
    </row>
    <row r="60" spans="1:16" ht="15" customHeight="1" thickBot="1" x14ac:dyDescent="0.3">
      <c r="A60" s="5"/>
      <c r="B60" s="87"/>
      <c r="C60" s="88"/>
      <c r="D60" s="88"/>
      <c r="E60" s="88"/>
      <c r="F60" s="88"/>
      <c r="G60" s="88"/>
      <c r="H60" s="88"/>
      <c r="I60" s="89"/>
      <c r="J60" s="100" t="s">
        <v>36</v>
      </c>
      <c r="K60" s="101"/>
      <c r="L60" s="101"/>
      <c r="M60" s="101"/>
      <c r="N60" s="102"/>
      <c r="O60" s="103">
        <v>5.68</v>
      </c>
      <c r="P60" s="104"/>
    </row>
    <row r="61" spans="1:16" ht="15" customHeight="1" thickBot="1" x14ac:dyDescent="0.3">
      <c r="A61" s="5"/>
      <c r="B61" s="87"/>
      <c r="C61" s="88"/>
      <c r="D61" s="88"/>
      <c r="E61" s="88"/>
      <c r="F61" s="88"/>
      <c r="G61" s="88"/>
      <c r="H61" s="88"/>
      <c r="I61" s="88"/>
      <c r="J61" s="105" t="s">
        <v>52</v>
      </c>
      <c r="K61" s="106"/>
      <c r="L61" s="106"/>
      <c r="M61" s="106"/>
      <c r="N61" s="106"/>
      <c r="O61" s="107">
        <v>0.29770000000000002</v>
      </c>
      <c r="P61" s="108"/>
    </row>
    <row r="62" spans="1:16" ht="14.45" customHeight="1" thickBot="1" x14ac:dyDescent="0.3">
      <c r="A62" s="5"/>
      <c r="B62" s="90"/>
      <c r="C62" s="79"/>
      <c r="D62" s="79"/>
      <c r="E62" s="79"/>
      <c r="F62" s="79"/>
      <c r="G62" s="79"/>
      <c r="H62" s="79"/>
      <c r="I62" s="91"/>
      <c r="J62" s="109" t="s">
        <v>77</v>
      </c>
      <c r="K62" s="110"/>
      <c r="L62" s="110"/>
      <c r="M62" s="110"/>
      <c r="N62" s="110"/>
      <c r="O62" s="110"/>
      <c r="P62" s="111"/>
    </row>
    <row r="63" spans="1:16" ht="14.45" customHeight="1" thickBot="1" x14ac:dyDescent="0.3">
      <c r="A63" s="7"/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8"/>
    </row>
    <row r="64" spans="1:16" ht="15.75" thickBot="1" x14ac:dyDescent="0.3">
      <c r="A64" s="80" t="s">
        <v>37</v>
      </c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2"/>
    </row>
    <row r="65" spans="1:16" ht="141.6" customHeight="1" thickBot="1" x14ac:dyDescent="0.3">
      <c r="A65" s="4"/>
      <c r="B65" s="83"/>
      <c r="C65" s="84"/>
      <c r="D65" s="84"/>
      <c r="E65" s="84"/>
      <c r="F65" s="85"/>
      <c r="G65" s="83"/>
      <c r="H65" s="84"/>
      <c r="I65" s="84"/>
      <c r="J65" s="84"/>
      <c r="K65" s="84"/>
      <c r="L65" s="85"/>
      <c r="M65" s="83"/>
      <c r="N65" s="84"/>
      <c r="O65" s="84"/>
      <c r="P65" s="85"/>
    </row>
    <row r="66" spans="1:16" s="9" customFormat="1" ht="13.9" customHeight="1" thickBot="1" x14ac:dyDescent="0.3">
      <c r="A66" s="8" t="s">
        <v>78</v>
      </c>
      <c r="B66" s="86" t="s">
        <v>103</v>
      </c>
      <c r="C66" s="74"/>
      <c r="D66" s="74"/>
      <c r="E66" s="74"/>
      <c r="F66" s="75"/>
      <c r="G66" s="86" t="s">
        <v>80</v>
      </c>
      <c r="H66" s="74"/>
      <c r="I66" s="74"/>
      <c r="J66" s="74"/>
      <c r="K66" s="74"/>
      <c r="L66" s="75"/>
      <c r="M66" s="86"/>
      <c r="N66" s="74"/>
      <c r="O66" s="74"/>
      <c r="P66" s="75"/>
    </row>
    <row r="67" spans="1:16" ht="14.45" customHeight="1" x14ac:dyDescent="0.25">
      <c r="A67" s="7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</row>
    <row r="68" spans="1:16" ht="14.45" customHeight="1" thickBot="1" x14ac:dyDescent="0.3">
      <c r="A68" s="7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</row>
    <row r="69" spans="1:16" s="3" customFormat="1" ht="15.75" customHeight="1" thickBot="1" x14ac:dyDescent="0.25">
      <c r="A69" s="76" t="s">
        <v>38</v>
      </c>
      <c r="B69" s="77"/>
      <c r="C69" s="77"/>
      <c r="D69" s="77" t="s">
        <v>81</v>
      </c>
      <c r="E69" s="77"/>
      <c r="F69" s="77"/>
      <c r="G69" s="77"/>
      <c r="H69" s="77"/>
      <c r="I69" s="77"/>
      <c r="J69" s="77" t="s">
        <v>39</v>
      </c>
      <c r="K69" s="77"/>
      <c r="L69" s="77"/>
      <c r="M69" s="77"/>
      <c r="N69" s="77"/>
      <c r="O69" s="77"/>
      <c r="P69" s="78"/>
    </row>
  </sheetData>
  <mergeCells count="253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G46:H46"/>
    <mergeCell ref="I46:J46"/>
    <mergeCell ref="G47:H47"/>
    <mergeCell ref="I47:J47"/>
    <mergeCell ref="C48:C52"/>
    <mergeCell ref="D48:D52"/>
    <mergeCell ref="G48:H48"/>
    <mergeCell ref="I48:J48"/>
    <mergeCell ref="G49:H49"/>
    <mergeCell ref="I49:J49"/>
    <mergeCell ref="C43:C47"/>
    <mergeCell ref="D43:D47"/>
    <mergeCell ref="E43:E52"/>
    <mergeCell ref="G43:H43"/>
    <mergeCell ref="I43:J43"/>
    <mergeCell ref="G44:H44"/>
    <mergeCell ref="I44:J44"/>
    <mergeCell ref="G45:H45"/>
    <mergeCell ref="I45:J45"/>
    <mergeCell ref="B53:J54"/>
    <mergeCell ref="O53:O54"/>
    <mergeCell ref="P53:P54"/>
    <mergeCell ref="B55:P55"/>
    <mergeCell ref="B56:F56"/>
    <mergeCell ref="G56:L56"/>
    <mergeCell ref="M56:P56"/>
    <mergeCell ref="G50:H50"/>
    <mergeCell ref="I50:J50"/>
    <mergeCell ref="G51:H51"/>
    <mergeCell ref="I51:J51"/>
    <mergeCell ref="G52:H52"/>
    <mergeCell ref="I52:J52"/>
    <mergeCell ref="K43:K52"/>
    <mergeCell ref="L43:L52"/>
    <mergeCell ref="M43:M52"/>
    <mergeCell ref="N43:N52"/>
    <mergeCell ref="O43:O52"/>
    <mergeCell ref="P43:P52"/>
    <mergeCell ref="B43:B52"/>
    <mergeCell ref="B57:I62"/>
    <mergeCell ref="J57:P57"/>
    <mergeCell ref="K58:P58"/>
    <mergeCell ref="J59:P59"/>
    <mergeCell ref="J60:N60"/>
    <mergeCell ref="O60:P60"/>
    <mergeCell ref="J61:N61"/>
    <mergeCell ref="O61:P61"/>
    <mergeCell ref="J62:P62"/>
    <mergeCell ref="B67:P67"/>
    <mergeCell ref="B68:P68"/>
    <mergeCell ref="A69:C69"/>
    <mergeCell ref="D69:I69"/>
    <mergeCell ref="J69:K69"/>
    <mergeCell ref="L69:P69"/>
    <mergeCell ref="B63:P63"/>
    <mergeCell ref="A64:P64"/>
    <mergeCell ref="B65:F65"/>
    <mergeCell ref="G65:L65"/>
    <mergeCell ref="M65:P65"/>
    <mergeCell ref="B66:F66"/>
    <mergeCell ref="G66:L66"/>
    <mergeCell ref="M66:P66"/>
  </mergeCells>
  <printOptions horizontalCentered="1"/>
  <pageMargins left="0.35433070866141736" right="0.23622047244094491" top="0.74803149606299213" bottom="0.74803149606299213" header="0.19685039370078741" footer="0.31496062992125984"/>
  <pageSetup paperSize="5" scale="7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view="pageBreakPreview" zoomScaleSheetLayoutView="100" zoomScalePageLayoutView="110" workbookViewId="0">
      <selection activeCell="H5" sqref="A5:XFD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1"/>
      <c r="B2" s="320"/>
      <c r="C2" s="321"/>
      <c r="D2" s="322"/>
      <c r="E2" s="269" t="s">
        <v>54</v>
      </c>
      <c r="F2" s="270"/>
      <c r="G2" s="270"/>
      <c r="H2" s="270"/>
      <c r="I2" s="270"/>
      <c r="J2" s="270"/>
      <c r="K2" s="270"/>
      <c r="L2" s="270"/>
      <c r="M2" s="270"/>
      <c r="N2" s="270"/>
      <c r="O2" s="323"/>
      <c r="P2" s="273"/>
    </row>
    <row r="3" spans="1:16" s="2" customFormat="1" ht="20.45" customHeight="1" thickBot="1" x14ac:dyDescent="0.3">
      <c r="A3" s="11"/>
      <c r="B3" s="324"/>
      <c r="C3" s="325"/>
      <c r="D3" s="326"/>
      <c r="E3" s="271"/>
      <c r="F3" s="272"/>
      <c r="G3" s="272"/>
      <c r="H3" s="272"/>
      <c r="I3" s="272"/>
      <c r="J3" s="272"/>
      <c r="K3" s="272"/>
      <c r="L3" s="272"/>
      <c r="M3" s="272"/>
      <c r="N3" s="272"/>
      <c r="O3" s="327"/>
      <c r="P3" s="274"/>
    </row>
    <row r="4" spans="1:16" s="2" customFormat="1" ht="4.9000000000000004" customHeight="1" thickBot="1" x14ac:dyDescent="0.3">
      <c r="A4" s="11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</row>
    <row r="5" spans="1:16" s="17" customFormat="1" ht="26.25" customHeight="1" thickBot="1" x14ac:dyDescent="0.25">
      <c r="A5" s="16"/>
      <c r="B5" s="61" t="s">
        <v>0</v>
      </c>
      <c r="C5" s="276">
        <v>42957</v>
      </c>
      <c r="D5" s="259"/>
      <c r="E5" s="253" t="s">
        <v>1</v>
      </c>
      <c r="F5" s="254"/>
      <c r="G5" s="319">
        <v>6</v>
      </c>
      <c r="H5" s="258" t="s">
        <v>2</v>
      </c>
      <c r="I5" s="254"/>
      <c r="J5" s="316" t="s">
        <v>105</v>
      </c>
      <c r="K5" s="317"/>
      <c r="L5" s="317"/>
      <c r="M5" s="317"/>
      <c r="N5" s="317"/>
      <c r="O5" s="317"/>
      <c r="P5" s="318"/>
    </row>
    <row r="6" spans="1:16" s="19" customFormat="1" ht="11.25" customHeight="1" thickBot="1" x14ac:dyDescent="0.3">
      <c r="A6" s="18"/>
      <c r="B6" s="253" t="s">
        <v>3</v>
      </c>
      <c r="C6" s="254"/>
      <c r="D6" s="255" t="s">
        <v>95</v>
      </c>
      <c r="E6" s="315"/>
      <c r="F6" s="315"/>
      <c r="G6" s="315"/>
      <c r="H6" s="255"/>
      <c r="I6" s="255"/>
      <c r="J6" s="256"/>
      <c r="K6" s="257" t="s">
        <v>4</v>
      </c>
      <c r="L6" s="258"/>
      <c r="M6" s="259" t="s">
        <v>96</v>
      </c>
      <c r="N6" s="260"/>
      <c r="O6" s="259" t="s">
        <v>97</v>
      </c>
      <c r="P6" s="261"/>
    </row>
    <row r="7" spans="1:16" s="19" customFormat="1" ht="14.1" customHeight="1" x14ac:dyDescent="0.25">
      <c r="A7" s="18"/>
      <c r="B7" s="262" t="s">
        <v>55</v>
      </c>
      <c r="C7" s="242"/>
      <c r="D7" s="242"/>
      <c r="E7" s="263"/>
      <c r="F7" s="264" t="s">
        <v>11</v>
      </c>
      <c r="G7" s="265"/>
      <c r="H7" s="266"/>
      <c r="I7" s="56">
        <v>0.48958333333333331</v>
      </c>
      <c r="J7" s="267" t="s">
        <v>12</v>
      </c>
      <c r="K7" s="268"/>
      <c r="L7" s="57">
        <v>0.96</v>
      </c>
      <c r="M7" s="262" t="s">
        <v>14</v>
      </c>
      <c r="N7" s="242"/>
      <c r="O7" s="242"/>
      <c r="P7" s="22">
        <v>10.220000000000001</v>
      </c>
    </row>
    <row r="8" spans="1:16" s="19" customFormat="1" ht="14.1" customHeight="1" thickBot="1" x14ac:dyDescent="0.3">
      <c r="A8" s="18"/>
      <c r="B8" s="231" t="s">
        <v>6</v>
      </c>
      <c r="C8" s="232"/>
      <c r="D8" s="232"/>
      <c r="E8" s="233"/>
      <c r="F8" s="23" t="s">
        <v>15</v>
      </c>
      <c r="G8" s="24"/>
      <c r="H8" s="25"/>
      <c r="I8" s="58">
        <v>0.52083333333333337</v>
      </c>
      <c r="J8" s="234" t="s">
        <v>16</v>
      </c>
      <c r="K8" s="235"/>
      <c r="L8" s="59">
        <v>0.96</v>
      </c>
      <c r="M8" s="236" t="s">
        <v>18</v>
      </c>
      <c r="N8" s="216"/>
      <c r="O8" s="216"/>
      <c r="P8" s="27">
        <v>1</v>
      </c>
    </row>
    <row r="9" spans="1:16" ht="14.1" customHeight="1" x14ac:dyDescent="0.25">
      <c r="A9" s="50"/>
      <c r="B9" s="306" t="s">
        <v>7</v>
      </c>
      <c r="C9" s="307"/>
      <c r="D9" s="310" t="s">
        <v>8</v>
      </c>
      <c r="E9" s="312" t="s">
        <v>9</v>
      </c>
      <c r="F9" s="312"/>
      <c r="G9" s="312"/>
      <c r="H9" s="57"/>
      <c r="I9" s="243" t="s">
        <v>56</v>
      </c>
      <c r="J9" s="244"/>
      <c r="K9" s="313">
        <v>0</v>
      </c>
      <c r="L9" s="249" t="s">
        <v>13</v>
      </c>
      <c r="M9" s="250"/>
      <c r="N9" s="250"/>
      <c r="O9" s="251">
        <v>11</v>
      </c>
      <c r="P9" s="252"/>
    </row>
    <row r="10" spans="1:16" ht="14.1" customHeight="1" thickBot="1" x14ac:dyDescent="0.3">
      <c r="A10" s="50"/>
      <c r="B10" s="308"/>
      <c r="C10" s="309"/>
      <c r="D10" s="311"/>
      <c r="E10" s="305" t="s">
        <v>10</v>
      </c>
      <c r="F10" s="305"/>
      <c r="G10" s="305"/>
      <c r="H10" s="60" t="s">
        <v>5</v>
      </c>
      <c r="I10" s="245"/>
      <c r="J10" s="246"/>
      <c r="K10" s="314"/>
      <c r="L10" s="217" t="s">
        <v>17</v>
      </c>
      <c r="M10" s="218"/>
      <c r="N10" s="218"/>
      <c r="O10" s="219">
        <v>0.4861111111111111</v>
      </c>
      <c r="P10" s="220"/>
    </row>
    <row r="11" spans="1:16" s="32" customFormat="1" ht="25.15" customHeight="1" x14ac:dyDescent="0.2">
      <c r="A11" s="12"/>
      <c r="B11" s="221" t="s">
        <v>19</v>
      </c>
      <c r="C11" s="224" t="s">
        <v>57</v>
      </c>
      <c r="D11" s="224"/>
      <c r="E11" s="224"/>
      <c r="F11" s="226"/>
      <c r="G11" s="225" t="s">
        <v>58</v>
      </c>
      <c r="H11" s="225"/>
      <c r="I11" s="225"/>
      <c r="J11" s="225"/>
      <c r="K11" s="225"/>
      <c r="L11" s="226"/>
      <c r="M11" s="225" t="s">
        <v>59</v>
      </c>
      <c r="N11" s="225"/>
      <c r="O11" s="225"/>
      <c r="P11" s="229"/>
    </row>
    <row r="12" spans="1:16" s="32" customFormat="1" ht="17.45" customHeight="1" x14ac:dyDescent="0.2">
      <c r="A12" s="12"/>
      <c r="B12" s="222"/>
      <c r="C12" s="230" t="s">
        <v>60</v>
      </c>
      <c r="D12" s="230"/>
      <c r="E12" s="230"/>
      <c r="F12" s="227"/>
      <c r="G12" s="194" t="s">
        <v>63</v>
      </c>
      <c r="H12" s="194"/>
      <c r="I12" s="194"/>
      <c r="J12" s="194"/>
      <c r="K12" s="194"/>
      <c r="L12" s="227"/>
      <c r="M12" s="194" t="s">
        <v>62</v>
      </c>
      <c r="N12" s="194"/>
      <c r="O12" s="194"/>
      <c r="P12" s="195"/>
    </row>
    <row r="13" spans="1:16" s="32" customFormat="1" ht="25.15" customHeight="1" thickBot="1" x14ac:dyDescent="0.25">
      <c r="A13" s="12"/>
      <c r="B13" s="223"/>
      <c r="C13" s="198"/>
      <c r="D13" s="198"/>
      <c r="E13" s="198"/>
      <c r="F13" s="228"/>
      <c r="G13" s="198" t="s">
        <v>61</v>
      </c>
      <c r="H13" s="198"/>
      <c r="I13" s="198"/>
      <c r="J13" s="198"/>
      <c r="K13" s="198"/>
      <c r="L13" s="228"/>
      <c r="M13" s="198" t="s">
        <v>64</v>
      </c>
      <c r="N13" s="198"/>
      <c r="O13" s="198"/>
      <c r="P13" s="199"/>
    </row>
    <row r="14" spans="1:16" ht="16.5" customHeight="1" x14ac:dyDescent="0.25">
      <c r="A14" s="5"/>
      <c r="B14" s="200" t="s">
        <v>20</v>
      </c>
      <c r="C14" s="202" t="s">
        <v>21</v>
      </c>
      <c r="D14" s="202" t="s">
        <v>42</v>
      </c>
      <c r="E14" s="204" t="s">
        <v>22</v>
      </c>
      <c r="F14" s="206" t="s">
        <v>43</v>
      </c>
      <c r="G14" s="207"/>
      <c r="H14" s="208"/>
      <c r="I14" s="212" t="s">
        <v>44</v>
      </c>
      <c r="J14" s="213"/>
      <c r="K14" s="34"/>
      <c r="L14" s="35" t="s">
        <v>45</v>
      </c>
      <c r="M14" s="35" t="s">
        <v>46</v>
      </c>
      <c r="N14" s="35" t="s">
        <v>46</v>
      </c>
      <c r="O14" s="35" t="s">
        <v>47</v>
      </c>
      <c r="P14" s="36" t="s">
        <v>23</v>
      </c>
    </row>
    <row r="15" spans="1:16" ht="14.1" customHeight="1" thickBot="1" x14ac:dyDescent="0.3">
      <c r="A15" s="5"/>
      <c r="B15" s="201"/>
      <c r="C15" s="203"/>
      <c r="D15" s="203"/>
      <c r="E15" s="205"/>
      <c r="F15" s="209"/>
      <c r="G15" s="210"/>
      <c r="H15" s="211"/>
      <c r="I15" s="214" t="s">
        <v>24</v>
      </c>
      <c r="J15" s="215"/>
      <c r="K15" s="37" t="s">
        <v>25</v>
      </c>
      <c r="L15" s="37" t="s">
        <v>48</v>
      </c>
      <c r="M15" s="37" t="s">
        <v>49</v>
      </c>
      <c r="N15" s="37" t="s">
        <v>26</v>
      </c>
      <c r="O15" s="37" t="s">
        <v>27</v>
      </c>
      <c r="P15" s="38" t="s">
        <v>28</v>
      </c>
    </row>
    <row r="16" spans="1:16" s="3" customFormat="1" ht="14.1" customHeight="1" x14ac:dyDescent="0.2">
      <c r="A16" s="12"/>
      <c r="B16" s="157">
        <v>1</v>
      </c>
      <c r="C16" s="151">
        <f>K9</f>
        <v>0</v>
      </c>
      <c r="D16" s="162">
        <v>6.5000000000000002E-2</v>
      </c>
      <c r="E16" s="142">
        <v>6.9000000000000006E-2</v>
      </c>
      <c r="F16" s="39" t="s">
        <v>65</v>
      </c>
      <c r="G16" s="151" t="str">
        <f t="shared" ref="G16" si="0">IF(E16&lt;0.12,"NA",IF(E16&gt;=0.12,0.2*E16))</f>
        <v>NA</v>
      </c>
      <c r="H16" s="151"/>
      <c r="I16" s="164"/>
      <c r="J16" s="164"/>
      <c r="K16" s="142">
        <f>ROUND(+IF(E16&lt;0.12,(I17),(IF(E16&gt;=0.12,((I16+2*I17+I18)/4)))),3)</f>
        <v>0.26600000000000001</v>
      </c>
      <c r="L16" s="142">
        <f>ROUND(+(D16+D18)/2*(C18-C16),3)</f>
        <v>6.9000000000000006E-2</v>
      </c>
      <c r="M16" s="145">
        <f>ROUND(+K16*L16,4)</f>
        <v>1.84E-2</v>
      </c>
      <c r="N16" s="148">
        <f>ROUND(+M16/$M$56*100,1)</f>
        <v>10.8</v>
      </c>
      <c r="O16" s="151"/>
      <c r="P16" s="154"/>
    </row>
    <row r="17" spans="1:16" s="3" customFormat="1" ht="14.1" customHeight="1" x14ac:dyDescent="0.2">
      <c r="A17" s="12"/>
      <c r="B17" s="158"/>
      <c r="C17" s="152"/>
      <c r="D17" s="163"/>
      <c r="E17" s="143"/>
      <c r="F17" s="40" t="s">
        <v>66</v>
      </c>
      <c r="G17" s="161">
        <f t="shared" ref="G17" si="1">IF(E16&lt;0.12,0.6*E16,IF(E16&gt;=0.12,0.6*E16))</f>
        <v>4.1399999999999999E-2</v>
      </c>
      <c r="H17" s="161"/>
      <c r="I17" s="165">
        <v>0.26600000000000001</v>
      </c>
      <c r="J17" s="165"/>
      <c r="K17" s="143"/>
      <c r="L17" s="143"/>
      <c r="M17" s="146"/>
      <c r="N17" s="149"/>
      <c r="O17" s="152"/>
      <c r="P17" s="155"/>
    </row>
    <row r="18" spans="1:16" s="3" customFormat="1" ht="13.9" customHeight="1" thickBot="1" x14ac:dyDescent="0.25">
      <c r="A18" s="12"/>
      <c r="B18" s="159"/>
      <c r="C18" s="43">
        <f>C16+P8</f>
        <v>1</v>
      </c>
      <c r="D18" s="53">
        <v>7.2999999999999995E-2</v>
      </c>
      <c r="E18" s="144"/>
      <c r="F18" s="41" t="s">
        <v>67</v>
      </c>
      <c r="G18" s="166" t="str">
        <f t="shared" ref="G18" si="2">IF(E16&lt;0.12,"NA",IF(E16&gt;=0.12,0.8*E16))</f>
        <v>NA</v>
      </c>
      <c r="H18" s="166"/>
      <c r="I18" s="167"/>
      <c r="J18" s="167"/>
      <c r="K18" s="144"/>
      <c r="L18" s="144"/>
      <c r="M18" s="147"/>
      <c r="N18" s="150"/>
      <c r="O18" s="168"/>
      <c r="P18" s="172"/>
    </row>
    <row r="19" spans="1:16" s="3" customFormat="1" ht="14.1" customHeight="1" x14ac:dyDescent="0.2">
      <c r="A19" s="12"/>
      <c r="B19" s="157">
        <v>2</v>
      </c>
      <c r="C19" s="151">
        <f>C18</f>
        <v>1</v>
      </c>
      <c r="D19" s="162">
        <f>D18</f>
        <v>7.2999999999999995E-2</v>
      </c>
      <c r="E19" s="142">
        <v>6.0999999999999999E-2</v>
      </c>
      <c r="F19" s="39" t="s">
        <v>65</v>
      </c>
      <c r="G19" s="151" t="str">
        <f t="shared" ref="G19" si="3">IF(E19&lt;0.12,"NA",IF(E19&gt;=0.12,0.2*E19))</f>
        <v>NA</v>
      </c>
      <c r="H19" s="151"/>
      <c r="I19" s="164"/>
      <c r="J19" s="164"/>
      <c r="K19" s="142">
        <f t="shared" ref="K19" si="4">ROUND(+IF(E19&lt;0.12,(I20),(IF(E19&gt;=0.12,((I19+2*I20+I21)/4)))),3)</f>
        <v>0.27400000000000002</v>
      </c>
      <c r="L19" s="142">
        <f>ROUND(+(D19+D21)/2*(C21-C19),3)</f>
        <v>7.0000000000000007E-2</v>
      </c>
      <c r="M19" s="145">
        <f>ROUND(+K19*L19,4)</f>
        <v>1.9199999999999998E-2</v>
      </c>
      <c r="N19" s="148">
        <f t="shared" ref="N19" si="5">ROUND(+M19/$M$56*100,1)</f>
        <v>11.2</v>
      </c>
      <c r="O19" s="151"/>
      <c r="P19" s="154"/>
    </row>
    <row r="20" spans="1:16" s="3" customFormat="1" ht="14.1" customHeight="1" x14ac:dyDescent="0.2">
      <c r="A20" s="12"/>
      <c r="B20" s="158"/>
      <c r="C20" s="152"/>
      <c r="D20" s="163"/>
      <c r="E20" s="143"/>
      <c r="F20" s="40" t="s">
        <v>66</v>
      </c>
      <c r="G20" s="161">
        <f t="shared" ref="G20" si="6">IF(E19&lt;0.12,0.6*E19,IF(E19&gt;=0.12,0.6*E19))</f>
        <v>3.6600000000000001E-2</v>
      </c>
      <c r="H20" s="161"/>
      <c r="I20" s="165">
        <v>0.27400000000000002</v>
      </c>
      <c r="J20" s="165"/>
      <c r="K20" s="143"/>
      <c r="L20" s="143"/>
      <c r="M20" s="146"/>
      <c r="N20" s="149"/>
      <c r="O20" s="152"/>
      <c r="P20" s="155"/>
    </row>
    <row r="21" spans="1:16" s="3" customFormat="1" ht="13.9" customHeight="1" thickBot="1" x14ac:dyDescent="0.25">
      <c r="A21" s="12"/>
      <c r="B21" s="159"/>
      <c r="C21" s="43">
        <f>C19+P8</f>
        <v>2</v>
      </c>
      <c r="D21" s="53">
        <v>6.7000000000000004E-2</v>
      </c>
      <c r="E21" s="144"/>
      <c r="F21" s="41" t="s">
        <v>67</v>
      </c>
      <c r="G21" s="166" t="str">
        <f t="shared" ref="G21" si="7">IF(E19&lt;0.12,"NA",IF(E19&gt;=0.12,0.8*E19))</f>
        <v>NA</v>
      </c>
      <c r="H21" s="166"/>
      <c r="I21" s="167"/>
      <c r="J21" s="167"/>
      <c r="K21" s="144"/>
      <c r="L21" s="144"/>
      <c r="M21" s="147"/>
      <c r="N21" s="150"/>
      <c r="O21" s="168"/>
      <c r="P21" s="172"/>
    </row>
    <row r="22" spans="1:16" s="3" customFormat="1" ht="14.1" customHeight="1" x14ac:dyDescent="0.2">
      <c r="A22" s="12"/>
      <c r="B22" s="157">
        <v>3</v>
      </c>
      <c r="C22" s="151">
        <f>C21</f>
        <v>2</v>
      </c>
      <c r="D22" s="162">
        <f>D21</f>
        <v>6.7000000000000004E-2</v>
      </c>
      <c r="E22" s="142">
        <v>6.4000000000000001E-2</v>
      </c>
      <c r="F22" s="39" t="s">
        <v>65</v>
      </c>
      <c r="G22" s="151" t="str">
        <f t="shared" ref="G22" si="8">IF(E22&lt;0.12,"NA",IF(E22&gt;=0.12,0.2*E22))</f>
        <v>NA</v>
      </c>
      <c r="H22" s="151"/>
      <c r="I22" s="164"/>
      <c r="J22" s="164"/>
      <c r="K22" s="142">
        <f t="shared" ref="K22" si="9">ROUND(+IF(E22&lt;0.12,(I23),(IF(E22&gt;=0.12,((I22+2*I23+I24)/4)))),3)</f>
        <v>0.501</v>
      </c>
      <c r="L22" s="142">
        <f>ROUND(+(D22+D24)/2*(C24-C22),3)</f>
        <v>6.2E-2</v>
      </c>
      <c r="M22" s="145">
        <f>ROUND(+K22*L22,4)</f>
        <v>3.1099999999999999E-2</v>
      </c>
      <c r="N22" s="148">
        <f t="shared" ref="N22" si="10">ROUND(+M22/$M$56*100,1)</f>
        <v>18.2</v>
      </c>
      <c r="O22" s="151"/>
      <c r="P22" s="154"/>
    </row>
    <row r="23" spans="1:16" s="3" customFormat="1" ht="14.1" customHeight="1" x14ac:dyDescent="0.2">
      <c r="A23" s="12"/>
      <c r="B23" s="158"/>
      <c r="C23" s="152"/>
      <c r="D23" s="163"/>
      <c r="E23" s="143"/>
      <c r="F23" s="40" t="s">
        <v>66</v>
      </c>
      <c r="G23" s="161">
        <f t="shared" ref="G23" si="11">IF(E22&lt;0.12,0.6*E22,IF(E22&gt;=0.12,0.6*E22))</f>
        <v>3.8399999999999997E-2</v>
      </c>
      <c r="H23" s="161"/>
      <c r="I23" s="165">
        <v>0.501</v>
      </c>
      <c r="J23" s="165"/>
      <c r="K23" s="143"/>
      <c r="L23" s="143"/>
      <c r="M23" s="146"/>
      <c r="N23" s="149"/>
      <c r="O23" s="152"/>
      <c r="P23" s="155"/>
    </row>
    <row r="24" spans="1:16" s="3" customFormat="1" ht="13.9" customHeight="1" thickBot="1" x14ac:dyDescent="0.25">
      <c r="A24" s="12"/>
      <c r="B24" s="159"/>
      <c r="C24" s="43">
        <f>C22+P8</f>
        <v>3</v>
      </c>
      <c r="D24" s="53">
        <v>5.6000000000000001E-2</v>
      </c>
      <c r="E24" s="144"/>
      <c r="F24" s="41" t="s">
        <v>67</v>
      </c>
      <c r="G24" s="166" t="str">
        <f t="shared" ref="G24" si="12">IF(E22&lt;0.12,"NA",IF(E22&gt;=0.12,0.8*E22))</f>
        <v>NA</v>
      </c>
      <c r="H24" s="166"/>
      <c r="I24" s="167"/>
      <c r="J24" s="167"/>
      <c r="K24" s="144"/>
      <c r="L24" s="144"/>
      <c r="M24" s="147"/>
      <c r="N24" s="150"/>
      <c r="O24" s="168"/>
      <c r="P24" s="172"/>
    </row>
    <row r="25" spans="1:16" s="3" customFormat="1" ht="14.1" customHeight="1" x14ac:dyDescent="0.2">
      <c r="A25" s="12"/>
      <c r="B25" s="157">
        <v>4</v>
      </c>
      <c r="C25" s="151">
        <f>C24</f>
        <v>3</v>
      </c>
      <c r="D25" s="162">
        <f>D24</f>
        <v>5.6000000000000001E-2</v>
      </c>
      <c r="E25" s="142">
        <v>5.2999999999999999E-2</v>
      </c>
      <c r="F25" s="39" t="s">
        <v>65</v>
      </c>
      <c r="G25" s="151" t="str">
        <f t="shared" ref="G25" si="13">IF(E25&lt;0.12,"NA",IF(E25&gt;=0.12,0.2*E25))</f>
        <v>NA</v>
      </c>
      <c r="H25" s="151"/>
      <c r="I25" s="164"/>
      <c r="J25" s="164"/>
      <c r="K25" s="142">
        <f t="shared" ref="K25" si="14">ROUND(+IF(E25&lt;0.12,(I26),(IF(E25&gt;=0.12,((I25+2*I26+I27)/4)))),3)</f>
        <v>0.33</v>
      </c>
      <c r="L25" s="142">
        <f>ROUND(+(D25+D27)/2*(C27-C25),3)</f>
        <v>4.9000000000000002E-2</v>
      </c>
      <c r="M25" s="145">
        <f>ROUND(+K25*L25,4)</f>
        <v>1.6199999999999999E-2</v>
      </c>
      <c r="N25" s="148">
        <f t="shared" ref="N25" si="15">ROUND(+M25/$M$56*100,1)</f>
        <v>9.5</v>
      </c>
      <c r="O25" s="151"/>
      <c r="P25" s="154"/>
    </row>
    <row r="26" spans="1:16" s="3" customFormat="1" ht="14.1" customHeight="1" x14ac:dyDescent="0.2">
      <c r="A26" s="12"/>
      <c r="B26" s="158"/>
      <c r="C26" s="152"/>
      <c r="D26" s="163"/>
      <c r="E26" s="143"/>
      <c r="F26" s="40" t="s">
        <v>66</v>
      </c>
      <c r="G26" s="161">
        <f t="shared" ref="G26" si="16">IF(E25&lt;0.12,0.6*E25,IF(E25&gt;=0.12,0.6*E25))</f>
        <v>3.1799999999999995E-2</v>
      </c>
      <c r="H26" s="161"/>
      <c r="I26" s="165">
        <v>0.33</v>
      </c>
      <c r="J26" s="165"/>
      <c r="K26" s="143"/>
      <c r="L26" s="143"/>
      <c r="M26" s="146"/>
      <c r="N26" s="149"/>
      <c r="O26" s="152"/>
      <c r="P26" s="155"/>
    </row>
    <row r="27" spans="1:16" s="3" customFormat="1" ht="13.9" customHeight="1" thickBot="1" x14ac:dyDescent="0.25">
      <c r="A27" s="12"/>
      <c r="B27" s="159"/>
      <c r="C27" s="43">
        <f>C25+P8</f>
        <v>4</v>
      </c>
      <c r="D27" s="53">
        <v>4.1000000000000002E-2</v>
      </c>
      <c r="E27" s="144"/>
      <c r="F27" s="41" t="s">
        <v>67</v>
      </c>
      <c r="G27" s="166" t="str">
        <f t="shared" ref="G27" si="17">IF(E25&lt;0.12,"NA",IF(E25&gt;=0.12,0.8*E25))</f>
        <v>NA</v>
      </c>
      <c r="H27" s="166"/>
      <c r="I27" s="167"/>
      <c r="J27" s="167"/>
      <c r="K27" s="144"/>
      <c r="L27" s="144"/>
      <c r="M27" s="147"/>
      <c r="N27" s="150"/>
      <c r="O27" s="168"/>
      <c r="P27" s="172"/>
    </row>
    <row r="28" spans="1:16" s="3" customFormat="1" ht="14.1" customHeight="1" x14ac:dyDescent="0.2">
      <c r="A28" s="12"/>
      <c r="B28" s="157">
        <v>5</v>
      </c>
      <c r="C28" s="151">
        <f>C27</f>
        <v>4</v>
      </c>
      <c r="D28" s="162">
        <f>D27</f>
        <v>4.1000000000000002E-2</v>
      </c>
      <c r="E28" s="142">
        <v>3.2000000000000001E-2</v>
      </c>
      <c r="F28" s="39" t="s">
        <v>65</v>
      </c>
      <c r="G28" s="151" t="str">
        <f t="shared" ref="G28" si="18">IF(E28&lt;0.12,"NA",IF(E28&gt;=0.12,0.2*E28))</f>
        <v>NA</v>
      </c>
      <c r="H28" s="151"/>
      <c r="I28" s="164"/>
      <c r="J28" s="164"/>
      <c r="K28" s="142">
        <f t="shared" ref="K28" si="19">ROUND(+IF(E28&lt;0.12,(I29),(IF(E28&gt;=0.12,((I28+2*I29+I30)/4)))),3)</f>
        <v>0.34300000000000003</v>
      </c>
      <c r="L28" s="142">
        <f>ROUND(+(D28+D30)/2*(C30-C28),3)</f>
        <v>3.5000000000000003E-2</v>
      </c>
      <c r="M28" s="145">
        <f>ROUND(+K28*L28,4)</f>
        <v>1.2E-2</v>
      </c>
      <c r="N28" s="148">
        <f t="shared" ref="N28" si="20">ROUND(+M28/$M$56*100,1)</f>
        <v>7</v>
      </c>
      <c r="O28" s="151"/>
      <c r="P28" s="154"/>
    </row>
    <row r="29" spans="1:16" s="3" customFormat="1" ht="14.1" customHeight="1" x14ac:dyDescent="0.2">
      <c r="A29" s="12"/>
      <c r="B29" s="158"/>
      <c r="C29" s="152"/>
      <c r="D29" s="163"/>
      <c r="E29" s="143"/>
      <c r="F29" s="40" t="s">
        <v>66</v>
      </c>
      <c r="G29" s="161">
        <f t="shared" ref="G29" si="21">IF(E28&lt;0.12,0.6*E28,IF(E28&gt;=0.12,0.6*E28))</f>
        <v>1.9199999999999998E-2</v>
      </c>
      <c r="H29" s="161"/>
      <c r="I29" s="165">
        <v>0.34300000000000003</v>
      </c>
      <c r="J29" s="165"/>
      <c r="K29" s="143"/>
      <c r="L29" s="143"/>
      <c r="M29" s="146"/>
      <c r="N29" s="149"/>
      <c r="O29" s="152"/>
      <c r="P29" s="155"/>
    </row>
    <row r="30" spans="1:16" s="3" customFormat="1" ht="13.9" customHeight="1" thickBot="1" x14ac:dyDescent="0.25">
      <c r="A30" s="12"/>
      <c r="B30" s="159"/>
      <c r="C30" s="43">
        <f>C28+P8</f>
        <v>5</v>
      </c>
      <c r="D30" s="53">
        <v>2.8000000000000001E-2</v>
      </c>
      <c r="E30" s="144"/>
      <c r="F30" s="41" t="s">
        <v>67</v>
      </c>
      <c r="G30" s="166" t="str">
        <f t="shared" ref="G30" si="22">IF(E28&lt;0.12,"NA",IF(E28&gt;=0.12,0.8*E28))</f>
        <v>NA</v>
      </c>
      <c r="H30" s="166"/>
      <c r="I30" s="167"/>
      <c r="J30" s="167"/>
      <c r="K30" s="144"/>
      <c r="L30" s="144"/>
      <c r="M30" s="147"/>
      <c r="N30" s="150"/>
      <c r="O30" s="168"/>
      <c r="P30" s="172"/>
    </row>
    <row r="31" spans="1:16" s="3" customFormat="1" ht="14.1" customHeight="1" x14ac:dyDescent="0.2">
      <c r="A31" s="12"/>
      <c r="B31" s="157">
        <v>6</v>
      </c>
      <c r="C31" s="151">
        <f>C30</f>
        <v>5</v>
      </c>
      <c r="D31" s="162">
        <f>D30</f>
        <v>2.8000000000000001E-2</v>
      </c>
      <c r="E31" s="142">
        <v>4.8000000000000001E-2</v>
      </c>
      <c r="F31" s="39" t="s">
        <v>65</v>
      </c>
      <c r="G31" s="151" t="str">
        <f t="shared" ref="G31" si="23">IF(E31&lt;0.12,"NA",IF(E31&gt;=0.12,0.2*E31))</f>
        <v>NA</v>
      </c>
      <c r="H31" s="151"/>
      <c r="I31" s="164"/>
      <c r="J31" s="164"/>
      <c r="K31" s="142">
        <f t="shared" ref="K31" si="24">ROUND(+IF(E31&lt;0.12,(I32),(IF(E31&gt;=0.12,((I31+2*I32+I33)/4)))),3)</f>
        <v>0.33700000000000002</v>
      </c>
      <c r="L31" s="142">
        <f>ROUND(+(D31+D33)/2*(C33-C31),3)</f>
        <v>3.7999999999999999E-2</v>
      </c>
      <c r="M31" s="145">
        <f>ROUND(+K31*L31,4)</f>
        <v>1.2800000000000001E-2</v>
      </c>
      <c r="N31" s="148">
        <f>ROUND(+M31/$M$56*100,1)</f>
        <v>7.5</v>
      </c>
      <c r="O31" s="151"/>
      <c r="P31" s="154"/>
    </row>
    <row r="32" spans="1:16" s="3" customFormat="1" ht="14.1" customHeight="1" x14ac:dyDescent="0.2">
      <c r="A32" s="12"/>
      <c r="B32" s="158"/>
      <c r="C32" s="152"/>
      <c r="D32" s="163"/>
      <c r="E32" s="143"/>
      <c r="F32" s="40" t="s">
        <v>66</v>
      </c>
      <c r="G32" s="161">
        <f t="shared" ref="G32" si="25">IF(E31&lt;0.12,0.6*E31,IF(E31&gt;=0.12,0.6*E31))</f>
        <v>2.8799999999999999E-2</v>
      </c>
      <c r="H32" s="161"/>
      <c r="I32" s="165">
        <v>0.33700000000000002</v>
      </c>
      <c r="J32" s="165"/>
      <c r="K32" s="143"/>
      <c r="L32" s="143"/>
      <c r="M32" s="146"/>
      <c r="N32" s="149"/>
      <c r="O32" s="152"/>
      <c r="P32" s="155"/>
    </row>
    <row r="33" spans="1:18" s="3" customFormat="1" ht="13.9" customHeight="1" thickBot="1" x14ac:dyDescent="0.25">
      <c r="A33" s="12"/>
      <c r="B33" s="159"/>
      <c r="C33" s="43">
        <f>C31+P8</f>
        <v>6</v>
      </c>
      <c r="D33" s="53">
        <v>4.8000000000000001E-2</v>
      </c>
      <c r="E33" s="144"/>
      <c r="F33" s="41" t="s">
        <v>67</v>
      </c>
      <c r="G33" s="166" t="str">
        <f t="shared" ref="G33" si="26">IF(E31&lt;0.12,"NA",IF(E31&gt;=0.12,0.8*E31))</f>
        <v>NA</v>
      </c>
      <c r="H33" s="166"/>
      <c r="I33" s="167"/>
      <c r="J33" s="167"/>
      <c r="K33" s="144"/>
      <c r="L33" s="144"/>
      <c r="M33" s="147"/>
      <c r="N33" s="150"/>
      <c r="O33" s="168"/>
      <c r="P33" s="172"/>
    </row>
    <row r="34" spans="1:18" s="3" customFormat="1" ht="14.1" customHeight="1" x14ac:dyDescent="0.2">
      <c r="A34" s="12"/>
      <c r="B34" s="157">
        <v>7</v>
      </c>
      <c r="C34" s="151">
        <f>C33</f>
        <v>6</v>
      </c>
      <c r="D34" s="162">
        <f>D33</f>
        <v>4.8000000000000001E-2</v>
      </c>
      <c r="E34" s="142">
        <v>5.8999999999999997E-2</v>
      </c>
      <c r="F34" s="39" t="s">
        <v>65</v>
      </c>
      <c r="G34" s="151" t="str">
        <f t="shared" ref="G34" si="27">IF(E34&lt;0.12,"NA",IF(E34&gt;=0.12,0.2*E34))</f>
        <v>NA</v>
      </c>
      <c r="H34" s="151"/>
      <c r="I34" s="164"/>
      <c r="J34" s="164"/>
      <c r="K34" s="142">
        <f t="shared" ref="K34" si="28">ROUND(+IF(E34&lt;0.12,(I35),(IF(E34&gt;=0.12,((I34+2*I35+I36)/4)))),3)</f>
        <v>0.33800000000000002</v>
      </c>
      <c r="L34" s="142">
        <f>ROUND(+(D34+D36)/2*(C36-C34),3)</f>
        <v>4.9000000000000002E-2</v>
      </c>
      <c r="M34" s="145">
        <f>ROUND(+K34*L34,4)</f>
        <v>1.66E-2</v>
      </c>
      <c r="N34" s="148">
        <f t="shared" ref="N34" si="29">ROUND(+M34/$M$56*100,1)</f>
        <v>9.6999999999999993</v>
      </c>
      <c r="O34" s="151"/>
      <c r="P34" s="154"/>
    </row>
    <row r="35" spans="1:18" s="3" customFormat="1" ht="14.1" customHeight="1" x14ac:dyDescent="0.2">
      <c r="A35" s="12"/>
      <c r="B35" s="158"/>
      <c r="C35" s="152"/>
      <c r="D35" s="163"/>
      <c r="E35" s="143"/>
      <c r="F35" s="40" t="s">
        <v>66</v>
      </c>
      <c r="G35" s="161">
        <f t="shared" ref="G35" si="30">IF(E34&lt;0.12,0.6*E34,IF(E34&gt;=0.12,0.6*E34))</f>
        <v>3.5399999999999994E-2</v>
      </c>
      <c r="H35" s="161"/>
      <c r="I35" s="165">
        <v>0.33800000000000002</v>
      </c>
      <c r="J35" s="165"/>
      <c r="K35" s="143"/>
      <c r="L35" s="143"/>
      <c r="M35" s="146"/>
      <c r="N35" s="149"/>
      <c r="O35" s="152"/>
      <c r="P35" s="155"/>
    </row>
    <row r="36" spans="1:18" s="3" customFormat="1" ht="13.9" customHeight="1" thickBot="1" x14ac:dyDescent="0.25">
      <c r="A36" s="12"/>
      <c r="B36" s="159"/>
      <c r="C36" s="43">
        <f>C34+P8</f>
        <v>7</v>
      </c>
      <c r="D36" s="53">
        <v>0.05</v>
      </c>
      <c r="E36" s="144"/>
      <c r="F36" s="41" t="s">
        <v>67</v>
      </c>
      <c r="G36" s="166" t="str">
        <f t="shared" ref="G36" si="31">IF(E34&lt;0.12,"NA",IF(E34&gt;=0.12,0.8*E34))</f>
        <v>NA</v>
      </c>
      <c r="H36" s="166"/>
      <c r="I36" s="167"/>
      <c r="J36" s="167"/>
      <c r="K36" s="144"/>
      <c r="L36" s="144"/>
      <c r="M36" s="147"/>
      <c r="N36" s="150"/>
      <c r="O36" s="168"/>
      <c r="P36" s="172"/>
    </row>
    <row r="37" spans="1:18" s="3" customFormat="1" ht="14.1" customHeight="1" x14ac:dyDescent="0.2">
      <c r="A37" s="12"/>
      <c r="B37" s="157">
        <v>8</v>
      </c>
      <c r="C37" s="151">
        <f>C36</f>
        <v>7</v>
      </c>
      <c r="D37" s="162">
        <f>D36</f>
        <v>0.05</v>
      </c>
      <c r="E37" s="142">
        <v>8.1000000000000003E-2</v>
      </c>
      <c r="F37" s="39" t="s">
        <v>65</v>
      </c>
      <c r="G37" s="151" t="str">
        <f t="shared" ref="G37" si="32">IF(E37&lt;0.12,"NA",IF(E37&gt;=0.12,0.2*E37))</f>
        <v>NA</v>
      </c>
      <c r="H37" s="151"/>
      <c r="I37" s="164"/>
      <c r="J37" s="164"/>
      <c r="K37" s="142">
        <f t="shared" ref="K37" si="33">ROUND(+IF(E37&lt;0.12,(I38),(IF(E37&gt;=0.12,((I37+2*I38+I39)/4)))),3)</f>
        <v>0.36099999999999999</v>
      </c>
      <c r="L37" s="142">
        <f>ROUND(+(D37+D39)/2*(C39-C37),3)</f>
        <v>6.6000000000000003E-2</v>
      </c>
      <c r="M37" s="145">
        <f>ROUND(+K37*L37,4)</f>
        <v>2.3800000000000002E-2</v>
      </c>
      <c r="N37" s="148">
        <f t="shared" ref="N37" si="34">ROUND(+M37/$M$56*100,1)</f>
        <v>13.9</v>
      </c>
      <c r="O37" s="151"/>
      <c r="P37" s="154"/>
    </row>
    <row r="38" spans="1:18" s="3" customFormat="1" ht="14.1" customHeight="1" x14ac:dyDescent="0.2">
      <c r="A38" s="12"/>
      <c r="B38" s="158"/>
      <c r="C38" s="152"/>
      <c r="D38" s="163"/>
      <c r="E38" s="143"/>
      <c r="F38" s="40" t="s">
        <v>66</v>
      </c>
      <c r="G38" s="161">
        <f t="shared" ref="G38" si="35">IF(E37&lt;0.12,0.6*E37,IF(E37&gt;=0.12,0.6*E37))</f>
        <v>4.8599999999999997E-2</v>
      </c>
      <c r="H38" s="161"/>
      <c r="I38" s="165">
        <v>0.36099999999999999</v>
      </c>
      <c r="J38" s="165"/>
      <c r="K38" s="143"/>
      <c r="L38" s="143"/>
      <c r="M38" s="146"/>
      <c r="N38" s="149"/>
      <c r="O38" s="152"/>
      <c r="P38" s="155"/>
    </row>
    <row r="39" spans="1:18" s="3" customFormat="1" ht="13.9" customHeight="1" thickBot="1" x14ac:dyDescent="0.25">
      <c r="A39" s="12"/>
      <c r="B39" s="159"/>
      <c r="C39" s="43">
        <f>C37+P8</f>
        <v>8</v>
      </c>
      <c r="D39" s="53">
        <v>8.1000000000000003E-2</v>
      </c>
      <c r="E39" s="144"/>
      <c r="F39" s="41" t="s">
        <v>67</v>
      </c>
      <c r="G39" s="166" t="str">
        <f t="shared" ref="G39" si="36">IF(E37&lt;0.12,"NA",IF(E37&gt;=0.12,0.8*E37))</f>
        <v>NA</v>
      </c>
      <c r="H39" s="166"/>
      <c r="I39" s="167"/>
      <c r="J39" s="167"/>
      <c r="K39" s="144"/>
      <c r="L39" s="144"/>
      <c r="M39" s="147"/>
      <c r="N39" s="150"/>
      <c r="O39" s="168"/>
      <c r="P39" s="172"/>
    </row>
    <row r="40" spans="1:18" s="3" customFormat="1" ht="14.1" customHeight="1" x14ac:dyDescent="0.2">
      <c r="A40" s="12"/>
      <c r="B40" s="157">
        <v>9</v>
      </c>
      <c r="C40" s="151">
        <v>8</v>
      </c>
      <c r="D40" s="162">
        <f>+D39</f>
        <v>8.1000000000000003E-2</v>
      </c>
      <c r="E40" s="142">
        <v>0.14799999999999999</v>
      </c>
      <c r="F40" s="39" t="s">
        <v>65</v>
      </c>
      <c r="G40" s="164"/>
      <c r="H40" s="164"/>
      <c r="I40" s="164"/>
      <c r="J40" s="164"/>
      <c r="K40" s="151"/>
      <c r="L40" s="151"/>
      <c r="M40" s="169"/>
      <c r="N40" s="160"/>
      <c r="O40" s="151"/>
      <c r="P40" s="154"/>
    </row>
    <row r="41" spans="1:18" s="3" customFormat="1" ht="14.1" customHeight="1" x14ac:dyDescent="0.2">
      <c r="A41" s="12"/>
      <c r="B41" s="158"/>
      <c r="C41" s="152"/>
      <c r="D41" s="163"/>
      <c r="E41" s="143"/>
      <c r="F41" s="40" t="s">
        <v>66</v>
      </c>
      <c r="G41" s="173"/>
      <c r="H41" s="173"/>
      <c r="I41" s="165"/>
      <c r="J41" s="165"/>
      <c r="K41" s="152"/>
      <c r="L41" s="152"/>
      <c r="M41" s="170"/>
      <c r="N41" s="161"/>
      <c r="O41" s="152"/>
      <c r="P41" s="155"/>
    </row>
    <row r="42" spans="1:18" s="3" customFormat="1" ht="13.9" customHeight="1" thickBot="1" x14ac:dyDescent="0.25">
      <c r="A42" s="12"/>
      <c r="B42" s="159"/>
      <c r="C42" s="43">
        <v>9</v>
      </c>
      <c r="D42" s="53">
        <v>4.1000000000000002E-2</v>
      </c>
      <c r="E42" s="144"/>
      <c r="F42" s="41" t="s">
        <v>67</v>
      </c>
      <c r="G42" s="167"/>
      <c r="H42" s="167"/>
      <c r="I42" s="167"/>
      <c r="J42" s="167"/>
      <c r="K42" s="168"/>
      <c r="L42" s="168"/>
      <c r="M42" s="171"/>
      <c r="N42" s="166"/>
      <c r="O42" s="168"/>
      <c r="P42" s="172"/>
    </row>
    <row r="43" spans="1:18" s="3" customFormat="1" ht="14.1" customHeight="1" x14ac:dyDescent="0.2">
      <c r="A43" s="12"/>
      <c r="B43" s="157">
        <v>10</v>
      </c>
      <c r="C43" s="151">
        <v>9</v>
      </c>
      <c r="D43" s="162">
        <f>+D42</f>
        <v>4.1000000000000002E-2</v>
      </c>
      <c r="E43" s="142">
        <v>2.5000000000000001E-2</v>
      </c>
      <c r="F43" s="39" t="s">
        <v>65</v>
      </c>
      <c r="G43" s="151" t="str">
        <f t="shared" ref="G43" si="37">IF(E43&lt;0.12,"NA",IF(E43&gt;=0.12,0.2*E43))</f>
        <v>NA</v>
      </c>
      <c r="H43" s="151"/>
      <c r="I43" s="164"/>
      <c r="J43" s="164"/>
      <c r="K43" s="142">
        <f t="shared" ref="K43" si="38">ROUND(+IF(E43&lt;0.12,(I44),(IF(E43&gt;=0.12,((I43+2*I44+I45)/4)))),3)</f>
        <v>0</v>
      </c>
      <c r="L43" s="142">
        <f>ROUND(+(D43+D45)/2*(C45-C43),3)</f>
        <v>2.5000000000000001E-2</v>
      </c>
      <c r="M43" s="145">
        <f>ROUND(+K43*L43,4)</f>
        <v>0</v>
      </c>
      <c r="N43" s="148">
        <f t="shared" ref="N43" si="39">ROUND(+M43/$M$56*100,1)</f>
        <v>0</v>
      </c>
      <c r="O43" s="151"/>
      <c r="P43" s="154"/>
    </row>
    <row r="44" spans="1:18" s="3" customFormat="1" ht="14.1" customHeight="1" x14ac:dyDescent="0.2">
      <c r="A44" s="12"/>
      <c r="B44" s="158"/>
      <c r="C44" s="152"/>
      <c r="D44" s="163"/>
      <c r="E44" s="143"/>
      <c r="F44" s="40" t="s">
        <v>66</v>
      </c>
      <c r="G44" s="161">
        <f t="shared" ref="G44" si="40">IF(E43&lt;0.12,0.6*E43,IF(E43&gt;=0.12,0.6*E43))</f>
        <v>1.4999999999999999E-2</v>
      </c>
      <c r="H44" s="161"/>
      <c r="I44" s="165">
        <v>0</v>
      </c>
      <c r="J44" s="165"/>
      <c r="K44" s="143"/>
      <c r="L44" s="143"/>
      <c r="M44" s="146"/>
      <c r="N44" s="149"/>
      <c r="O44" s="152"/>
      <c r="P44" s="155"/>
    </row>
    <row r="45" spans="1:18" s="3" customFormat="1" ht="13.9" customHeight="1" thickBot="1" x14ac:dyDescent="0.25">
      <c r="A45" s="12"/>
      <c r="B45" s="159"/>
      <c r="C45" s="43">
        <v>10.220000000000001</v>
      </c>
      <c r="D45" s="53">
        <v>0</v>
      </c>
      <c r="E45" s="144"/>
      <c r="F45" s="41" t="s">
        <v>67</v>
      </c>
      <c r="G45" s="166" t="str">
        <f t="shared" ref="G45" si="41">IF(E43&lt;0.12,"NA",IF(E43&gt;=0.12,0.8*E43))</f>
        <v>NA</v>
      </c>
      <c r="H45" s="166"/>
      <c r="I45" s="167"/>
      <c r="J45" s="167"/>
      <c r="K45" s="144"/>
      <c r="L45" s="144"/>
      <c r="M45" s="147"/>
      <c r="N45" s="150"/>
      <c r="O45" s="168"/>
      <c r="P45" s="172"/>
    </row>
    <row r="46" spans="1:18" s="3" customFormat="1" ht="14.1" customHeight="1" x14ac:dyDescent="0.2">
      <c r="A46" s="12"/>
      <c r="B46" s="290">
        <v>9</v>
      </c>
      <c r="C46" s="132">
        <v>8</v>
      </c>
      <c r="D46" s="289">
        <f>D40</f>
        <v>8.1000000000000003E-2</v>
      </c>
      <c r="E46" s="289">
        <f>E40</f>
        <v>0.14799999999999999</v>
      </c>
      <c r="F46" s="46" t="s">
        <v>31</v>
      </c>
      <c r="G46" s="285"/>
      <c r="H46" s="285"/>
      <c r="I46" s="293">
        <v>0.53200000000000003</v>
      </c>
      <c r="J46" s="293"/>
      <c r="K46" s="289">
        <f>ROUND(+AVERAGE(I46:J55),3)</f>
        <v>0.34</v>
      </c>
      <c r="L46" s="132">
        <f>ROUND(+(D46+D51)/2*(C51-C46),3)</f>
        <v>6.0999999999999999E-2</v>
      </c>
      <c r="M46" s="134">
        <f>ROUND(+K46*L46,4)</f>
        <v>2.07E-2</v>
      </c>
      <c r="N46" s="132">
        <f>ROUND(+M46/$M$56*100,1)</f>
        <v>12.1</v>
      </c>
      <c r="O46" s="132"/>
      <c r="P46" s="137"/>
      <c r="R46" s="55"/>
    </row>
    <row r="47" spans="1:18" s="3" customFormat="1" ht="14.1" customHeight="1" x14ac:dyDescent="0.2">
      <c r="A47" s="12"/>
      <c r="B47" s="291"/>
      <c r="C47" s="129"/>
      <c r="D47" s="130"/>
      <c r="E47" s="130"/>
      <c r="F47" s="47" t="s">
        <v>68</v>
      </c>
      <c r="G47" s="126">
        <f>+ROUND(0.1*$E$46,2)</f>
        <v>0.01</v>
      </c>
      <c r="H47" s="126"/>
      <c r="I47" s="286">
        <v>0.54100000000000004</v>
      </c>
      <c r="J47" s="286"/>
      <c r="K47" s="129"/>
      <c r="L47" s="129"/>
      <c r="M47" s="135"/>
      <c r="N47" s="129"/>
      <c r="O47" s="129"/>
      <c r="P47" s="138"/>
    </row>
    <row r="48" spans="1:18" s="3" customFormat="1" ht="14.1" customHeight="1" x14ac:dyDescent="0.2">
      <c r="A48" s="12"/>
      <c r="B48" s="291"/>
      <c r="C48" s="129"/>
      <c r="D48" s="130"/>
      <c r="E48" s="130"/>
      <c r="F48" s="47" t="s">
        <v>65</v>
      </c>
      <c r="G48" s="126">
        <f>+ROUND(0.2*$E$46,2)</f>
        <v>0.03</v>
      </c>
      <c r="H48" s="126"/>
      <c r="I48" s="286">
        <v>0.47199999999999998</v>
      </c>
      <c r="J48" s="286"/>
      <c r="K48" s="129"/>
      <c r="L48" s="129"/>
      <c r="M48" s="135"/>
      <c r="N48" s="129"/>
      <c r="O48" s="129"/>
      <c r="P48" s="138"/>
    </row>
    <row r="49" spans="1:16" s="3" customFormat="1" ht="14.1" customHeight="1" x14ac:dyDescent="0.2">
      <c r="A49" s="12"/>
      <c r="B49" s="291"/>
      <c r="C49" s="129"/>
      <c r="D49" s="130"/>
      <c r="E49" s="130"/>
      <c r="F49" s="47" t="s">
        <v>69</v>
      </c>
      <c r="G49" s="126">
        <f>+ROUND(0.3*$E$46,2)</f>
        <v>0.04</v>
      </c>
      <c r="H49" s="126"/>
      <c r="I49" s="286">
        <v>0.42199999999999999</v>
      </c>
      <c r="J49" s="286"/>
      <c r="K49" s="129"/>
      <c r="L49" s="129"/>
      <c r="M49" s="135"/>
      <c r="N49" s="129"/>
      <c r="O49" s="129"/>
      <c r="P49" s="138"/>
    </row>
    <row r="50" spans="1:16" s="3" customFormat="1" ht="14.1" customHeight="1" x14ac:dyDescent="0.2">
      <c r="A50" s="12"/>
      <c r="B50" s="291"/>
      <c r="C50" s="129"/>
      <c r="D50" s="130"/>
      <c r="E50" s="130"/>
      <c r="F50" s="47" t="s">
        <v>70</v>
      </c>
      <c r="G50" s="126">
        <f>+ROUND(0.4*$E$46,2)</f>
        <v>0.06</v>
      </c>
      <c r="H50" s="126"/>
      <c r="I50" s="286">
        <v>0.34599999999999997</v>
      </c>
      <c r="J50" s="286"/>
      <c r="K50" s="129"/>
      <c r="L50" s="129"/>
      <c r="M50" s="135"/>
      <c r="N50" s="129"/>
      <c r="O50" s="129"/>
      <c r="P50" s="138"/>
    </row>
    <row r="51" spans="1:16" s="3" customFormat="1" ht="14.1" customHeight="1" x14ac:dyDescent="0.2">
      <c r="A51" s="12"/>
      <c r="B51" s="291"/>
      <c r="C51" s="129">
        <v>9</v>
      </c>
      <c r="D51" s="130">
        <f>D42</f>
        <v>4.1000000000000002E-2</v>
      </c>
      <c r="E51" s="130"/>
      <c r="F51" s="47" t="s">
        <v>30</v>
      </c>
      <c r="G51" s="126">
        <f>+ROUND(0.5*$E$46,2)</f>
        <v>7.0000000000000007E-2</v>
      </c>
      <c r="H51" s="126"/>
      <c r="I51" s="286">
        <v>0.29199999999999998</v>
      </c>
      <c r="J51" s="286"/>
      <c r="K51" s="129"/>
      <c r="L51" s="129"/>
      <c r="M51" s="135"/>
      <c r="N51" s="129"/>
      <c r="O51" s="129"/>
      <c r="P51" s="138"/>
    </row>
    <row r="52" spans="1:16" s="3" customFormat="1" ht="14.1" customHeight="1" x14ac:dyDescent="0.2">
      <c r="A52" s="12"/>
      <c r="B52" s="291"/>
      <c r="C52" s="129"/>
      <c r="D52" s="130"/>
      <c r="E52" s="130"/>
      <c r="F52" s="47" t="s">
        <v>66</v>
      </c>
      <c r="G52" s="126">
        <f>+ROUND(0.6*$E$46,2)</f>
        <v>0.09</v>
      </c>
      <c r="H52" s="126"/>
      <c r="I52" s="286">
        <v>0.26200000000000001</v>
      </c>
      <c r="J52" s="286"/>
      <c r="K52" s="129"/>
      <c r="L52" s="129"/>
      <c r="M52" s="135"/>
      <c r="N52" s="129"/>
      <c r="O52" s="129"/>
      <c r="P52" s="138"/>
    </row>
    <row r="53" spans="1:16" s="3" customFormat="1" ht="14.1" customHeight="1" x14ac:dyDescent="0.2">
      <c r="A53" s="12"/>
      <c r="B53" s="291"/>
      <c r="C53" s="129"/>
      <c r="D53" s="130"/>
      <c r="E53" s="130"/>
      <c r="F53" s="47" t="s">
        <v>71</v>
      </c>
      <c r="G53" s="126">
        <f>+ROUND(0.7*$E$46,2)</f>
        <v>0.1</v>
      </c>
      <c r="H53" s="126"/>
      <c r="I53" s="286">
        <v>0.224</v>
      </c>
      <c r="J53" s="286"/>
      <c r="K53" s="129"/>
      <c r="L53" s="129"/>
      <c r="M53" s="135"/>
      <c r="N53" s="129"/>
      <c r="O53" s="129"/>
      <c r="P53" s="138"/>
    </row>
    <row r="54" spans="1:16" s="3" customFormat="1" ht="14.1" customHeight="1" x14ac:dyDescent="0.2">
      <c r="A54" s="12"/>
      <c r="B54" s="291"/>
      <c r="C54" s="129"/>
      <c r="D54" s="130"/>
      <c r="E54" s="130"/>
      <c r="F54" s="47" t="s">
        <v>67</v>
      </c>
      <c r="G54" s="126">
        <f>+ROUND(0.8*$E$46,2)</f>
        <v>0.12</v>
      </c>
      <c r="H54" s="126"/>
      <c r="I54" s="286">
        <v>0.19900000000000001</v>
      </c>
      <c r="J54" s="286"/>
      <c r="K54" s="129"/>
      <c r="L54" s="129"/>
      <c r="M54" s="135"/>
      <c r="N54" s="129"/>
      <c r="O54" s="129"/>
      <c r="P54" s="138"/>
    </row>
    <row r="55" spans="1:16" s="3" customFormat="1" ht="13.5" thickBot="1" x14ac:dyDescent="0.25">
      <c r="A55" s="12"/>
      <c r="B55" s="292"/>
      <c r="C55" s="133"/>
      <c r="D55" s="288"/>
      <c r="E55" s="288"/>
      <c r="F55" s="49" t="s">
        <v>72</v>
      </c>
      <c r="G55" s="281">
        <f>+ROUND(0.9*$E$46,2)</f>
        <v>0.13</v>
      </c>
      <c r="H55" s="281"/>
      <c r="I55" s="287">
        <v>0.108</v>
      </c>
      <c r="J55" s="287"/>
      <c r="K55" s="133"/>
      <c r="L55" s="133"/>
      <c r="M55" s="136"/>
      <c r="N55" s="133"/>
      <c r="O55" s="133"/>
      <c r="P55" s="139"/>
    </row>
    <row r="56" spans="1:16" s="3" customFormat="1" ht="12.75" x14ac:dyDescent="0.2">
      <c r="A56" s="12"/>
      <c r="B56" s="112" t="s">
        <v>32</v>
      </c>
      <c r="C56" s="113"/>
      <c r="D56" s="113"/>
      <c r="E56" s="113"/>
      <c r="F56" s="113"/>
      <c r="G56" s="113"/>
      <c r="H56" s="113"/>
      <c r="I56" s="113"/>
      <c r="J56" s="113"/>
      <c r="K56" s="52">
        <f>ROUND(+M56/L56,3)</f>
        <v>0.32600000000000001</v>
      </c>
      <c r="L56" s="54">
        <f>SUM(L16:L55)</f>
        <v>0.52400000000000002</v>
      </c>
      <c r="M56" s="45">
        <f>SUM(M16:M55)</f>
        <v>0.17080000000000001</v>
      </c>
      <c r="N56" s="14">
        <f>ROUND(SUM(N16:N55),0)</f>
        <v>100</v>
      </c>
      <c r="O56" s="116" t="s">
        <v>33</v>
      </c>
      <c r="P56" s="118"/>
    </row>
    <row r="57" spans="1:16" s="3" customFormat="1" ht="15" customHeight="1" thickBot="1" x14ac:dyDescent="0.25">
      <c r="A57" s="12"/>
      <c r="B57" s="114"/>
      <c r="C57" s="115"/>
      <c r="D57" s="115"/>
      <c r="E57" s="115"/>
      <c r="F57" s="115"/>
      <c r="G57" s="115"/>
      <c r="H57" s="115"/>
      <c r="I57" s="115"/>
      <c r="J57" s="115"/>
      <c r="K57" s="15" t="s">
        <v>34</v>
      </c>
      <c r="L57" s="15" t="s">
        <v>50</v>
      </c>
      <c r="M57" s="15" t="s">
        <v>51</v>
      </c>
      <c r="N57" s="15" t="s">
        <v>35</v>
      </c>
      <c r="O57" s="117"/>
      <c r="P57" s="119"/>
    </row>
    <row r="58" spans="1:16" ht="69.599999999999994" customHeight="1" thickBot="1" x14ac:dyDescent="0.3">
      <c r="A58" s="50"/>
      <c r="B58" s="120" t="s">
        <v>29</v>
      </c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2"/>
    </row>
    <row r="59" spans="1:16" ht="15" customHeight="1" thickBot="1" x14ac:dyDescent="0.3">
      <c r="A59" s="5"/>
      <c r="B59" s="123" t="s">
        <v>73</v>
      </c>
      <c r="C59" s="124"/>
      <c r="D59" s="124"/>
      <c r="E59" s="124"/>
      <c r="F59" s="124"/>
      <c r="G59" s="124" t="s">
        <v>74</v>
      </c>
      <c r="H59" s="124"/>
      <c r="I59" s="124"/>
      <c r="J59" s="124"/>
      <c r="K59" s="124"/>
      <c r="L59" s="124"/>
      <c r="M59" s="124" t="s">
        <v>75</v>
      </c>
      <c r="N59" s="124"/>
      <c r="O59" s="124"/>
      <c r="P59" s="125"/>
    </row>
    <row r="60" spans="1:16" ht="15" customHeight="1" thickBot="1" x14ac:dyDescent="0.3">
      <c r="A60" s="5"/>
      <c r="B60" s="87"/>
      <c r="C60" s="88"/>
      <c r="D60" s="88"/>
      <c r="E60" s="88"/>
      <c r="F60" s="88"/>
      <c r="G60" s="88"/>
      <c r="H60" s="88"/>
      <c r="I60" s="89"/>
      <c r="J60" s="92" t="s">
        <v>53</v>
      </c>
      <c r="K60" s="93"/>
      <c r="L60" s="93"/>
      <c r="M60" s="93"/>
      <c r="N60" s="93"/>
      <c r="O60" s="93"/>
      <c r="P60" s="94"/>
    </row>
    <row r="61" spans="1:16" ht="18.600000000000001" customHeight="1" thickBot="1" x14ac:dyDescent="0.3">
      <c r="A61" s="6"/>
      <c r="B61" s="87"/>
      <c r="C61" s="88"/>
      <c r="D61" s="88"/>
      <c r="E61" s="88"/>
      <c r="F61" s="88"/>
      <c r="G61" s="88"/>
      <c r="H61" s="88"/>
      <c r="I61" s="89"/>
      <c r="J61" s="51" t="s">
        <v>76</v>
      </c>
      <c r="K61" s="296" t="s">
        <v>82</v>
      </c>
      <c r="L61" s="296"/>
      <c r="M61" s="296"/>
      <c r="N61" s="296"/>
      <c r="O61" s="296"/>
      <c r="P61" s="297"/>
    </row>
    <row r="62" spans="1:16" ht="79.900000000000006" customHeight="1" thickBot="1" x14ac:dyDescent="0.3">
      <c r="A62" s="10"/>
      <c r="B62" s="87"/>
      <c r="C62" s="88"/>
      <c r="D62" s="88"/>
      <c r="E62" s="88"/>
      <c r="F62" s="88"/>
      <c r="G62" s="88"/>
      <c r="H62" s="88"/>
      <c r="I62" s="89"/>
      <c r="J62" s="97" t="s">
        <v>104</v>
      </c>
      <c r="K62" s="98"/>
      <c r="L62" s="98"/>
      <c r="M62" s="98"/>
      <c r="N62" s="98"/>
      <c r="O62" s="98"/>
      <c r="P62" s="99"/>
    </row>
    <row r="63" spans="1:16" ht="15" customHeight="1" thickBot="1" x14ac:dyDescent="0.3">
      <c r="A63" s="5"/>
      <c r="B63" s="87"/>
      <c r="C63" s="88"/>
      <c r="D63" s="88"/>
      <c r="E63" s="88"/>
      <c r="F63" s="88"/>
      <c r="G63" s="88"/>
      <c r="H63" s="88"/>
      <c r="I63" s="89"/>
      <c r="J63" s="298" t="s">
        <v>36</v>
      </c>
      <c r="K63" s="299"/>
      <c r="L63" s="299"/>
      <c r="M63" s="299"/>
      <c r="N63" s="300"/>
      <c r="O63" s="301">
        <v>5.72</v>
      </c>
      <c r="P63" s="108"/>
    </row>
    <row r="64" spans="1:16" ht="15.75" thickBot="1" x14ac:dyDescent="0.3">
      <c r="A64" s="5"/>
      <c r="B64" s="87"/>
      <c r="C64" s="88"/>
      <c r="D64" s="88"/>
      <c r="E64" s="88"/>
      <c r="F64" s="88"/>
      <c r="G64" s="88"/>
      <c r="H64" s="88"/>
      <c r="I64" s="89"/>
      <c r="J64" s="302" t="s">
        <v>52</v>
      </c>
      <c r="K64" s="303"/>
      <c r="L64" s="303"/>
      <c r="M64" s="303"/>
      <c r="N64" s="304"/>
      <c r="O64" s="294">
        <v>0.29799999999999999</v>
      </c>
      <c r="P64" s="295"/>
    </row>
    <row r="65" spans="1:16" ht="14.45" customHeight="1" thickBot="1" x14ac:dyDescent="0.3">
      <c r="A65" s="5"/>
      <c r="B65" s="90"/>
      <c r="C65" s="79"/>
      <c r="D65" s="79"/>
      <c r="E65" s="79"/>
      <c r="F65" s="79"/>
      <c r="G65" s="79"/>
      <c r="H65" s="79"/>
      <c r="I65" s="91"/>
      <c r="J65" s="109" t="s">
        <v>77</v>
      </c>
      <c r="K65" s="110"/>
      <c r="L65" s="110"/>
      <c r="M65" s="110"/>
      <c r="N65" s="110"/>
      <c r="O65" s="110"/>
      <c r="P65" s="111"/>
    </row>
    <row r="66" spans="1:16" ht="14.45" customHeight="1" thickBot="1" x14ac:dyDescent="0.3">
      <c r="A66" s="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8"/>
    </row>
    <row r="67" spans="1:16" ht="15.75" thickBot="1" x14ac:dyDescent="0.3">
      <c r="A67" s="80" t="s">
        <v>37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2"/>
    </row>
    <row r="68" spans="1:16" ht="141.6" customHeight="1" thickBot="1" x14ac:dyDescent="0.3">
      <c r="A68" s="4"/>
      <c r="B68" s="83"/>
      <c r="C68" s="84"/>
      <c r="D68" s="84"/>
      <c r="E68" s="84"/>
      <c r="F68" s="85"/>
      <c r="G68" s="83"/>
      <c r="H68" s="84"/>
      <c r="I68" s="84"/>
      <c r="J68" s="84"/>
      <c r="K68" s="84"/>
      <c r="L68" s="85"/>
      <c r="M68" s="83"/>
      <c r="N68" s="84"/>
      <c r="O68" s="84"/>
      <c r="P68" s="85"/>
    </row>
    <row r="69" spans="1:16" s="9" customFormat="1" ht="13.9" customHeight="1" thickBot="1" x14ac:dyDescent="0.3">
      <c r="A69" s="8" t="s">
        <v>78</v>
      </c>
      <c r="B69" s="86" t="s">
        <v>85</v>
      </c>
      <c r="C69" s="74"/>
      <c r="D69" s="74"/>
      <c r="E69" s="74"/>
      <c r="F69" s="75"/>
      <c r="G69" s="86" t="s">
        <v>86</v>
      </c>
      <c r="H69" s="74"/>
      <c r="I69" s="74"/>
      <c r="J69" s="74"/>
      <c r="K69" s="74"/>
      <c r="L69" s="75"/>
      <c r="M69" s="86" t="s">
        <v>87</v>
      </c>
      <c r="N69" s="74"/>
      <c r="O69" s="74"/>
      <c r="P69" s="75"/>
    </row>
    <row r="70" spans="1:16" ht="14.45" customHeight="1" x14ac:dyDescent="0.25">
      <c r="A70" s="7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</row>
    <row r="71" spans="1:16" ht="14.45" customHeight="1" thickBot="1" x14ac:dyDescent="0.3">
      <c r="A71" s="7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</row>
    <row r="72" spans="1:16" s="3" customFormat="1" ht="15.75" customHeight="1" thickBot="1" x14ac:dyDescent="0.25">
      <c r="A72" s="76" t="s">
        <v>38</v>
      </c>
      <c r="B72" s="77"/>
      <c r="C72" s="77"/>
      <c r="D72" s="77" t="s">
        <v>81</v>
      </c>
      <c r="E72" s="77"/>
      <c r="F72" s="77"/>
      <c r="G72" s="77"/>
      <c r="H72" s="77"/>
      <c r="I72" s="77"/>
      <c r="J72" s="77" t="s">
        <v>39</v>
      </c>
      <c r="K72" s="77"/>
      <c r="L72" s="77"/>
      <c r="M72" s="77"/>
      <c r="N72" s="77"/>
      <c r="O72" s="77"/>
      <c r="P72" s="78"/>
    </row>
  </sheetData>
  <mergeCells count="271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F11:F13"/>
    <mergeCell ref="G11:K11"/>
    <mergeCell ref="L11:L13"/>
    <mergeCell ref="M11:P11"/>
    <mergeCell ref="C12:E12"/>
    <mergeCell ref="G12:K12"/>
    <mergeCell ref="M12:P12"/>
    <mergeCell ref="C13:E13"/>
    <mergeCell ref="G13:K13"/>
    <mergeCell ref="M13:P13"/>
    <mergeCell ref="B14:B15"/>
    <mergeCell ref="C14:C15"/>
    <mergeCell ref="D14:D15"/>
    <mergeCell ref="E14:E15"/>
    <mergeCell ref="F14:H15"/>
    <mergeCell ref="I14:J14"/>
    <mergeCell ref="I15:J15"/>
    <mergeCell ref="B16:B18"/>
    <mergeCell ref="C16:C17"/>
    <mergeCell ref="D16:D17"/>
    <mergeCell ref="E16:E18"/>
    <mergeCell ref="G16:H16"/>
    <mergeCell ref="I16:J16"/>
    <mergeCell ref="G17:H17"/>
    <mergeCell ref="I17:J17"/>
    <mergeCell ref="K19:K21"/>
    <mergeCell ref="L19:L21"/>
    <mergeCell ref="M19:M21"/>
    <mergeCell ref="N19:N21"/>
    <mergeCell ref="O19:O21"/>
    <mergeCell ref="P19:P21"/>
    <mergeCell ref="G18:H18"/>
    <mergeCell ref="I18:J18"/>
    <mergeCell ref="B19:B21"/>
    <mergeCell ref="C19:C20"/>
    <mergeCell ref="D19:D20"/>
    <mergeCell ref="E19:E21"/>
    <mergeCell ref="G19:H19"/>
    <mergeCell ref="I19:J19"/>
    <mergeCell ref="G20:H20"/>
    <mergeCell ref="I20:J20"/>
    <mergeCell ref="K16:K18"/>
    <mergeCell ref="L16:L18"/>
    <mergeCell ref="M16:M18"/>
    <mergeCell ref="N16:N18"/>
    <mergeCell ref="O16:O18"/>
    <mergeCell ref="P16:P18"/>
    <mergeCell ref="G21:H21"/>
    <mergeCell ref="I21:J21"/>
    <mergeCell ref="B22:B24"/>
    <mergeCell ref="C22:C23"/>
    <mergeCell ref="D22:D23"/>
    <mergeCell ref="E22:E24"/>
    <mergeCell ref="G22:H22"/>
    <mergeCell ref="I22:J22"/>
    <mergeCell ref="G23:H23"/>
    <mergeCell ref="I23:J23"/>
    <mergeCell ref="K25:K27"/>
    <mergeCell ref="L25:L27"/>
    <mergeCell ref="M25:M27"/>
    <mergeCell ref="N25:N27"/>
    <mergeCell ref="O25:O27"/>
    <mergeCell ref="P25:P27"/>
    <mergeCell ref="G24:H24"/>
    <mergeCell ref="I24:J24"/>
    <mergeCell ref="B25:B27"/>
    <mergeCell ref="C25:C26"/>
    <mergeCell ref="D25:D26"/>
    <mergeCell ref="E25:E27"/>
    <mergeCell ref="G25:H25"/>
    <mergeCell ref="I25:J25"/>
    <mergeCell ref="G26:H26"/>
    <mergeCell ref="I26:J26"/>
    <mergeCell ref="K22:K24"/>
    <mergeCell ref="L22:L24"/>
    <mergeCell ref="M22:M24"/>
    <mergeCell ref="N22:N24"/>
    <mergeCell ref="O22:O24"/>
    <mergeCell ref="P22:P24"/>
    <mergeCell ref="G27:H27"/>
    <mergeCell ref="I27:J27"/>
    <mergeCell ref="B28:B30"/>
    <mergeCell ref="C28:C29"/>
    <mergeCell ref="D28:D29"/>
    <mergeCell ref="E28:E30"/>
    <mergeCell ref="G28:H28"/>
    <mergeCell ref="I28:J28"/>
    <mergeCell ref="G29:H29"/>
    <mergeCell ref="I29:J29"/>
    <mergeCell ref="K31:K33"/>
    <mergeCell ref="L31:L33"/>
    <mergeCell ref="M31:M33"/>
    <mergeCell ref="N31:N33"/>
    <mergeCell ref="O31:O33"/>
    <mergeCell ref="P31:P33"/>
    <mergeCell ref="G30:H30"/>
    <mergeCell ref="I30:J30"/>
    <mergeCell ref="B31:B33"/>
    <mergeCell ref="C31:C32"/>
    <mergeCell ref="D31:D32"/>
    <mergeCell ref="E31:E33"/>
    <mergeCell ref="G31:H31"/>
    <mergeCell ref="I31:J31"/>
    <mergeCell ref="G32:H32"/>
    <mergeCell ref="I32:J32"/>
    <mergeCell ref="K28:K30"/>
    <mergeCell ref="L28:L30"/>
    <mergeCell ref="M28:M30"/>
    <mergeCell ref="N28:N30"/>
    <mergeCell ref="O28:O30"/>
    <mergeCell ref="P28:P30"/>
    <mergeCell ref="G33:H33"/>
    <mergeCell ref="I33:J33"/>
    <mergeCell ref="B34:B36"/>
    <mergeCell ref="C34:C35"/>
    <mergeCell ref="D34:D35"/>
    <mergeCell ref="E34:E36"/>
    <mergeCell ref="G34:H34"/>
    <mergeCell ref="I34:J34"/>
    <mergeCell ref="G35:H35"/>
    <mergeCell ref="I35:J35"/>
    <mergeCell ref="K37:K39"/>
    <mergeCell ref="L37:L39"/>
    <mergeCell ref="M37:M39"/>
    <mergeCell ref="N37:N39"/>
    <mergeCell ref="O37:O39"/>
    <mergeCell ref="P37:P39"/>
    <mergeCell ref="G36:H36"/>
    <mergeCell ref="I36:J36"/>
    <mergeCell ref="B37:B39"/>
    <mergeCell ref="C37:C38"/>
    <mergeCell ref="D37:D38"/>
    <mergeCell ref="E37:E39"/>
    <mergeCell ref="G37:H37"/>
    <mergeCell ref="I37:J37"/>
    <mergeCell ref="G38:H38"/>
    <mergeCell ref="I38:J38"/>
    <mergeCell ref="K34:K36"/>
    <mergeCell ref="L34:L36"/>
    <mergeCell ref="M34:M36"/>
    <mergeCell ref="N34:N36"/>
    <mergeCell ref="O34:O36"/>
    <mergeCell ref="P34:P36"/>
    <mergeCell ref="G39:H39"/>
    <mergeCell ref="I39:J39"/>
    <mergeCell ref="B40:B42"/>
    <mergeCell ref="C40:C41"/>
    <mergeCell ref="D40:D41"/>
    <mergeCell ref="E40:E42"/>
    <mergeCell ref="G40:H40"/>
    <mergeCell ref="I40:J40"/>
    <mergeCell ref="G41:H41"/>
    <mergeCell ref="I41:J41"/>
    <mergeCell ref="K43:K45"/>
    <mergeCell ref="L43:L45"/>
    <mergeCell ref="M43:M45"/>
    <mergeCell ref="N43:N45"/>
    <mergeCell ref="O43:O45"/>
    <mergeCell ref="P43:P45"/>
    <mergeCell ref="G42:H42"/>
    <mergeCell ref="I42:J42"/>
    <mergeCell ref="B43:B45"/>
    <mergeCell ref="C43:C44"/>
    <mergeCell ref="D43:D44"/>
    <mergeCell ref="E43:E45"/>
    <mergeCell ref="G43:H43"/>
    <mergeCell ref="I43:J43"/>
    <mergeCell ref="G44:H44"/>
    <mergeCell ref="I44:J44"/>
    <mergeCell ref="K40:K42"/>
    <mergeCell ref="L40:L42"/>
    <mergeCell ref="M40:M42"/>
    <mergeCell ref="N40:N42"/>
    <mergeCell ref="O40:O42"/>
    <mergeCell ref="P40:P42"/>
    <mergeCell ref="G45:H45"/>
    <mergeCell ref="I45:J45"/>
    <mergeCell ref="B46:B55"/>
    <mergeCell ref="C46:C50"/>
    <mergeCell ref="D46:D50"/>
    <mergeCell ref="E46:E55"/>
    <mergeCell ref="G46:H46"/>
    <mergeCell ref="I46:J46"/>
    <mergeCell ref="G47:H47"/>
    <mergeCell ref="I47:J47"/>
    <mergeCell ref="G48:H48"/>
    <mergeCell ref="I48:J48"/>
    <mergeCell ref="G49:H49"/>
    <mergeCell ref="I49:J49"/>
    <mergeCell ref="G50:H50"/>
    <mergeCell ref="I50:J50"/>
    <mergeCell ref="K46:K55"/>
    <mergeCell ref="L46:L55"/>
    <mergeCell ref="M46:M55"/>
    <mergeCell ref="G55:H55"/>
    <mergeCell ref="I55:J55"/>
    <mergeCell ref="B56:J57"/>
    <mergeCell ref="O56:O57"/>
    <mergeCell ref="P56:P57"/>
    <mergeCell ref="B58:P58"/>
    <mergeCell ref="C51:C55"/>
    <mergeCell ref="D51:D55"/>
    <mergeCell ref="G51:H51"/>
    <mergeCell ref="I51:J51"/>
    <mergeCell ref="G52:H52"/>
    <mergeCell ref="I52:J52"/>
    <mergeCell ref="G53:H53"/>
    <mergeCell ref="I53:J53"/>
    <mergeCell ref="G54:H54"/>
    <mergeCell ref="I54:J54"/>
    <mergeCell ref="N46:N55"/>
    <mergeCell ref="O46:O55"/>
    <mergeCell ref="P46:P55"/>
    <mergeCell ref="O64:P64"/>
    <mergeCell ref="J65:P65"/>
    <mergeCell ref="B66:P66"/>
    <mergeCell ref="A67:P67"/>
    <mergeCell ref="B68:F68"/>
    <mergeCell ref="G68:L68"/>
    <mergeCell ref="M68:P68"/>
    <mergeCell ref="B59:F59"/>
    <mergeCell ref="G59:L59"/>
    <mergeCell ref="M59:P59"/>
    <mergeCell ref="B60:I65"/>
    <mergeCell ref="J60:P60"/>
    <mergeCell ref="K61:P61"/>
    <mergeCell ref="J62:P62"/>
    <mergeCell ref="J63:N63"/>
    <mergeCell ref="O63:P63"/>
    <mergeCell ref="J64:N64"/>
    <mergeCell ref="B69:F69"/>
    <mergeCell ref="G69:L69"/>
    <mergeCell ref="M69:P69"/>
    <mergeCell ref="B70:P70"/>
    <mergeCell ref="B71:P71"/>
    <mergeCell ref="A72:C72"/>
    <mergeCell ref="D72:I72"/>
    <mergeCell ref="J72:K72"/>
    <mergeCell ref="L72:P72"/>
  </mergeCells>
  <printOptions horizontalCentered="1"/>
  <pageMargins left="0.35433070866141736" right="0.23622047244094491" top="0.74803149606299213" bottom="0.74803149606299213" header="0.19685039370078741" footer="0.31496062992125984"/>
  <pageSetup paperSize="5" scale="70" orientation="portrait" r:id="rId1"/>
  <headerFooter>
    <oddHeader>&amp;C&amp;"-,Negrita Cursiva"&amp;12Protocolo integrado de aforo en ríos de montaña 
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Planta y sección típica</vt:lpstr>
      <vt:lpstr>Aforo 1</vt:lpstr>
      <vt:lpstr>Aforo 2</vt:lpstr>
      <vt:lpstr>Aforo 3</vt:lpstr>
      <vt:lpstr>Aforo 4</vt:lpstr>
      <vt:lpstr>Aforo 5</vt:lpstr>
      <vt:lpstr>Aforo 6</vt:lpstr>
      <vt:lpstr>'Aforo 1'!Área_de_impresión</vt:lpstr>
      <vt:lpstr>'Aforo 2'!Área_de_impresión</vt:lpstr>
      <vt:lpstr>'Aforo 3'!Área_de_impresión</vt:lpstr>
      <vt:lpstr>'Aforo 4'!Área_de_impresión</vt:lpstr>
      <vt:lpstr>'Aforo 5'!Área_de_impresión</vt:lpstr>
      <vt:lpstr>'Aforo 6'!Área_de_impresión</vt:lpstr>
      <vt:lpstr>'Aforo 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2019-05-16T16:04:11Z</dcterms:modified>
</cp:coreProperties>
</file>